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namedSheetViews/namedSheetView1.xml" ContentType="application/vnd.ms-excel.namedsheetviews+xml"/>
  <Override PartName="/xl/drawings/drawing3.xml" ContentType="application/vnd.openxmlformats-officedocument.drawing+xml"/>
  <Override PartName="/xl/tables/table2.xml" ContentType="application/vnd.openxmlformats-officedocument.spreadsheetml.table+xml"/>
  <Override PartName="/xl/drawings/drawing4.xml" ContentType="application/vnd.openxmlformats-officedocument.drawing+xml"/>
  <Override PartName="/xl/tables/table3.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sdisgovco-my.sharepoint.com/personal/lsaavedraa_sdis_gov_co/Documents/lauras/2020 SDIS/2020-SDIS/SDIS/780_10418 2021/Plan de Acción Institucional Integrado/PAII 2022/2022_Seguimiento/"/>
    </mc:Choice>
  </mc:AlternateContent>
  <xr:revisionPtr revIDLastSave="413" documentId="13_ncr:1_{19C9480A-637B-4931-87EE-46044DC528AB}" xr6:coauthVersionLast="47" xr6:coauthVersionMax="47" xr10:uidLastSave="{E8B5A906-9B25-4469-96C3-5A45849181FF}"/>
  <bookViews>
    <workbookView xWindow="-120" yWindow="-120" windowWidth="20730" windowHeight="11040" tabRatio="599" firstSheet="1" activeTab="1" xr2:uid="{00000000-000D-0000-FFFF-FFFF00000000}"/>
  </bookViews>
  <sheets>
    <sheet name="Listas" sheetId="4" state="hidden" r:id="rId1"/>
    <sheet name="Menú" sheetId="16" r:id="rId2"/>
    <sheet name="Control de cambios" sheetId="10" state="hidden" r:id="rId3"/>
    <sheet name="Plan de Acción Institucional In" sheetId="2" r:id="rId4"/>
    <sheet name="Objetivos y metas proyectos" sheetId="11" r:id="rId5"/>
    <sheet name="Metas e indicadores PDD" sheetId="12" r:id="rId6"/>
    <sheet name="Presupuesto" sheetId="14" r:id="rId7"/>
    <sheet name="Indicadores de Gestión" sheetId="17" r:id="rId8"/>
    <sheet name="Mapa y plan de riesgos" sheetId="18"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s>
  <definedNames>
    <definedName name="_xlnm._FilterDatabase" localSheetId="7" hidden="1">'Indicadores de Gestión'!$A$12:$EI$105</definedName>
    <definedName name="_xlnm._FilterDatabase" localSheetId="0" hidden="1">Listas!$A$1:$Q$120</definedName>
    <definedName name="_xlnm._FilterDatabase" localSheetId="5" hidden="1">'Metas e indicadores PDD'!$A$7:$C$61</definedName>
    <definedName name="_xlnm._FilterDatabase" localSheetId="4" hidden="1">'Objetivos y metas proyectos'!$A$7:$J$7</definedName>
    <definedName name="_xlnm._FilterDatabase" localSheetId="3" hidden="1">'Plan de Acción Institucional In'!$AW$14:$AZ$14</definedName>
    <definedName name="_xlnm._FilterDatabase" localSheetId="6" hidden="1">Presupuesto!$A$8:$K$8</definedName>
    <definedName name="Años">[1]Listas!$B$2:$B$6</definedName>
    <definedName name="_xlnm.Print_Area" localSheetId="8">'Mapa y plan de riesgos'!$A$1:$AW$92</definedName>
    <definedName name="cd">[2]Listas!$B$26:$B$30</definedName>
    <definedName name="CG">'[2]homologación conceptos'!$A$3:$A$124</definedName>
    <definedName name="codmet">[2]Listas!$C$26:$C$37</definedName>
    <definedName name="Concepto">[3]Listas!$X$2:$X$116</definedName>
    <definedName name="Direccion" localSheetId="2">'[4]Listas desplegables'!#REF!</definedName>
    <definedName name="Direccion" localSheetId="7">'[33]Listas desplegables'!#REF!</definedName>
    <definedName name="Direccion" localSheetId="1">'[5]Listas desplegables'!#REF!</definedName>
    <definedName name="Direccion" localSheetId="5">[1]Listas!$D$2:$D$8</definedName>
    <definedName name="Direccion" localSheetId="4">[1]Listas!$D$2:$D$8</definedName>
    <definedName name="Direccion" localSheetId="6">'[5]Listas desplegables'!#REF!</definedName>
    <definedName name="Direccion">'[4]Listas desplegables'!#REF!</definedName>
    <definedName name="Discapacidad" localSheetId="5">'[6]Listas desplegables'!$D$52:$D$56</definedName>
    <definedName name="Discapacidad" localSheetId="4">'[6]Listas desplegables'!$D$52:$D$56</definedName>
    <definedName name="Discapacidad">'[7]Listas desplegables'!$D$52:$D$56</definedName>
    <definedName name="EJE" localSheetId="2">#REF!,#REF!,#REF!,#REF!,#REF!,#REF!,#REF!,#REF!,#REF!,#REF!,#REF!,#REF!,#REF!</definedName>
    <definedName name="EJE" localSheetId="7">#REF!,#REF!,#REF!,#REF!,#REF!,#REF!,#REF!,#REF!,#REF!,#REF!,#REF!,#REF!,#REF!</definedName>
    <definedName name="EJE" localSheetId="1">#REF!,#REF!,#REF!,#REF!,#REF!,#REF!,#REF!,#REF!,#REF!,#REF!,#REF!,#REF!,#REF!</definedName>
    <definedName name="EJE" localSheetId="5">#REF!,#REF!,#REF!,#REF!,#REF!,#REF!,#REF!,#REF!,#REF!,#REF!,#REF!,#REF!,#REF!</definedName>
    <definedName name="EJE" localSheetId="4">#REF!,#REF!,#REF!,#REF!,#REF!,#REF!,#REF!,#REF!,#REF!,#REF!,#REF!,#REF!,#REF!</definedName>
    <definedName name="EJE" localSheetId="6">#REF!,#REF!,#REF!,#REF!,#REF!,#REF!,#REF!,#REF!,#REF!,#REF!,#REF!,#REF!,#REF!</definedName>
    <definedName name="EJE">#REF!,#REF!,#REF!,#REF!,#REF!,#REF!,#REF!,#REF!,#REF!,#REF!,#REF!,#REF!,#REF!</definedName>
    <definedName name="Eje_Pilar" localSheetId="2">'[4]Listas desplegables'!#REF!</definedName>
    <definedName name="Eje_Pilar" localSheetId="7">'[33]Listas desplegables'!#REF!</definedName>
    <definedName name="Eje_Pilar" localSheetId="1">'[5]Listas desplegables'!#REF!</definedName>
    <definedName name="Eje_Pilar" localSheetId="5">[1]Listas!$E$2:$E$4</definedName>
    <definedName name="Eje_Pilar" localSheetId="4">[1]Listas!$E$2:$E$4</definedName>
    <definedName name="Eje_Pilar" localSheetId="6">'[5]Listas desplegables'!#REF!</definedName>
    <definedName name="Eje_Pilar">'[4]Listas desplegables'!#REF!</definedName>
    <definedName name="ejecut" localSheetId="2">#REF!,#REF!,#REF!,#REF!,#REF!,#REF!,#REF!,#REF!,#REF!,#REF!,#REF!,#REF!,#REF!</definedName>
    <definedName name="ejecut" localSheetId="7">#REF!,#REF!,#REF!,#REF!,#REF!,#REF!,#REF!,#REF!,#REF!,#REF!,#REF!,#REF!,#REF!</definedName>
    <definedName name="ejecut" localSheetId="1">#REF!,#REF!,#REF!,#REF!,#REF!,#REF!,#REF!,#REF!,#REF!,#REF!,#REF!,#REF!,#REF!</definedName>
    <definedName name="ejecut" localSheetId="5">#REF!,#REF!,#REF!,#REF!,#REF!,#REF!,#REF!,#REF!,#REF!,#REF!,#REF!,#REF!,#REF!</definedName>
    <definedName name="ejecut" localSheetId="4">#REF!,#REF!,#REF!,#REF!,#REF!,#REF!,#REF!,#REF!,#REF!,#REF!,#REF!,#REF!,#REF!</definedName>
    <definedName name="ejecut" localSheetId="6">#REF!,#REF!,#REF!,#REF!,#REF!,#REF!,#REF!,#REF!,#REF!,#REF!,#REF!,#REF!,#REF!</definedName>
    <definedName name="ejecut">#REF!,#REF!,#REF!,#REF!,#REF!,#REF!,#REF!,#REF!,#REF!,#REF!,#REF!,#REF!,#REF!</definedName>
    <definedName name="EstadoUNDOPE" localSheetId="2">'[4]Listas desplegables'!#REF!</definedName>
    <definedName name="EstadoUNDOPE" localSheetId="7">'[33]Listas desplegables'!#REF!</definedName>
    <definedName name="EstadoUNDOPE" localSheetId="1">'[5]Listas desplegables'!#REF!</definedName>
    <definedName name="EstadoUNDOPE" localSheetId="5">[1]Listas!$R$2:$R$6</definedName>
    <definedName name="EstadoUNDOPE" localSheetId="4">[1]Listas!$R$2:$R$6</definedName>
    <definedName name="EstadoUNDOPE" localSheetId="6">'[5]Listas desplegables'!#REF!</definedName>
    <definedName name="EstadoUNDOPE">'[4]Listas desplegables'!#REF!</definedName>
    <definedName name="Etnia">[1]Listas!$V$2:$V$8</definedName>
    <definedName name="Étnico" localSheetId="5">'[6]Listas desplegables'!$F$52:$F$56</definedName>
    <definedName name="Étnico" localSheetId="4">'[6]Listas desplegables'!$F$52:$F$56</definedName>
    <definedName name="Étnico">'[7]Listas desplegables'!$F$52:$F$56</definedName>
    <definedName name="GerenteProy" localSheetId="2">'[4]Listas desplegables'!#REF!</definedName>
    <definedName name="GerenteProy" localSheetId="7">'[33]Listas desplegables'!#REF!</definedName>
    <definedName name="GerenteProy" localSheetId="1">'[5]Listas desplegables'!#REF!</definedName>
    <definedName name="GerenteProy" localSheetId="5">[1]Listas!$C$2:$C$7</definedName>
    <definedName name="GerenteProy" localSheetId="4">[1]Listas!$C$2:$C$7</definedName>
    <definedName name="GerenteProy" localSheetId="6">'[5]Listas desplegables'!#REF!</definedName>
    <definedName name="GerenteProy">'[4]Listas desplegables'!#REF!</definedName>
    <definedName name="Localidad" localSheetId="5">[2]Listas!$F$97:$F$117</definedName>
    <definedName name="Localidad" localSheetId="4">[2]Listas!$F$97:$F$117</definedName>
    <definedName name="localidad">[8]Hoja6!$A$192:$A$212</definedName>
    <definedName name="Localidades" localSheetId="2">'[4]Listas desplegables'!#REF!</definedName>
    <definedName name="Localidades" localSheetId="7">'[33]Listas desplegables'!#REF!</definedName>
    <definedName name="Localidades" localSheetId="1">'[5]Listas desplegables'!#REF!</definedName>
    <definedName name="Localidades" localSheetId="5">[1]Listas!$G$2:$G$22</definedName>
    <definedName name="Localidades" localSheetId="4">[1]Listas!$G$2:$G$22</definedName>
    <definedName name="Localidades" localSheetId="6">'[5]Listas desplegables'!#REF!</definedName>
    <definedName name="Localidades">'[4]Listas desplegables'!#REF!</definedName>
    <definedName name="Localidades2">[1]Listas!$X$2:$X$26</definedName>
    <definedName name="medida" localSheetId="5">[9]Hoja6!$A$132:$A$135</definedName>
    <definedName name="medida" localSheetId="4">[9]Hoja6!$A$132:$A$135</definedName>
    <definedName name="medida">[8]Hoja6!$A$132:$A$135</definedName>
    <definedName name="Meses" localSheetId="7">'[33]Listas desplegables'!$A$2:$A$13</definedName>
    <definedName name="Meses" localSheetId="1">'[5]Listas desplegables'!$A$2:$A$13</definedName>
    <definedName name="Meses" localSheetId="5">[1]Listas!$A$2:$A$13</definedName>
    <definedName name="Meses" localSheetId="4">[1]Listas!$A$2:$A$13</definedName>
    <definedName name="Meses" localSheetId="6">'[5]Listas desplegables'!$A$2:$A$13</definedName>
    <definedName name="Meses">'[4]Listas desplegables'!$A$2:$A$13</definedName>
    <definedName name="metas" localSheetId="5">[10]Hoja1!$M$2:$M$19</definedName>
    <definedName name="metas" localSheetId="4">[10]Hoja1!$M$2:$M$19</definedName>
    <definedName name="metas">[11]Hoja1!$M$2:$M$19</definedName>
    <definedName name="MetaSect">[2]Listas!$I$51:$I$93</definedName>
    <definedName name="ObjEstratégico" localSheetId="2">'[4]Listas desplegables'!#REF!</definedName>
    <definedName name="ObjEstratégico" localSheetId="7">'[33]Listas desplegables'!#REF!</definedName>
    <definedName name="ObjEstratégico" localSheetId="1">'[5]Listas desplegables'!#REF!</definedName>
    <definedName name="ObjEstratégico" localSheetId="5">[1]Listas!$O$2:$O$6</definedName>
    <definedName name="ObjEstratégico" localSheetId="4">[1]Listas!$O$2:$O$6</definedName>
    <definedName name="ObjEstratégico" localSheetId="6">'[5]Listas desplegables'!#REF!</definedName>
    <definedName name="ObjEstratégico">'[4]Listas desplegables'!#REF!</definedName>
    <definedName name="Objetivosestratégicos" localSheetId="5">[12]Hoja1!$C$1:$C$5</definedName>
    <definedName name="Objetivosestratégicos" localSheetId="4">[12]Hoja1!$C$1:$C$5</definedName>
    <definedName name="Objetivosestratégicos">[13]Hoja1!$C$1:$C$5</definedName>
    <definedName name="ObjGeneral" localSheetId="2">'[4]Listas desplegables'!#REF!</definedName>
    <definedName name="ObjGeneral" localSheetId="7">'[33]Listas desplegables'!#REF!</definedName>
    <definedName name="ObjGeneral" localSheetId="1">'[5]Listas desplegables'!#REF!</definedName>
    <definedName name="ObjGeneral" localSheetId="5">[1]Listas!$J$2:$J$15</definedName>
    <definedName name="ObjGeneral" localSheetId="4">[1]Listas!$J$2:$J$15</definedName>
    <definedName name="ObjGeneral" localSheetId="6">'[5]Listas desplegables'!#REF!</definedName>
    <definedName name="ObjGeneral">'[4]Listas desplegables'!#REF!</definedName>
    <definedName name="periodicidad" localSheetId="2">'[4]Listas desplegables'!#REF!</definedName>
    <definedName name="periodicidad" localSheetId="7">'[33]Listas desplegables'!#REF!</definedName>
    <definedName name="periodicidad" localSheetId="1">'[5]Listas desplegables'!#REF!</definedName>
    <definedName name="periodicidad" localSheetId="5">'[5]Listas desplegables'!#REF!</definedName>
    <definedName name="periodicidad" localSheetId="4">'[5]Listas desplegables'!#REF!</definedName>
    <definedName name="periodicidad" localSheetId="6">'[5]Listas desplegables'!#REF!</definedName>
    <definedName name="periodicidad">'[4]Listas desplegables'!#REF!</definedName>
    <definedName name="Periodicidadindicador" localSheetId="5">[12]Hoja1!$D$1:$D$4</definedName>
    <definedName name="Periodicidadindicador" localSheetId="4">[12]Hoja1!$D$1:$D$4</definedName>
    <definedName name="Periodicidadindicador">[13]Hoja1!$D$1:$D$4</definedName>
    <definedName name="Procesos" localSheetId="2">'[4]Listas desplegables'!#REF!</definedName>
    <definedName name="Procesos" localSheetId="7">'[33]Listas desplegables'!#REF!</definedName>
    <definedName name="Procesos" localSheetId="1">'[5]Listas desplegables'!#REF!</definedName>
    <definedName name="Procesos" localSheetId="5">[1]Listas!$L$2:$L$14</definedName>
    <definedName name="Procesos" localSheetId="4">[1]Listas!$L$2:$L$14</definedName>
    <definedName name="Procesos" localSheetId="6">'[5]Listas desplegables'!#REF!</definedName>
    <definedName name="Procesos">'[4]Listas desplegables'!#REF!</definedName>
    <definedName name="Prog_PPD" localSheetId="2">'[4]Listas desplegables'!#REF!</definedName>
    <definedName name="Prog_PPD" localSheetId="7">'[33]Listas desplegables'!#REF!</definedName>
    <definedName name="Prog_PPD" localSheetId="1">'[5]Listas desplegables'!#REF!</definedName>
    <definedName name="Prog_PPD" localSheetId="5">[1]Listas!$F$2:$F$9</definedName>
    <definedName name="Prog_PPD" localSheetId="4">[1]Listas!$F$2:$F$9</definedName>
    <definedName name="Prog_PPD" localSheetId="6">'[5]Listas desplegables'!#REF!</definedName>
    <definedName name="Prog_PPD">'[4]Listas desplegables'!#REF!</definedName>
    <definedName name="PROY4022" localSheetId="2">#REF!</definedName>
    <definedName name="PROY4022" localSheetId="7">#REF!</definedName>
    <definedName name="PROY4022" localSheetId="1">#REF!</definedName>
    <definedName name="PROY4022" localSheetId="5">#REF!</definedName>
    <definedName name="PROY4022" localSheetId="4">#REF!</definedName>
    <definedName name="PROY4022" localSheetId="6">#REF!</definedName>
    <definedName name="PROY4022">#REF!</definedName>
    <definedName name="PROY4024" localSheetId="2">#REF!</definedName>
    <definedName name="PROY4024" localSheetId="7">#REF!</definedName>
    <definedName name="PROY4024" localSheetId="1">#REF!</definedName>
    <definedName name="PROY4024" localSheetId="5">#REF!</definedName>
    <definedName name="PROY4024" localSheetId="4">#REF!</definedName>
    <definedName name="PROY4024" localSheetId="6">#REF!</definedName>
    <definedName name="PROY4024">#REF!</definedName>
    <definedName name="proy4025" localSheetId="2">#REF!</definedName>
    <definedName name="proy4025" localSheetId="7">#REF!</definedName>
    <definedName name="proy4025" localSheetId="1">#REF!</definedName>
    <definedName name="proy4025" localSheetId="5">#REF!</definedName>
    <definedName name="proy4025" localSheetId="4">#REF!</definedName>
    <definedName name="proy4025" localSheetId="6">#REF!</definedName>
    <definedName name="proy4025">#REF!</definedName>
    <definedName name="PROY4027" localSheetId="2">#REF!</definedName>
    <definedName name="PROY4027" localSheetId="7">#REF!</definedName>
    <definedName name="PROY4027" localSheetId="1">#REF!</definedName>
    <definedName name="PROY4027" localSheetId="5">#REF!</definedName>
    <definedName name="PROY4027" localSheetId="4">#REF!</definedName>
    <definedName name="PROY4027" localSheetId="6">#REF!</definedName>
    <definedName name="PROY4027">#REF!</definedName>
    <definedName name="PROY4028" localSheetId="2">#REF!</definedName>
    <definedName name="PROY4028" localSheetId="7">#REF!</definedName>
    <definedName name="PROY4028" localSheetId="1">#REF!</definedName>
    <definedName name="PROY4028" localSheetId="5">#REF!</definedName>
    <definedName name="PROY4028" localSheetId="4">#REF!</definedName>
    <definedName name="PROY4028" localSheetId="6">#REF!</definedName>
    <definedName name="PROY4028">#REF!</definedName>
    <definedName name="PROY4029" localSheetId="2">#REF!</definedName>
    <definedName name="PROY4029" localSheetId="7">#REF!</definedName>
    <definedName name="PROY4029" localSheetId="1">#REF!</definedName>
    <definedName name="PROY4029" localSheetId="5">#REF!</definedName>
    <definedName name="PROY4029" localSheetId="4">#REF!</definedName>
    <definedName name="PROY4029" localSheetId="6">#REF!</definedName>
    <definedName name="PROY4029">#REF!</definedName>
    <definedName name="PROY4125" localSheetId="2">#REF!</definedName>
    <definedName name="PROY4125" localSheetId="7">#REF!</definedName>
    <definedName name="PROY4125" localSheetId="1">#REF!</definedName>
    <definedName name="PROY4125" localSheetId="5">#REF!</definedName>
    <definedName name="PROY4125" localSheetId="4">#REF!</definedName>
    <definedName name="PROY4125" localSheetId="6">#REF!</definedName>
    <definedName name="PROY4125">#REF!</definedName>
    <definedName name="PROY4280" localSheetId="2">#REF!</definedName>
    <definedName name="PROY4280" localSheetId="7">#REF!</definedName>
    <definedName name="PROY4280" localSheetId="1">#REF!</definedName>
    <definedName name="PROY4280" localSheetId="5">#REF!</definedName>
    <definedName name="PROY4280" localSheetId="4">#REF!</definedName>
    <definedName name="PROY4280" localSheetId="6">#REF!</definedName>
    <definedName name="PROY4280">#REF!</definedName>
    <definedName name="PROY4281" localSheetId="2">#REF!</definedName>
    <definedName name="PROY4281" localSheetId="7">#REF!</definedName>
    <definedName name="PROY4281" localSheetId="1">#REF!</definedName>
    <definedName name="PROY4281" localSheetId="5">#REF!</definedName>
    <definedName name="PROY4281" localSheetId="4">#REF!</definedName>
    <definedName name="PROY4281" localSheetId="6">#REF!</definedName>
    <definedName name="PROY4281">#REF!</definedName>
    <definedName name="ProyectoInv" localSheetId="2">'[4]Listas desplegables'!#REF!</definedName>
    <definedName name="ProyectoInv" localSheetId="7">'[33]Listas desplegables'!#REF!</definedName>
    <definedName name="ProyectoInv" localSheetId="1">'[5]Listas desplegables'!#REF!</definedName>
    <definedName name="ProyectoInv" localSheetId="5">[2]Listas!$C$2:$C$19</definedName>
    <definedName name="ProyectoInv" localSheetId="4">[2]Listas!$C$2:$C$19</definedName>
    <definedName name="ProyectoInv" localSheetId="6">'[5]Listas desplegables'!#REF!</definedName>
    <definedName name="ProyectoInv">'[4]Listas desplegables'!#REF!</definedName>
    <definedName name="PROYECTOS" localSheetId="5">[10]Hoja1!$A:$A</definedName>
    <definedName name="PROYECTOS" localSheetId="4">[10]Hoja1!$A:$A</definedName>
    <definedName name="PROYECTOS">[11]Hoja1!$A:$A</definedName>
    <definedName name="PRYT" localSheetId="2">#REF!</definedName>
    <definedName name="PRYT" localSheetId="1">#REF!</definedName>
    <definedName name="PRYT" localSheetId="5">#REF!</definedName>
    <definedName name="PRYT" localSheetId="4">#REF!</definedName>
    <definedName name="PRYT" localSheetId="6">#REF!</definedName>
    <definedName name="PRYT">#REF!</definedName>
    <definedName name="PT" localSheetId="2">#REF!</definedName>
    <definedName name="PT" localSheetId="1">#REF!</definedName>
    <definedName name="PT" localSheetId="5">#REF!</definedName>
    <definedName name="PT" localSheetId="4">#REF!</definedName>
    <definedName name="PT" localSheetId="6">#REF!</definedName>
    <definedName name="PT">#REF!</definedName>
    <definedName name="S">[3]Listas!$H$2:$H$17</definedName>
    <definedName name="ServicioUNDOPE" localSheetId="2">'[4]Listas desplegables'!#REF!</definedName>
    <definedName name="ServicioUNDOPE" localSheetId="7">'[33]Listas desplegables'!#REF!</definedName>
    <definedName name="ServicioUNDOPE" localSheetId="1">'[5]Listas desplegables'!#REF!</definedName>
    <definedName name="ServicioUNDOPE" localSheetId="5">[1]Listas!$Q$2:$Q$35</definedName>
    <definedName name="ServicioUNDOPE" localSheetId="4">[1]Listas!$Q$2:$Q$35</definedName>
    <definedName name="ServicioUNDOPE" localSheetId="6">'[5]Listas desplegables'!#REF!</definedName>
    <definedName name="ServicioUNDOPE">'[4]Listas desplegables'!#REF!</definedName>
    <definedName name="Sexo">[1]Listas!$W$2:$W$3</definedName>
    <definedName name="Si_No">[1]Listas!$U$2:$U$3</definedName>
    <definedName name="Subdireccion" localSheetId="2">'[4]Listas desplegables'!#REF!</definedName>
    <definedName name="Subdireccion" localSheetId="7">'[33]Listas desplegables'!#REF!</definedName>
    <definedName name="Subdireccion" localSheetId="1">'[5]Listas desplegables'!#REF!</definedName>
    <definedName name="Subdireccion" localSheetId="5">[1]Listas!$H$2:$H$17</definedName>
    <definedName name="Subdireccion" localSheetId="4">[1]Listas!$H$2:$H$17</definedName>
    <definedName name="Subdireccion" localSheetId="6">'[5]Listas desplegables'!#REF!</definedName>
    <definedName name="Subdireccion">'[4]Listas desplegables'!#REF!</definedName>
    <definedName name="Subdirección">[2]Listas!$A$97:$A$112</definedName>
    <definedName name="Subsistema" localSheetId="2">'[4]Listas desplegables'!#REF!</definedName>
    <definedName name="Subsistema" localSheetId="7">'[33]Listas desplegables'!#REF!</definedName>
    <definedName name="Subsistema" localSheetId="1">'[5]Listas desplegables'!#REF!</definedName>
    <definedName name="Subsistema" localSheetId="5">[1]Listas!$M$2:$M$9</definedName>
    <definedName name="Subsistema" localSheetId="4">[1]Listas!$M$2:$M$9</definedName>
    <definedName name="Subsistema" localSheetId="6">'[5]Listas desplegables'!#REF!</definedName>
    <definedName name="Subsistema">'[4]Listas desplegables'!#REF!</definedName>
    <definedName name="Tenencia" localSheetId="2">'[4]Listas desplegables'!#REF!</definedName>
    <definedName name="Tenencia" localSheetId="7">'[33]Listas desplegables'!#REF!</definedName>
    <definedName name="Tenencia" localSheetId="1">'[5]Listas desplegables'!#REF!</definedName>
    <definedName name="Tenencia" localSheetId="5">[1]Listas!$S$2:$S$6</definedName>
    <definedName name="Tenencia" localSheetId="4">[1]Listas!$S$2:$S$6</definedName>
    <definedName name="Tenencia" localSheetId="6">'[5]Listas desplegables'!#REF!</definedName>
    <definedName name="Tenencia">'[4]Listas desplegables'!#REF!</definedName>
    <definedName name="Tipo" localSheetId="5">[12]Hoja1!$B$1:$B$3</definedName>
    <definedName name="Tipo" localSheetId="4">[12]Hoja1!$B$1:$B$3</definedName>
    <definedName name="Tipo">[13]Hoja1!$B$1:$B$3</definedName>
    <definedName name="Tipo_Meta" localSheetId="2">'[4]Listas desplegables'!#REF!</definedName>
    <definedName name="Tipo_Meta" localSheetId="7">'[33]Listas desplegables'!#REF!</definedName>
    <definedName name="Tipo_Meta" localSheetId="1">'[5]Listas desplegables'!#REF!</definedName>
    <definedName name="Tipo_Meta" localSheetId="5">'[5]Listas desplegables'!#REF!</definedName>
    <definedName name="Tipo_Meta" localSheetId="4">'[5]Listas desplegables'!#REF!</definedName>
    <definedName name="Tipo_Meta" localSheetId="6">'[5]Listas desplegables'!#REF!</definedName>
    <definedName name="Tipo_Meta">'[4]Listas desplegables'!#REF!</definedName>
    <definedName name="TipoInd" localSheetId="2">'[4]Listas desplegables'!#REF!</definedName>
    <definedName name="TipoInd" localSheetId="7">'[33]Listas desplegables'!#REF!</definedName>
    <definedName name="TipoInd" localSheetId="1">'[5]Listas desplegables'!#REF!</definedName>
    <definedName name="TipoInd" localSheetId="5">'[5]Listas desplegables'!#REF!</definedName>
    <definedName name="TipoInd" localSheetId="4">'[5]Listas desplegables'!#REF!</definedName>
    <definedName name="TipoInd" localSheetId="6">'[5]Listas desplegables'!#REF!</definedName>
    <definedName name="TipoInd">'[4]Listas desplegables'!#REF!</definedName>
    <definedName name="TipoMeta" localSheetId="2">'[4]Listas desplegables'!#REF!</definedName>
    <definedName name="TipoMeta" localSheetId="7">'[33]Listas desplegables'!#REF!</definedName>
    <definedName name="TipoMeta" localSheetId="1">'[5]Listas desplegables'!#REF!</definedName>
    <definedName name="TipoMeta" localSheetId="5">#REF!</definedName>
    <definedName name="TipoMeta" localSheetId="4">#REF!</definedName>
    <definedName name="TipoMeta" localSheetId="6">'[5]Listas desplegables'!#REF!</definedName>
    <definedName name="TipoMeta">'[4]Listas desplegables'!#REF!</definedName>
    <definedName name="TipoOperación" localSheetId="2">'[4]Listas desplegables'!#REF!</definedName>
    <definedName name="TipoOperación" localSheetId="7">'[33]Listas desplegables'!#REF!</definedName>
    <definedName name="TipoOperación" localSheetId="1">'[5]Listas desplegables'!#REF!</definedName>
    <definedName name="TipoOperación" localSheetId="5">[1]Listas!$T$2:$T$5</definedName>
    <definedName name="TipoOperación" localSheetId="4">[1]Listas!$T$2:$T$5</definedName>
    <definedName name="TipoOperación" localSheetId="6">'[5]Listas desplegables'!#REF!</definedName>
    <definedName name="TipoOperación">'[4]Listas desplegables'!#REF!</definedName>
    <definedName name="UO" localSheetId="5">'[6]Listas desplegables'!$H$35:$H$69</definedName>
    <definedName name="UO" localSheetId="4">'[6]Listas desplegables'!$H$35:$H$69</definedName>
    <definedName name="UO">'[7]Listas desplegables'!$H$35:$H$69</definedName>
    <definedName name="VALORACION">[2]Listas!$A$121:$A$125</definedName>
  </definedNames>
  <calcPr calcId="181029"/>
  <extLst>
    <ext xmlns:x15="http://schemas.microsoft.com/office/spreadsheetml/2010/11/main" uri="{140A7094-0E35-4892-8432-C4D2E57EDEB5}">
      <x15:workbookPr chartTrackingRefBase="1"/>
    </ext>
    <ext xmlns:xxlnp="http://schemas.microsoft.com/office/spreadsheetml/2019/extlinksprops" uri="{FCE6A71B-6B00-49CD-AB44-F6B1AE7CDE65}">
      <xxlnp:externalLinksPr autoRefresh="1"/>
    </ext>
  </extLst>
</workbook>
</file>

<file path=xl/calcChain.xml><?xml version="1.0" encoding="utf-8"?>
<calcChain xmlns="http://schemas.openxmlformats.org/spreadsheetml/2006/main">
  <c r="R91" i="18" l="1"/>
  <c r="L91" i="18"/>
  <c r="R88" i="18"/>
  <c r="L88" i="18"/>
  <c r="AA87" i="18"/>
  <c r="R87" i="18"/>
  <c r="L87" i="18"/>
  <c r="R86" i="18"/>
  <c r="L86" i="18"/>
  <c r="R84" i="18"/>
  <c r="L84" i="18"/>
  <c r="R83" i="18"/>
  <c r="L83" i="18"/>
  <c r="R82" i="18"/>
  <c r="L82" i="18"/>
  <c r="R81" i="18"/>
  <c r="R73" i="18"/>
  <c r="L73" i="18"/>
  <c r="R70" i="18"/>
  <c r="L70" i="18"/>
  <c r="R68" i="18"/>
  <c r="L68" i="18"/>
  <c r="R65" i="18"/>
  <c r="L65" i="18"/>
  <c r="R62" i="18"/>
  <c r="L62" i="18"/>
  <c r="R60" i="18"/>
  <c r="L60" i="18"/>
  <c r="R58" i="18"/>
  <c r="L58" i="18"/>
  <c r="R56" i="18"/>
  <c r="L56" i="18"/>
  <c r="R55" i="18"/>
  <c r="L55" i="18"/>
  <c r="R54" i="18"/>
  <c r="L54" i="18"/>
  <c r="R53" i="18"/>
  <c r="L53" i="18"/>
  <c r="R50" i="18"/>
  <c r="L50" i="18"/>
  <c r="R48" i="18"/>
  <c r="L48" i="18"/>
  <c r="R47" i="18"/>
  <c r="L47" i="18"/>
  <c r="R46" i="18"/>
  <c r="L46" i="18"/>
  <c r="R45" i="18"/>
  <c r="L45" i="18"/>
  <c r="R42" i="18"/>
  <c r="L42" i="18"/>
  <c r="R40" i="18"/>
  <c r="L40" i="18"/>
  <c r="R38" i="18"/>
  <c r="L38" i="18"/>
  <c r="R37" i="18"/>
  <c r="L37" i="18"/>
  <c r="R36" i="18"/>
  <c r="L36" i="18"/>
  <c r="R35" i="18"/>
  <c r="L35" i="18"/>
  <c r="R34" i="18"/>
  <c r="L34" i="18"/>
  <c r="R33" i="18"/>
  <c r="L33" i="18"/>
  <c r="R29" i="18"/>
  <c r="L29" i="18"/>
  <c r="R26" i="18"/>
  <c r="L26" i="18"/>
  <c r="R24" i="18"/>
  <c r="L24" i="18"/>
  <c r="R23" i="18"/>
  <c r="L23" i="18"/>
  <c r="R22" i="18"/>
  <c r="L22" i="18"/>
  <c r="R21" i="18"/>
  <c r="L21" i="18"/>
  <c r="R19" i="18"/>
  <c r="L19" i="18"/>
  <c r="R18" i="18"/>
  <c r="L18" i="18"/>
  <c r="R16" i="18"/>
  <c r="L16" i="18"/>
  <c r="R15" i="18"/>
  <c r="L15" i="18"/>
  <c r="R14" i="18"/>
  <c r="L14" i="18"/>
  <c r="R13" i="18"/>
  <c r="L13" i="18"/>
  <c r="R12" i="18"/>
  <c r="L12" i="18"/>
  <c r="AG11" i="18"/>
  <c r="R11" i="18"/>
  <c r="L11" i="18"/>
  <c r="U12" i="17" l="1"/>
  <c r="V12" i="17"/>
  <c r="W12" i="17"/>
  <c r="X12" i="17"/>
  <c r="Y12" i="17"/>
  <c r="Z12" i="17"/>
  <c r="AA12" i="17"/>
  <c r="AB12" i="17"/>
  <c r="AC12" i="17"/>
  <c r="AD12" i="17"/>
  <c r="AE12" i="17"/>
  <c r="AF12" i="17"/>
  <c r="AG12" i="17"/>
  <c r="AH12" i="17"/>
  <c r="AI12" i="17"/>
  <c r="AJ12" i="17"/>
  <c r="AK12" i="17"/>
  <c r="AL12" i="17"/>
  <c r="AM12" i="17"/>
  <c r="AN12" i="17"/>
  <c r="AO12" i="17"/>
  <c r="AP12" i="17"/>
  <c r="AQ12" i="17"/>
  <c r="AR12" i="17"/>
  <c r="AS12" i="17"/>
  <c r="AT12" i="17"/>
  <c r="AU12" i="17"/>
  <c r="AV12" i="17"/>
  <c r="AW12" i="17"/>
  <c r="AX12" i="17"/>
  <c r="AY12" i="17"/>
  <c r="AZ12" i="17"/>
  <c r="BA12" i="17"/>
  <c r="BB12" i="17"/>
  <c r="BC12" i="17"/>
  <c r="BD12" i="17"/>
  <c r="BE12" i="17"/>
  <c r="BF12" i="17"/>
  <c r="BG12" i="17"/>
  <c r="BH12" i="17"/>
  <c r="BI12" i="17"/>
  <c r="BJ12" i="17"/>
  <c r="BK12" i="17"/>
  <c r="BL12" i="17"/>
  <c r="BM12" i="17"/>
  <c r="BN12" i="17"/>
  <c r="BO12" i="17"/>
  <c r="BP12" i="17"/>
  <c r="BQ12" i="17"/>
  <c r="BR12" i="17"/>
  <c r="BS12" i="17"/>
  <c r="BT12" i="17"/>
  <c r="BU12" i="17"/>
  <c r="BV12" i="17"/>
  <c r="BW12" i="17"/>
  <c r="BX12" i="17"/>
  <c r="BY12" i="17"/>
  <c r="BZ12" i="17"/>
  <c r="CA12" i="17"/>
  <c r="CB12" i="17"/>
  <c r="AG13" i="17"/>
  <c r="AV13" i="17"/>
  <c r="BK13" i="17"/>
  <c r="BZ13" i="17"/>
  <c r="CE13" i="17"/>
  <c r="CF13" i="17"/>
  <c r="CG13" i="17"/>
  <c r="CH13" i="17" s="1"/>
  <c r="CJ13" i="17" s="1"/>
  <c r="CI13" i="17"/>
  <c r="AG14" i="17"/>
  <c r="AV14" i="17"/>
  <c r="BK14" i="17"/>
  <c r="BZ14" i="17"/>
  <c r="CE14" i="17"/>
  <c r="CG14" i="17" s="1"/>
  <c r="CH14" i="17" s="1"/>
  <c r="CF14" i="17"/>
  <c r="CI14" i="17"/>
  <c r="W15" i="17"/>
  <c r="AB15" i="17"/>
  <c r="AG15" i="17"/>
  <c r="AL15" i="17"/>
  <c r="AQ15" i="17"/>
  <c r="AV15" i="17"/>
  <c r="BA15" i="17"/>
  <c r="BF15" i="17"/>
  <c r="BK15" i="17"/>
  <c r="BP15" i="17"/>
  <c r="BZ15" i="17"/>
  <c r="CE15" i="17"/>
  <c r="CF15" i="17"/>
  <c r="CG15" i="17"/>
  <c r="CH15" i="17"/>
  <c r="CJ15" i="17" s="1"/>
  <c r="CI15" i="17"/>
  <c r="AG16" i="17"/>
  <c r="AV16" i="17"/>
  <c r="BK16" i="17"/>
  <c r="BZ16" i="17"/>
  <c r="CE16" i="17"/>
  <c r="CG16" i="17" s="1"/>
  <c r="CH16" i="17" s="1"/>
  <c r="CJ16" i="17" s="1"/>
  <c r="CF16" i="17"/>
  <c r="CI16" i="17"/>
  <c r="CE17" i="17"/>
  <c r="CF17" i="17"/>
  <c r="CG17" i="17"/>
  <c r="CH17" i="17"/>
  <c r="CJ17" i="17" s="1"/>
  <c r="CI17" i="17"/>
  <c r="CE18" i="17"/>
  <c r="CF18" i="17"/>
  <c r="CI18" i="17"/>
  <c r="CE19" i="17"/>
  <c r="CF19" i="17"/>
  <c r="CG19" i="17"/>
  <c r="CH19" i="17"/>
  <c r="CJ19" i="17" s="1"/>
  <c r="CI19" i="17"/>
  <c r="AV20" i="17"/>
  <c r="CE20" i="17"/>
  <c r="CG20" i="17" s="1"/>
  <c r="CH20" i="17" s="1"/>
  <c r="CJ20" i="17" s="1"/>
  <c r="CF20" i="17"/>
  <c r="CI20" i="17"/>
  <c r="AV21" i="17"/>
  <c r="CE21" i="17"/>
  <c r="CF21" i="17"/>
  <c r="CI21" i="17"/>
  <c r="AV22" i="17"/>
  <c r="BZ22" i="17"/>
  <c r="CE22" i="17"/>
  <c r="CF22" i="17"/>
  <c r="CI22" i="17"/>
  <c r="AG23" i="17"/>
  <c r="AV23" i="17"/>
  <c r="BK23" i="17"/>
  <c r="BZ23" i="17"/>
  <c r="CE23" i="17"/>
  <c r="CF23" i="17"/>
  <c r="CG23" i="17"/>
  <c r="CH23" i="17"/>
  <c r="CJ23" i="17" s="1"/>
  <c r="CI23" i="17"/>
  <c r="AL24" i="17"/>
  <c r="AQ24" i="17"/>
  <c r="BA24" i="17"/>
  <c r="BF24" i="17"/>
  <c r="BK24" i="17"/>
  <c r="BP24" i="17"/>
  <c r="BU24" i="17"/>
  <c r="BZ24" i="17"/>
  <c r="CE24" i="17"/>
  <c r="CF24" i="17"/>
  <c r="CI24" i="17"/>
  <c r="AV25" i="17"/>
  <c r="CE25" i="17"/>
  <c r="CF25" i="17"/>
  <c r="CG25" i="17"/>
  <c r="CH25" i="17" s="1"/>
  <c r="CJ25" i="17" s="1"/>
  <c r="CI25" i="17"/>
  <c r="AG26" i="17"/>
  <c r="AV26" i="17"/>
  <c r="BK26" i="17"/>
  <c r="CE26" i="17"/>
  <c r="CF26" i="17"/>
  <c r="CI26" i="17"/>
  <c r="W27" i="17"/>
  <c r="AB27" i="17"/>
  <c r="AG27" i="17"/>
  <c r="AL27" i="17"/>
  <c r="AQ27" i="17"/>
  <c r="AV27" i="17"/>
  <c r="BA27" i="17"/>
  <c r="BF27" i="17"/>
  <c r="BK27" i="17"/>
  <c r="BN27" i="17"/>
  <c r="BO27" i="17"/>
  <c r="BP27" i="17"/>
  <c r="BS27" i="17"/>
  <c r="BT27" i="17"/>
  <c r="BU27" i="17"/>
  <c r="BX27" i="17"/>
  <c r="BY27" i="17"/>
  <c r="CF27" i="17"/>
  <c r="CI27" i="17"/>
  <c r="W28" i="17"/>
  <c r="AB28" i="17"/>
  <c r="AG28" i="17"/>
  <c r="AL28" i="17"/>
  <c r="AQ28" i="17"/>
  <c r="BA28" i="17"/>
  <c r="BF28" i="17"/>
  <c r="BK28" i="17"/>
  <c r="BP28" i="17"/>
  <c r="BU28" i="17"/>
  <c r="BZ28" i="17"/>
  <c r="CE28" i="17"/>
  <c r="CG28" i="17" s="1"/>
  <c r="CH28" i="17" s="1"/>
  <c r="CF28" i="17"/>
  <c r="CI28" i="17"/>
  <c r="W29" i="17"/>
  <c r="AB29" i="17"/>
  <c r="AV29" i="17"/>
  <c r="BA29" i="17"/>
  <c r="BD29" i="17"/>
  <c r="BF29" i="17"/>
  <c r="BK29" i="17"/>
  <c r="BP29" i="17"/>
  <c r="BU29" i="17"/>
  <c r="BZ29" i="17"/>
  <c r="CE29" i="17"/>
  <c r="CG29" i="17" s="1"/>
  <c r="CH29" i="17" s="1"/>
  <c r="CF29" i="17"/>
  <c r="CI29" i="17"/>
  <c r="AV30" i="17"/>
  <c r="BZ30" i="17"/>
  <c r="CE30" i="17"/>
  <c r="CG30" i="17" s="1"/>
  <c r="CH30" i="17" s="1"/>
  <c r="CJ30" i="17" s="1"/>
  <c r="CF30" i="17"/>
  <c r="CI30" i="17"/>
  <c r="BK31" i="17"/>
  <c r="BZ31" i="17"/>
  <c r="CE31" i="17"/>
  <c r="CG31" i="17" s="1"/>
  <c r="CH31" i="17" s="1"/>
  <c r="CJ31" i="17" s="1"/>
  <c r="CF31" i="17"/>
  <c r="CI31" i="17"/>
  <c r="AV32" i="17"/>
  <c r="BZ32" i="17"/>
  <c r="CE32" i="17"/>
  <c r="CG32" i="17" s="1"/>
  <c r="CH32" i="17" s="1"/>
  <c r="CF32" i="17"/>
  <c r="CI32" i="17"/>
  <c r="BZ33" i="17"/>
  <c r="CE33" i="17"/>
  <c r="CG33" i="17" s="1"/>
  <c r="CH33" i="17" s="1"/>
  <c r="CF33" i="17"/>
  <c r="CI33" i="17"/>
  <c r="CJ33" i="17"/>
  <c r="W34" i="17"/>
  <c r="AB34" i="17"/>
  <c r="AG34" i="17"/>
  <c r="AL34" i="17"/>
  <c r="AQ34" i="17"/>
  <c r="AV34" i="17"/>
  <c r="BA34" i="17"/>
  <c r="BF34" i="17"/>
  <c r="BK34" i="17"/>
  <c r="BP34" i="17"/>
  <c r="BU34" i="17"/>
  <c r="BZ34" i="17"/>
  <c r="CE34" i="17"/>
  <c r="CF34" i="17"/>
  <c r="CG34" i="17"/>
  <c r="CH34" i="17"/>
  <c r="CJ34" i="17" s="1"/>
  <c r="CI34" i="17"/>
  <c r="W35" i="17"/>
  <c r="AB35" i="17"/>
  <c r="AG35" i="17"/>
  <c r="AL35" i="17"/>
  <c r="AQ35" i="17"/>
  <c r="AU35" i="17"/>
  <c r="BA35" i="17"/>
  <c r="BF35" i="17"/>
  <c r="BK35" i="17"/>
  <c r="BU35" i="17"/>
  <c r="CE35" i="17"/>
  <c r="CH35" i="17"/>
  <c r="CI35" i="17"/>
  <c r="CJ35" i="17"/>
  <c r="AV36" i="17"/>
  <c r="BK36" i="17"/>
  <c r="BZ36" i="17"/>
  <c r="CE36" i="17"/>
  <c r="CG36" i="17" s="1"/>
  <c r="CH36" i="17" s="1"/>
  <c r="CJ36" i="17" s="1"/>
  <c r="CF36" i="17"/>
  <c r="CI36" i="17"/>
  <c r="AG37" i="17"/>
  <c r="AV37" i="17"/>
  <c r="BK37" i="17"/>
  <c r="BZ37" i="17"/>
  <c r="CE37" i="17"/>
  <c r="CF37" i="17"/>
  <c r="CG37" i="17"/>
  <c r="CH37" i="17"/>
  <c r="CJ37" i="17" s="1"/>
  <c r="CI37" i="17"/>
  <c r="AG38" i="17"/>
  <c r="AV38" i="17"/>
  <c r="CG38" i="17"/>
  <c r="CH38" i="17" s="1"/>
  <c r="CJ38" i="17" s="1"/>
  <c r="CI38" i="17"/>
  <c r="W39" i="17"/>
  <c r="AB39" i="17"/>
  <c r="AG39" i="17"/>
  <c r="AL39" i="17"/>
  <c r="AQ39" i="17"/>
  <c r="AV39" i="17"/>
  <c r="BA39" i="17"/>
  <c r="BF39" i="17"/>
  <c r="BK39" i="17"/>
  <c r="BP39" i="17"/>
  <c r="BU39" i="17"/>
  <c r="BZ39" i="17"/>
  <c r="CE39" i="17"/>
  <c r="CF39" i="17"/>
  <c r="CG39" i="17"/>
  <c r="CH39" i="17" s="1"/>
  <c r="CI39" i="17"/>
  <c r="AG40" i="17"/>
  <c r="AV40" i="17"/>
  <c r="BK40" i="17"/>
  <c r="BZ40" i="17"/>
  <c r="CE40" i="17"/>
  <c r="CF40" i="17"/>
  <c r="CG40" i="17" s="1"/>
  <c r="CH40" i="17" s="1"/>
  <c r="CI40" i="17"/>
  <c r="AE41" i="17"/>
  <c r="AG41" i="17"/>
  <c r="AV41" i="17"/>
  <c r="BK41" i="17"/>
  <c r="BZ41" i="17"/>
  <c r="CE41" i="17"/>
  <c r="CG41" i="17" s="1"/>
  <c r="CH41" i="17" s="1"/>
  <c r="CJ41" i="17" s="1"/>
  <c r="CF41" i="17"/>
  <c r="CI41" i="17"/>
  <c r="AV42" i="17"/>
  <c r="BK42" i="17"/>
  <c r="BZ42" i="17"/>
  <c r="CE42" i="17"/>
  <c r="CF42" i="17"/>
  <c r="CG42" i="17"/>
  <c r="CH42" i="17" s="1"/>
  <c r="CJ42" i="17" s="1"/>
  <c r="CI42" i="17"/>
  <c r="W43" i="17"/>
  <c r="AB43" i="17"/>
  <c r="AG43" i="17"/>
  <c r="AV43" i="17"/>
  <c r="BA43" i="17"/>
  <c r="BF43" i="17"/>
  <c r="BK43" i="17"/>
  <c r="BP43" i="17"/>
  <c r="BU43" i="17"/>
  <c r="BZ43" i="17"/>
  <c r="CE43" i="17"/>
  <c r="CF43" i="17"/>
  <c r="CG43" i="17"/>
  <c r="CH43" i="17" s="1"/>
  <c r="CJ43" i="17" s="1"/>
  <c r="CI43" i="17"/>
  <c r="AB44" i="17"/>
  <c r="AG44" i="17"/>
  <c r="AV44" i="17"/>
  <c r="BK44" i="17"/>
  <c r="BZ44" i="17"/>
  <c r="CE44" i="17"/>
  <c r="CG44" i="17" s="1"/>
  <c r="CH44" i="17" s="1"/>
  <c r="CJ44" i="17" s="1"/>
  <c r="CF44" i="17"/>
  <c r="CI44" i="17"/>
  <c r="AV45" i="17"/>
  <c r="BZ45" i="17"/>
  <c r="CE45" i="17"/>
  <c r="CG45" i="17" s="1"/>
  <c r="CF45" i="17"/>
  <c r="CH45" i="17"/>
  <c r="CJ45" i="17" s="1"/>
  <c r="CI45" i="17"/>
  <c r="AV46" i="17"/>
  <c r="BU46" i="17"/>
  <c r="BZ46" i="17"/>
  <c r="CE46" i="17"/>
  <c r="CF46" i="17"/>
  <c r="CG46" i="17"/>
  <c r="CH46" i="17"/>
  <c r="CJ46" i="17" s="1"/>
  <c r="CI46" i="17"/>
  <c r="W47" i="17"/>
  <c r="AB47" i="17"/>
  <c r="AG47" i="17"/>
  <c r="AL47" i="17"/>
  <c r="AQ47" i="17"/>
  <c r="AV47" i="17"/>
  <c r="BA47" i="17"/>
  <c r="BF47" i="17"/>
  <c r="BK47" i="17"/>
  <c r="BP47" i="17"/>
  <c r="BU47" i="17"/>
  <c r="BZ47" i="17"/>
  <c r="CE47" i="17"/>
  <c r="CF47" i="17"/>
  <c r="CI47" i="17"/>
  <c r="W48" i="17"/>
  <c r="AB48" i="17"/>
  <c r="AG48" i="17"/>
  <c r="AL48" i="17"/>
  <c r="AQ48" i="17"/>
  <c r="AV48" i="17"/>
  <c r="BA48" i="17"/>
  <c r="BF48" i="17"/>
  <c r="BK48" i="17"/>
  <c r="BP48" i="17"/>
  <c r="BU48" i="17"/>
  <c r="BZ48" i="17"/>
  <c r="CE48" i="17"/>
  <c r="CF48" i="17"/>
  <c r="CG48" i="17"/>
  <c r="CH48" i="17" s="1"/>
  <c r="CJ48" i="17" s="1"/>
  <c r="CI48" i="17"/>
  <c r="AV49" i="17"/>
  <c r="BZ49" i="17"/>
  <c r="CE49" i="17"/>
  <c r="CF49" i="17"/>
  <c r="CG49" i="17"/>
  <c r="CH49" i="17"/>
  <c r="CJ49" i="17" s="1"/>
  <c r="CI49" i="17"/>
  <c r="AV50" i="17"/>
  <c r="BZ50" i="17"/>
  <c r="CE50" i="17"/>
  <c r="CF50" i="17"/>
  <c r="CG50" i="17"/>
  <c r="CH50" i="17"/>
  <c r="CJ50" i="17" s="1"/>
  <c r="CI50" i="17"/>
  <c r="AV51" i="17"/>
  <c r="BZ51" i="17"/>
  <c r="CE51" i="17"/>
  <c r="CF51" i="17"/>
  <c r="CG51" i="17"/>
  <c r="CH51" i="17" s="1"/>
  <c r="CJ51" i="17" s="1"/>
  <c r="CI51" i="17"/>
  <c r="AB52" i="17"/>
  <c r="AG52" i="17"/>
  <c r="AL52" i="17"/>
  <c r="AQ52" i="17"/>
  <c r="AV52" i="17"/>
  <c r="BK52" i="17"/>
  <c r="BP52" i="17"/>
  <c r="BU52" i="17"/>
  <c r="BZ52" i="17"/>
  <c r="CE52" i="17"/>
  <c r="CG52" i="17" s="1"/>
  <c r="CF52" i="17"/>
  <c r="CH52" i="17"/>
  <c r="CI52" i="17"/>
  <c r="AV53" i="17"/>
  <c r="BF53" i="17"/>
  <c r="BI53" i="17"/>
  <c r="BK53" i="17" s="1"/>
  <c r="BJ53" i="17"/>
  <c r="BN53" i="17"/>
  <c r="BP53" i="17" s="1"/>
  <c r="BO53" i="17"/>
  <c r="BS53" i="17"/>
  <c r="BU53" i="17"/>
  <c r="BX53" i="17"/>
  <c r="BZ53" i="17" s="1"/>
  <c r="BY53" i="17"/>
  <c r="CE53" i="17"/>
  <c r="CF53" i="17"/>
  <c r="CI53" i="17"/>
  <c r="AV54" i="17"/>
  <c r="BZ54" i="17"/>
  <c r="CE54" i="17"/>
  <c r="CG54" i="17" s="1"/>
  <c r="CH54" i="17" s="1"/>
  <c r="CF54" i="17"/>
  <c r="CI54" i="17"/>
  <c r="CJ54" i="17"/>
  <c r="AV55" i="17"/>
  <c r="BK55" i="17"/>
  <c r="BZ55" i="17"/>
  <c r="CE55" i="17"/>
  <c r="CG55" i="17" s="1"/>
  <c r="CH55" i="17" s="1"/>
  <c r="CJ55" i="17" s="1"/>
  <c r="CF55" i="17"/>
  <c r="CI55" i="17"/>
  <c r="AV56" i="17"/>
  <c r="BZ56" i="17"/>
  <c r="CE56" i="17"/>
  <c r="CG56" i="17" s="1"/>
  <c r="CF56" i="17"/>
  <c r="CH56" i="17"/>
  <c r="CJ56" i="17" s="1"/>
  <c r="CI56" i="17"/>
  <c r="AG57" i="17"/>
  <c r="AV57" i="17"/>
  <c r="BK57" i="17"/>
  <c r="BZ57" i="17"/>
  <c r="CE57" i="17"/>
  <c r="CF57" i="17"/>
  <c r="CG57" i="17"/>
  <c r="CH57" i="17" s="1"/>
  <c r="CJ57" i="17" s="1"/>
  <c r="CI57" i="17"/>
  <c r="BK58" i="17"/>
  <c r="BZ58" i="17"/>
  <c r="CE58" i="17"/>
  <c r="CF58" i="17"/>
  <c r="CG58" i="17"/>
  <c r="CH58" i="17" s="1"/>
  <c r="CJ58" i="17" s="1"/>
  <c r="CI58" i="17"/>
  <c r="W59" i="17"/>
  <c r="AB59" i="17"/>
  <c r="AG59" i="17"/>
  <c r="CE59" i="17"/>
  <c r="CG59" i="17" s="1"/>
  <c r="CH59" i="17" s="1"/>
  <c r="CF59" i="17"/>
  <c r="CI59" i="17"/>
  <c r="CJ59" i="17"/>
  <c r="AG60" i="17"/>
  <c r="AU60" i="17"/>
  <c r="AV60" i="17"/>
  <c r="BK60" i="17"/>
  <c r="BZ60" i="17"/>
  <c r="CE60" i="17"/>
  <c r="CG60" i="17"/>
  <c r="CH60" i="17"/>
  <c r="CJ60" i="17" s="1"/>
  <c r="CI60" i="17"/>
  <c r="AG61" i="17"/>
  <c r="AV61" i="17"/>
  <c r="CE61" i="17"/>
  <c r="CF61" i="17"/>
  <c r="CG61" i="17"/>
  <c r="CH61" i="17"/>
  <c r="CJ61" i="17" s="1"/>
  <c r="CI61" i="17"/>
  <c r="AG62" i="17"/>
  <c r="AV62" i="17"/>
  <c r="BK62" i="17"/>
  <c r="BZ62" i="17"/>
  <c r="CE62" i="17"/>
  <c r="CG62" i="17" s="1"/>
  <c r="CH62" i="17" s="1"/>
  <c r="CF62" i="17"/>
  <c r="CI62" i="17"/>
  <c r="CJ62" i="17"/>
  <c r="W63" i="17"/>
  <c r="AB63" i="17"/>
  <c r="AG63" i="17"/>
  <c r="AL63" i="17"/>
  <c r="AV63" i="17"/>
  <c r="BA63" i="17"/>
  <c r="BF63" i="17"/>
  <c r="BK63" i="17"/>
  <c r="BP63" i="17"/>
  <c r="BU63" i="17"/>
  <c r="BZ63" i="17"/>
  <c r="CE63" i="17"/>
  <c r="CG63" i="17" s="1"/>
  <c r="CH63" i="17" s="1"/>
  <c r="CJ63" i="17" s="1"/>
  <c r="CF63" i="17"/>
  <c r="CI63" i="17"/>
  <c r="AV64" i="17"/>
  <c r="BK64" i="17"/>
  <c r="BZ64" i="17"/>
  <c r="CE64" i="17"/>
  <c r="CF64" i="17"/>
  <c r="CG64" i="17"/>
  <c r="CH64" i="17" s="1"/>
  <c r="CJ64" i="17" s="1"/>
  <c r="CI64" i="17"/>
  <c r="AV65" i="17"/>
  <c r="BK65" i="17"/>
  <c r="BZ65" i="17"/>
  <c r="CE65" i="17"/>
  <c r="CF65" i="17"/>
  <c r="CG65" i="17" s="1"/>
  <c r="CH65" i="17" s="1"/>
  <c r="CJ65" i="17" s="1"/>
  <c r="CI65" i="17"/>
  <c r="AV66" i="17"/>
  <c r="BK66" i="17"/>
  <c r="BZ66" i="17"/>
  <c r="CE66" i="17"/>
  <c r="CF66" i="17"/>
  <c r="CI66" i="17"/>
  <c r="BZ67" i="17"/>
  <c r="CE67" i="17"/>
  <c r="CF67" i="17"/>
  <c r="CG67" i="17" s="1"/>
  <c r="CH67" i="17" s="1"/>
  <c r="CJ67" i="17" s="1"/>
  <c r="CI67" i="17"/>
  <c r="W68" i="17"/>
  <c r="AB68" i="17"/>
  <c r="AG68" i="17"/>
  <c r="AL68" i="17"/>
  <c r="AQ68" i="17"/>
  <c r="AV68" i="17"/>
  <c r="BA68" i="17"/>
  <c r="BF68" i="17"/>
  <c r="BK68" i="17"/>
  <c r="BP68" i="17"/>
  <c r="BU68" i="17"/>
  <c r="BZ68" i="17"/>
  <c r="CE68" i="17"/>
  <c r="CG68" i="17" s="1"/>
  <c r="CF68" i="17"/>
  <c r="CH68" i="17"/>
  <c r="CI68" i="17"/>
  <c r="AG69" i="17"/>
  <c r="AV69" i="17"/>
  <c r="BK69" i="17"/>
  <c r="BZ69" i="17"/>
  <c r="CE69" i="17"/>
  <c r="CF69" i="17"/>
  <c r="CG69" i="17"/>
  <c r="CH69" i="17" s="1"/>
  <c r="CJ69" i="17" s="1"/>
  <c r="CI69" i="17"/>
  <c r="W70" i="17"/>
  <c r="AB70" i="17"/>
  <c r="AG70" i="17"/>
  <c r="AL70" i="17"/>
  <c r="AQ70" i="17"/>
  <c r="AV70" i="17"/>
  <c r="BA70" i="17"/>
  <c r="BF70" i="17"/>
  <c r="BK70" i="17"/>
  <c r="BP70" i="17"/>
  <c r="BU70" i="17"/>
  <c r="BZ70" i="17"/>
  <c r="CE70" i="17"/>
  <c r="CG70" i="17" s="1"/>
  <c r="CF70" i="17"/>
  <c r="CH70" i="17"/>
  <c r="CJ70" i="17" s="1"/>
  <c r="CI70" i="17"/>
  <c r="AG71" i="17"/>
  <c r="AV71" i="17"/>
  <c r="BK71" i="17"/>
  <c r="BZ71" i="17"/>
  <c r="CE71" i="17"/>
  <c r="CF71" i="17"/>
  <c r="CG71" i="17"/>
  <c r="CH71" i="17" s="1"/>
  <c r="CJ71" i="17" s="1"/>
  <c r="CI71" i="17"/>
  <c r="W72" i="17"/>
  <c r="AB72" i="17"/>
  <c r="AG72" i="17"/>
  <c r="AL72" i="17"/>
  <c r="AQ72" i="17"/>
  <c r="AV72" i="17"/>
  <c r="BA72" i="17"/>
  <c r="BF72" i="17"/>
  <c r="BK72" i="17"/>
  <c r="BP72" i="17"/>
  <c r="BU72" i="17"/>
  <c r="BZ72" i="17"/>
  <c r="CE72" i="17"/>
  <c r="CG72" i="17" s="1"/>
  <c r="CH72" i="17" s="1"/>
  <c r="CJ72" i="17" s="1"/>
  <c r="CF72" i="17"/>
  <c r="CI72" i="17"/>
  <c r="AG73" i="17"/>
  <c r="AV73" i="17"/>
  <c r="BK73" i="17"/>
  <c r="BZ73" i="17"/>
  <c r="CE73" i="17"/>
  <c r="CF73" i="17"/>
  <c r="CG73" i="17" s="1"/>
  <c r="CH73" i="17" s="1"/>
  <c r="CJ73" i="17" s="1"/>
  <c r="CI73" i="17"/>
  <c r="AB74" i="17"/>
  <c r="AL74" i="17"/>
  <c r="AV74" i="17"/>
  <c r="BF74" i="17"/>
  <c r="BP74" i="17"/>
  <c r="BZ74" i="17"/>
  <c r="CE74" i="17"/>
  <c r="CF74" i="17"/>
  <c r="CG74" i="17"/>
  <c r="CH74" i="17" s="1"/>
  <c r="CJ74" i="17" s="1"/>
  <c r="CI74" i="17"/>
  <c r="AL75" i="17"/>
  <c r="AQ75" i="17"/>
  <c r="AV75" i="17"/>
  <c r="BA75" i="17"/>
  <c r="BF75" i="17"/>
  <c r="BK75" i="17"/>
  <c r="BP75" i="17"/>
  <c r="BU75" i="17"/>
  <c r="BZ75" i="17"/>
  <c r="CE75" i="17"/>
  <c r="CF75" i="17"/>
  <c r="CG75" i="17"/>
  <c r="CH75" i="17"/>
  <c r="CJ75" i="17" s="1"/>
  <c r="CI75" i="17"/>
  <c r="BZ76" i="17"/>
  <c r="CE76" i="17"/>
  <c r="CG76" i="17" s="1"/>
  <c r="CF76" i="17"/>
  <c r="CH76" i="17"/>
  <c r="CJ76" i="17" s="1"/>
  <c r="CI76" i="17"/>
  <c r="AB77" i="17"/>
  <c r="AG77" i="17"/>
  <c r="AL77" i="17"/>
  <c r="AQ77" i="17"/>
  <c r="AV77" i="17"/>
  <c r="BA77" i="17"/>
  <c r="BF77" i="17"/>
  <c r="BK77" i="17"/>
  <c r="BP77" i="17"/>
  <c r="BU77" i="17"/>
  <c r="CE77" i="17"/>
  <c r="CG77" i="17" s="1"/>
  <c r="CH77" i="17" s="1"/>
  <c r="CF77" i="17"/>
  <c r="CI77" i="17"/>
  <c r="AG78" i="17"/>
  <c r="BK78" i="17"/>
  <c r="BZ78" i="17"/>
  <c r="CE78" i="17"/>
  <c r="CG78" i="17" s="1"/>
  <c r="CH78" i="17" s="1"/>
  <c r="CJ78" i="17" s="1"/>
  <c r="CF78" i="17"/>
  <c r="CI78" i="17"/>
  <c r="AV79" i="17"/>
  <c r="BZ79" i="17"/>
  <c r="CE79" i="17"/>
  <c r="CG79" i="17" s="1"/>
  <c r="CF79" i="17"/>
  <c r="CH79" i="17"/>
  <c r="CI79" i="17"/>
  <c r="AG80" i="17"/>
  <c r="AV80" i="17"/>
  <c r="BK80" i="17"/>
  <c r="BZ80" i="17"/>
  <c r="CE80" i="17"/>
  <c r="CF80" i="17"/>
  <c r="CG80" i="17"/>
  <c r="CH80" i="17" s="1"/>
  <c r="CJ80" i="17" s="1"/>
  <c r="CI80" i="17"/>
  <c r="AG81" i="17"/>
  <c r="AV81" i="17"/>
  <c r="BK81" i="17"/>
  <c r="CE81" i="17"/>
  <c r="CF81" i="17"/>
  <c r="CI81" i="17"/>
  <c r="AV82" i="17"/>
  <c r="BZ82" i="17"/>
  <c r="CE82" i="17"/>
  <c r="CF82" i="17"/>
  <c r="CI82" i="17"/>
  <c r="CE83" i="17"/>
  <c r="CF83" i="17"/>
  <c r="CG83" i="17"/>
  <c r="CH83" i="17"/>
  <c r="CJ83" i="17" s="1"/>
  <c r="CI83" i="17"/>
  <c r="BK84" i="17"/>
  <c r="BP84" i="17"/>
  <c r="BU84" i="17"/>
  <c r="BZ84" i="17"/>
  <c r="CE84" i="17"/>
  <c r="CG84" i="17" s="1"/>
  <c r="CH84" i="17" s="1"/>
  <c r="CJ84" i="17" s="1"/>
  <c r="CF84" i="17"/>
  <c r="CI84" i="17"/>
  <c r="AG85" i="17"/>
  <c r="AV85" i="17"/>
  <c r="BK85" i="17"/>
  <c r="CG85" i="17"/>
  <c r="CH85" i="17" s="1"/>
  <c r="CJ85" i="17" s="1"/>
  <c r="CI85" i="17"/>
  <c r="AG86" i="17"/>
  <c r="AV86" i="17"/>
  <c r="BK86" i="17"/>
  <c r="CG86" i="17"/>
  <c r="CH86" i="17"/>
  <c r="CJ86" i="17" s="1"/>
  <c r="CI86" i="17"/>
  <c r="AV87" i="17"/>
  <c r="CG87" i="17"/>
  <c r="CH87" i="17" s="1"/>
  <c r="CI87" i="17"/>
  <c r="CJ87" i="17"/>
  <c r="CG88" i="17"/>
  <c r="CH88" i="17" s="1"/>
  <c r="CJ88" i="17" s="1"/>
  <c r="CI88" i="17"/>
  <c r="CG89" i="17"/>
  <c r="CH89" i="17" s="1"/>
  <c r="CJ89" i="17" s="1"/>
  <c r="CI89" i="17"/>
  <c r="AG90" i="17"/>
  <c r="BK90" i="17"/>
  <c r="BZ90" i="17"/>
  <c r="CE90" i="17"/>
  <c r="CG90" i="17" s="1"/>
  <c r="CH90" i="17" s="1"/>
  <c r="CF90" i="17"/>
  <c r="CI90" i="17"/>
  <c r="CJ90" i="17"/>
  <c r="AG91" i="17"/>
  <c r="AV91" i="17"/>
  <c r="BK91" i="17"/>
  <c r="BZ91" i="17"/>
  <c r="CE91" i="17"/>
  <c r="CF91" i="17"/>
  <c r="CG91" i="17"/>
  <c r="CH91" i="17"/>
  <c r="CJ91" i="17" s="1"/>
  <c r="CI91" i="17"/>
  <c r="AE92" i="17"/>
  <c r="AG92" i="17"/>
  <c r="AT92" i="17"/>
  <c r="AV92" i="17" s="1"/>
  <c r="BA92" i="17"/>
  <c r="BD92" i="17"/>
  <c r="BF92" i="17" s="1"/>
  <c r="BK92" i="17"/>
  <c r="BN92" i="17"/>
  <c r="BP92" i="17" s="1"/>
  <c r="BS92" i="17"/>
  <c r="BU92" i="17" s="1"/>
  <c r="BX92" i="17"/>
  <c r="CE92" i="17" s="1"/>
  <c r="CG92" i="17" s="1"/>
  <c r="CH92" i="17" s="1"/>
  <c r="CJ92" i="17" s="1"/>
  <c r="BZ92" i="17"/>
  <c r="CF92" i="17"/>
  <c r="CI92" i="17"/>
  <c r="AG93" i="17"/>
  <c r="AV93" i="17"/>
  <c r="BK93" i="17"/>
  <c r="BZ93" i="17"/>
  <c r="CE93" i="17"/>
  <c r="CG93" i="17" s="1"/>
  <c r="CH93" i="17" s="1"/>
  <c r="CF93" i="17"/>
  <c r="CI93" i="17"/>
  <c r="CJ93" i="17"/>
  <c r="AG94" i="17"/>
  <c r="AV94" i="17"/>
  <c r="BK94" i="17"/>
  <c r="BZ94" i="17"/>
  <c r="CE94" i="17"/>
  <c r="CF94" i="17"/>
  <c r="CG94" i="17"/>
  <c r="CH94" i="17"/>
  <c r="CJ94" i="17" s="1"/>
  <c r="CI94" i="17"/>
  <c r="AV95" i="17"/>
  <c r="BZ95" i="17"/>
  <c r="CE95" i="17"/>
  <c r="CF95" i="17"/>
  <c r="CG95" i="17"/>
  <c r="CH95" i="17"/>
  <c r="CJ95" i="17" s="1"/>
  <c r="CI95" i="17"/>
  <c r="AG96" i="17"/>
  <c r="AV96" i="17"/>
  <c r="BK96" i="17"/>
  <c r="BZ96" i="17"/>
  <c r="CE96" i="17"/>
  <c r="CG96" i="17" s="1"/>
  <c r="CH96" i="17" s="1"/>
  <c r="CF96" i="17"/>
  <c r="CI96" i="17"/>
  <c r="CJ96" i="17"/>
  <c r="AF97" i="17"/>
  <c r="AG97" i="17" s="1"/>
  <c r="BZ97" i="17"/>
  <c r="CE97" i="17"/>
  <c r="CG97" i="17" s="1"/>
  <c r="CH97" i="17" s="1"/>
  <c r="CJ97" i="17" s="1"/>
  <c r="CF97" i="17"/>
  <c r="CI97" i="17"/>
  <c r="AV98" i="17"/>
  <c r="BZ98" i="17"/>
  <c r="CG98" i="17"/>
  <c r="CH98" i="17" s="1"/>
  <c r="CI98" i="17"/>
  <c r="CJ98" i="17"/>
  <c r="AG99" i="17"/>
  <c r="AV99" i="17"/>
  <c r="BZ99" i="17"/>
  <c r="CE99" i="17"/>
  <c r="CF99" i="17"/>
  <c r="AV100" i="17"/>
  <c r="BZ100" i="17"/>
  <c r="CE100" i="17"/>
  <c r="CF100" i="17"/>
  <c r="CG100" i="17" s="1"/>
  <c r="CH100" i="17" s="1"/>
  <c r="CJ100" i="17" s="1"/>
  <c r="CI100" i="17"/>
  <c r="AG101" i="17"/>
  <c r="BK101" i="17"/>
  <c r="BZ101" i="17"/>
  <c r="CE101" i="17"/>
  <c r="CG101" i="17" s="1"/>
  <c r="CH101" i="17" s="1"/>
  <c r="CJ101" i="17" s="1"/>
  <c r="CF101" i="17"/>
  <c r="AG102" i="17"/>
  <c r="AV102" i="17"/>
  <c r="BK102" i="17"/>
  <c r="BP102" i="17"/>
  <c r="BU102" i="17"/>
  <c r="BX102" i="17"/>
  <c r="BZ102" i="17" s="1"/>
  <c r="CE102" i="17"/>
  <c r="CG102" i="17" s="1"/>
  <c r="CH102" i="17" s="1"/>
  <c r="CF102" i="17"/>
  <c r="CJ102" i="17"/>
  <c r="BZ103" i="17"/>
  <c r="CE103" i="17"/>
  <c r="CF103" i="17"/>
  <c r="CG103" i="17"/>
  <c r="CH103" i="17"/>
  <c r="CJ103" i="17" s="1"/>
  <c r="AG104" i="17"/>
  <c r="AV104" i="17"/>
  <c r="BK104" i="17"/>
  <c r="BZ104" i="17"/>
  <c r="CE104" i="17"/>
  <c r="CF104" i="17"/>
  <c r="CG104" i="17"/>
  <c r="CH104" i="17" s="1"/>
  <c r="CJ104" i="17" s="1"/>
  <c r="CI104" i="17"/>
  <c r="AG105" i="17"/>
  <c r="AV105" i="17"/>
  <c r="BK105" i="17"/>
  <c r="BZ105" i="17"/>
  <c r="CE105" i="17"/>
  <c r="CG105" i="17" s="1"/>
  <c r="CF105" i="17"/>
  <c r="CH105" i="17"/>
  <c r="CJ105" i="17" s="1"/>
  <c r="CI105" i="17"/>
  <c r="CG99" i="17" l="1"/>
  <c r="CH99" i="17" s="1"/>
  <c r="CJ99" i="17" s="1"/>
  <c r="CJ79" i="17"/>
  <c r="CG66" i="17"/>
  <c r="CH66" i="17" s="1"/>
  <c r="CJ66" i="17" s="1"/>
  <c r="CG47" i="17"/>
  <c r="CH47" i="17" s="1"/>
  <c r="CJ47" i="17" s="1"/>
  <c r="CJ29" i="17"/>
  <c r="CG26" i="17"/>
  <c r="CH26" i="17" s="1"/>
  <c r="CJ26" i="17" s="1"/>
  <c r="CG24" i="17"/>
  <c r="CH24" i="17" s="1"/>
  <c r="CJ24" i="17" s="1"/>
  <c r="CG82" i="17"/>
  <c r="CH82" i="17" s="1"/>
  <c r="CJ82" i="17" s="1"/>
  <c r="CJ68" i="17"/>
  <c r="CG53" i="17"/>
  <c r="CH53" i="17" s="1"/>
  <c r="CJ53" i="17" s="1"/>
  <c r="CJ52" i="17"/>
  <c r="CF35" i="17"/>
  <c r="CG35" i="17" s="1"/>
  <c r="AV35" i="17"/>
  <c r="CG21" i="17"/>
  <c r="CH21" i="17" s="1"/>
  <c r="CJ21" i="17" s="1"/>
  <c r="CG81" i="17"/>
  <c r="CH81" i="17" s="1"/>
  <c r="CJ81" i="17" s="1"/>
  <c r="CJ32" i="17"/>
  <c r="CJ28" i="17"/>
  <c r="BZ27" i="17"/>
  <c r="CE27" i="17"/>
  <c r="CG27" i="17" s="1"/>
  <c r="CH27" i="17" s="1"/>
  <c r="CJ27" i="17" s="1"/>
  <c r="CG22" i="17"/>
  <c r="CH22" i="17" s="1"/>
  <c r="CJ22" i="17" s="1"/>
  <c r="CG18" i="17"/>
  <c r="CH18" i="17" s="1"/>
  <c r="CJ18" i="17" s="1"/>
  <c r="CJ14" i="17"/>
  <c r="Q90" i="14" l="1"/>
  <c r="Q84" i="14"/>
  <c r="Q76" i="14"/>
  <c r="Q58" i="14"/>
  <c r="Q18" i="14"/>
  <c r="A18" i="14"/>
  <c r="A76" i="14"/>
  <c r="A58" i="14"/>
  <c r="A90" i="14"/>
  <c r="A84" i="14"/>
  <c r="A88" i="14"/>
  <c r="P88" i="14" s="1"/>
  <c r="Q88" i="14" s="1"/>
  <c r="Q10" i="14"/>
  <c r="Q9" i="14"/>
  <c r="M98" i="14"/>
  <c r="L98" i="14"/>
  <c r="J98" i="14"/>
  <c r="I98" i="14"/>
  <c r="G98" i="14"/>
  <c r="F98" i="14"/>
  <c r="E98" i="14"/>
  <c r="N97" i="14"/>
  <c r="A97" i="14"/>
  <c r="P97" i="14" s="1"/>
  <c r="N96" i="14"/>
  <c r="K96" i="14"/>
  <c r="H96" i="14"/>
  <c r="A96" i="14"/>
  <c r="P96" i="14" s="1"/>
  <c r="N95" i="14"/>
  <c r="K95" i="14"/>
  <c r="H95" i="14"/>
  <c r="A95" i="14"/>
  <c r="P95" i="14" s="1"/>
  <c r="N94" i="14"/>
  <c r="K94" i="14"/>
  <c r="A94" i="14"/>
  <c r="P94" i="14" s="1"/>
  <c r="N93" i="14"/>
  <c r="K93" i="14"/>
  <c r="A93" i="14"/>
  <c r="P93" i="14" s="1"/>
  <c r="N92" i="14"/>
  <c r="K92" i="14"/>
  <c r="H92" i="14"/>
  <c r="A92" i="14"/>
  <c r="P92" i="14" s="1"/>
  <c r="N91" i="14"/>
  <c r="K91" i="14"/>
  <c r="H91" i="14"/>
  <c r="A91" i="14"/>
  <c r="P91" i="14" s="1"/>
  <c r="N89" i="14"/>
  <c r="K89" i="14"/>
  <c r="H89" i="14"/>
  <c r="A89" i="14"/>
  <c r="P89" i="14" s="1"/>
  <c r="N87" i="14"/>
  <c r="A87" i="14"/>
  <c r="P87" i="14" s="1"/>
  <c r="N86" i="14"/>
  <c r="K86" i="14"/>
  <c r="H86" i="14"/>
  <c r="A86" i="14"/>
  <c r="P86" i="14" s="1"/>
  <c r="N85" i="14"/>
  <c r="K85" i="14"/>
  <c r="H85" i="14"/>
  <c r="A85" i="14"/>
  <c r="P85" i="14" s="1"/>
  <c r="N83" i="14"/>
  <c r="K83" i="14"/>
  <c r="H83" i="14"/>
  <c r="A83" i="14"/>
  <c r="P83" i="14" s="1"/>
  <c r="N82" i="14"/>
  <c r="K82" i="14"/>
  <c r="H82" i="14"/>
  <c r="A82" i="14"/>
  <c r="P82" i="14" s="1"/>
  <c r="N81" i="14"/>
  <c r="K81" i="14"/>
  <c r="H81" i="14"/>
  <c r="A81" i="14"/>
  <c r="P81" i="14" s="1"/>
  <c r="N80" i="14"/>
  <c r="A80" i="14"/>
  <c r="O80" i="14" s="1"/>
  <c r="N79" i="14"/>
  <c r="K79" i="14"/>
  <c r="H79" i="14"/>
  <c r="A79" i="14"/>
  <c r="O79" i="14" s="1"/>
  <c r="N78" i="14"/>
  <c r="K78" i="14"/>
  <c r="H78" i="14"/>
  <c r="A78" i="14"/>
  <c r="O78" i="14" s="1"/>
  <c r="N77" i="14"/>
  <c r="K77" i="14"/>
  <c r="H77" i="14"/>
  <c r="A77" i="14"/>
  <c r="P77" i="14" s="1"/>
  <c r="N75" i="14"/>
  <c r="K75" i="14"/>
  <c r="H75" i="14"/>
  <c r="A75" i="14"/>
  <c r="P75" i="14" s="1"/>
  <c r="N74" i="14"/>
  <c r="K74" i="14"/>
  <c r="A74" i="14"/>
  <c r="P74" i="14" s="1"/>
  <c r="N73" i="14"/>
  <c r="K73" i="14"/>
  <c r="H73" i="14"/>
  <c r="A73" i="14"/>
  <c r="P73" i="14" s="1"/>
  <c r="N72" i="14"/>
  <c r="K72" i="14"/>
  <c r="H72" i="14"/>
  <c r="A72" i="14"/>
  <c r="P72" i="14" s="1"/>
  <c r="N71" i="14"/>
  <c r="K71" i="14"/>
  <c r="H71" i="14"/>
  <c r="A71" i="14"/>
  <c r="P71" i="14" s="1"/>
  <c r="N70" i="14"/>
  <c r="K70" i="14"/>
  <c r="H70" i="14"/>
  <c r="A70" i="14"/>
  <c r="P70" i="14" s="1"/>
  <c r="N69" i="14"/>
  <c r="A69" i="14"/>
  <c r="P69" i="14" s="1"/>
  <c r="N68" i="14"/>
  <c r="K68" i="14"/>
  <c r="H68" i="14"/>
  <c r="A68" i="14"/>
  <c r="P68" i="14" s="1"/>
  <c r="N67" i="14"/>
  <c r="K67" i="14"/>
  <c r="H67" i="14"/>
  <c r="A67" i="14"/>
  <c r="P67" i="14" s="1"/>
  <c r="N66" i="14"/>
  <c r="K66" i="14"/>
  <c r="H66" i="14"/>
  <c r="A66" i="14"/>
  <c r="P66" i="14" s="1"/>
  <c r="N65" i="14"/>
  <c r="K65" i="14"/>
  <c r="H65" i="14"/>
  <c r="A65" i="14"/>
  <c r="P65" i="14" s="1"/>
  <c r="N64" i="14"/>
  <c r="K64" i="14"/>
  <c r="H64" i="14"/>
  <c r="A64" i="14"/>
  <c r="P64" i="14" s="1"/>
  <c r="N63" i="14"/>
  <c r="K63" i="14"/>
  <c r="H63" i="14"/>
  <c r="A63" i="14"/>
  <c r="P63" i="14" s="1"/>
  <c r="N62" i="14"/>
  <c r="K62" i="14"/>
  <c r="H62" i="14"/>
  <c r="A62" i="14"/>
  <c r="P62" i="14" s="1"/>
  <c r="N61" i="14"/>
  <c r="K61" i="14"/>
  <c r="H61" i="14"/>
  <c r="A61" i="14"/>
  <c r="P61" i="14" s="1"/>
  <c r="N60" i="14"/>
  <c r="K60" i="14"/>
  <c r="H60" i="14"/>
  <c r="A60" i="14"/>
  <c r="P60" i="14" s="1"/>
  <c r="N59" i="14"/>
  <c r="K59" i="14"/>
  <c r="H59" i="14"/>
  <c r="A59" i="14"/>
  <c r="P59" i="14" s="1"/>
  <c r="N57" i="14"/>
  <c r="K57" i="14"/>
  <c r="H57" i="14"/>
  <c r="A57" i="14"/>
  <c r="P57" i="14" s="1"/>
  <c r="N56" i="14"/>
  <c r="K56" i="14"/>
  <c r="H56" i="14"/>
  <c r="A56" i="14"/>
  <c r="P56" i="14" s="1"/>
  <c r="N55" i="14"/>
  <c r="K55" i="14"/>
  <c r="A55" i="14"/>
  <c r="P55" i="14" s="1"/>
  <c r="N54" i="14"/>
  <c r="K54" i="14"/>
  <c r="H54" i="14"/>
  <c r="A54" i="14"/>
  <c r="O54" i="14" s="1"/>
  <c r="N53" i="14"/>
  <c r="K53" i="14"/>
  <c r="H53" i="14"/>
  <c r="A53" i="14"/>
  <c r="P53" i="14" s="1"/>
  <c r="N52" i="14"/>
  <c r="K52" i="14"/>
  <c r="H52" i="14"/>
  <c r="A52" i="14"/>
  <c r="P52" i="14" s="1"/>
  <c r="N51" i="14"/>
  <c r="K51" i="14"/>
  <c r="H51" i="14"/>
  <c r="A51" i="14"/>
  <c r="P51" i="14" s="1"/>
  <c r="N50" i="14"/>
  <c r="K50" i="14"/>
  <c r="H50" i="14"/>
  <c r="A50" i="14"/>
  <c r="P50" i="14" s="1"/>
  <c r="N49" i="14"/>
  <c r="K49" i="14"/>
  <c r="H49" i="14"/>
  <c r="A49" i="14"/>
  <c r="P49" i="14" s="1"/>
  <c r="N48" i="14"/>
  <c r="K48" i="14"/>
  <c r="H48" i="14"/>
  <c r="A48" i="14"/>
  <c r="P48" i="14" s="1"/>
  <c r="N47" i="14"/>
  <c r="K47" i="14"/>
  <c r="H47" i="14"/>
  <c r="A47" i="14"/>
  <c r="P47" i="14" s="1"/>
  <c r="N46" i="14"/>
  <c r="K46" i="14"/>
  <c r="H46" i="14"/>
  <c r="A46" i="14"/>
  <c r="P46" i="14" s="1"/>
  <c r="N45" i="14"/>
  <c r="K45" i="14"/>
  <c r="H45" i="14"/>
  <c r="A45" i="14"/>
  <c r="P45" i="14" s="1"/>
  <c r="N44" i="14"/>
  <c r="K44" i="14"/>
  <c r="H44" i="14"/>
  <c r="A44" i="14"/>
  <c r="P44" i="14" s="1"/>
  <c r="N43" i="14"/>
  <c r="K43" i="14"/>
  <c r="H43" i="14"/>
  <c r="A43" i="14"/>
  <c r="P43" i="14" s="1"/>
  <c r="N42" i="14"/>
  <c r="A42" i="14"/>
  <c r="P42" i="14" s="1"/>
  <c r="N41" i="14"/>
  <c r="K41" i="14"/>
  <c r="A41" i="14"/>
  <c r="P41" i="14" s="1"/>
  <c r="N40" i="14"/>
  <c r="K40" i="14"/>
  <c r="H40" i="14"/>
  <c r="A40" i="14"/>
  <c r="P40" i="14" s="1"/>
  <c r="N39" i="14"/>
  <c r="K39" i="14"/>
  <c r="H39" i="14"/>
  <c r="A39" i="14"/>
  <c r="P39" i="14" s="1"/>
  <c r="N38" i="14"/>
  <c r="K38" i="14"/>
  <c r="H38" i="14"/>
  <c r="A38" i="14"/>
  <c r="O38" i="14" s="1"/>
  <c r="N37" i="14"/>
  <c r="K37" i="14"/>
  <c r="H37" i="14"/>
  <c r="A37" i="14"/>
  <c r="N36" i="14"/>
  <c r="K36" i="14"/>
  <c r="H36" i="14"/>
  <c r="A36" i="14"/>
  <c r="O36" i="14" s="1"/>
  <c r="N35" i="14"/>
  <c r="K35" i="14"/>
  <c r="H35" i="14"/>
  <c r="A35" i="14"/>
  <c r="P35" i="14" s="1"/>
  <c r="N34" i="14"/>
  <c r="K34" i="14"/>
  <c r="A34" i="14"/>
  <c r="P34" i="14" s="1"/>
  <c r="N33" i="14"/>
  <c r="K33" i="14"/>
  <c r="A33" i="14"/>
  <c r="P33" i="14" s="1"/>
  <c r="N32" i="14"/>
  <c r="K32" i="14"/>
  <c r="A32" i="14"/>
  <c r="P32" i="14" s="1"/>
  <c r="N31" i="14"/>
  <c r="K31" i="14"/>
  <c r="H31" i="14"/>
  <c r="A31" i="14"/>
  <c r="P31" i="14" s="1"/>
  <c r="N30" i="14"/>
  <c r="K30" i="14"/>
  <c r="H30" i="14"/>
  <c r="A30" i="14"/>
  <c r="P30" i="14" s="1"/>
  <c r="N29" i="14"/>
  <c r="K29" i="14"/>
  <c r="H29" i="14"/>
  <c r="A29" i="14"/>
  <c r="P29" i="14" s="1"/>
  <c r="N28" i="14"/>
  <c r="K28" i="14"/>
  <c r="H28" i="14"/>
  <c r="A28" i="14"/>
  <c r="P28" i="14" s="1"/>
  <c r="N27" i="14"/>
  <c r="A27" i="14"/>
  <c r="P27" i="14" s="1"/>
  <c r="N26" i="14"/>
  <c r="K26" i="14"/>
  <c r="H26" i="14"/>
  <c r="A26" i="14"/>
  <c r="P26" i="14" s="1"/>
  <c r="N25" i="14"/>
  <c r="K25" i="14"/>
  <c r="H25" i="14"/>
  <c r="A25" i="14"/>
  <c r="P25" i="14" s="1"/>
  <c r="N24" i="14"/>
  <c r="K24" i="14"/>
  <c r="H24" i="14"/>
  <c r="A24" i="14"/>
  <c r="P24" i="14" s="1"/>
  <c r="N23" i="14"/>
  <c r="K23" i="14"/>
  <c r="H23" i="14"/>
  <c r="A23" i="14"/>
  <c r="P23" i="14" s="1"/>
  <c r="N22" i="14"/>
  <c r="K22" i="14"/>
  <c r="H22" i="14"/>
  <c r="A22" i="14"/>
  <c r="O22" i="14" s="1"/>
  <c r="N21" i="14"/>
  <c r="A21" i="14"/>
  <c r="O21" i="14" s="1"/>
  <c r="N20" i="14"/>
  <c r="K20" i="14"/>
  <c r="H20" i="14"/>
  <c r="A20" i="14"/>
  <c r="P20" i="14" s="1"/>
  <c r="N19" i="14"/>
  <c r="K19" i="14"/>
  <c r="H19" i="14"/>
  <c r="A19" i="14"/>
  <c r="P19" i="14" s="1"/>
  <c r="N17" i="14"/>
  <c r="K17" i="14"/>
  <c r="H17" i="14"/>
  <c r="A17" i="14"/>
  <c r="P17" i="14" s="1"/>
  <c r="N16" i="14"/>
  <c r="K16" i="14"/>
  <c r="H16" i="14"/>
  <c r="A16" i="14"/>
  <c r="P16" i="14" s="1"/>
  <c r="N15" i="14"/>
  <c r="K15" i="14"/>
  <c r="H15" i="14"/>
  <c r="A15" i="14"/>
  <c r="P15" i="14" s="1"/>
  <c r="N14" i="14"/>
  <c r="K14" i="14"/>
  <c r="H14" i="14"/>
  <c r="A14" i="14"/>
  <c r="P14" i="14" s="1"/>
  <c r="N13" i="14"/>
  <c r="K13" i="14"/>
  <c r="H13" i="14"/>
  <c r="A13" i="14"/>
  <c r="P13" i="14" s="1"/>
  <c r="N12" i="14"/>
  <c r="K12" i="14"/>
  <c r="H12" i="14"/>
  <c r="A12" i="14"/>
  <c r="P12" i="14" s="1"/>
  <c r="N11" i="14"/>
  <c r="K11" i="14"/>
  <c r="H11" i="14"/>
  <c r="A11" i="14"/>
  <c r="P11" i="14" s="1"/>
  <c r="N10" i="14"/>
  <c r="N9" i="14"/>
  <c r="K9" i="14"/>
  <c r="H9" i="14"/>
  <c r="AW137" i="2"/>
  <c r="AX137" i="2"/>
  <c r="AX174" i="2"/>
  <c r="AW174" i="2"/>
  <c r="AX168" i="2"/>
  <c r="AW168" i="2"/>
  <c r="AX165" i="2"/>
  <c r="AW165" i="2"/>
  <c r="AX164" i="2"/>
  <c r="AW164" i="2"/>
  <c r="AX161" i="2"/>
  <c r="AW161" i="2"/>
  <c r="AX160" i="2"/>
  <c r="AW160" i="2"/>
  <c r="AX159" i="2"/>
  <c r="AW159" i="2"/>
  <c r="AX158" i="2"/>
  <c r="AW158" i="2"/>
  <c r="AX157" i="2"/>
  <c r="AW157" i="2"/>
  <c r="AX156" i="2"/>
  <c r="AW156" i="2"/>
  <c r="AX155" i="2"/>
  <c r="AW155" i="2"/>
  <c r="AX154" i="2"/>
  <c r="AW154" i="2"/>
  <c r="AX128" i="2"/>
  <c r="AX122" i="2"/>
  <c r="AW122" i="2"/>
  <c r="AX113" i="2"/>
  <c r="AW113" i="2"/>
  <c r="AX58" i="2"/>
  <c r="AW58" i="2"/>
  <c r="AX46" i="2"/>
  <c r="AW46" i="2"/>
  <c r="AX45" i="2"/>
  <c r="AW45" i="2"/>
  <c r="AX43" i="2"/>
  <c r="AW43" i="2"/>
  <c r="AX41" i="2"/>
  <c r="AW41" i="2"/>
  <c r="AX36" i="2"/>
  <c r="AX37" i="2"/>
  <c r="AX35" i="2"/>
  <c r="AX38" i="2"/>
  <c r="AW38" i="2"/>
  <c r="AW36" i="2"/>
  <c r="AW37" i="2"/>
  <c r="AW35" i="2"/>
  <c r="AX33" i="2"/>
  <c r="AW33" i="2"/>
  <c r="AX32" i="2"/>
  <c r="AW32" i="2"/>
  <c r="AX27" i="2"/>
  <c r="AW27" i="2"/>
  <c r="AX24" i="2"/>
  <c r="AW24" i="2"/>
  <c r="AX23" i="2"/>
  <c r="AW23" i="2"/>
  <c r="AX108" i="2"/>
  <c r="AW108" i="2"/>
  <c r="AX102" i="2"/>
  <c r="AW102" i="2"/>
  <c r="AX101" i="2"/>
  <c r="AW101" i="2"/>
  <c r="AW63" i="2"/>
  <c r="AX63" i="2"/>
  <c r="AW64" i="2"/>
  <c r="AX64" i="2"/>
  <c r="AW65" i="2"/>
  <c r="AX65" i="2"/>
  <c r="AW66" i="2"/>
  <c r="AX66" i="2"/>
  <c r="AW67" i="2"/>
  <c r="AX67" i="2"/>
  <c r="AW68" i="2"/>
  <c r="AX68" i="2"/>
  <c r="AW69" i="2"/>
  <c r="AX69" i="2"/>
  <c r="AW70" i="2"/>
  <c r="AX70" i="2"/>
  <c r="AW71" i="2"/>
  <c r="AX71" i="2"/>
  <c r="AW72" i="2"/>
  <c r="AX72" i="2"/>
  <c r="AW73" i="2"/>
  <c r="AX73" i="2"/>
  <c r="AW74" i="2"/>
  <c r="AX74" i="2"/>
  <c r="AW75" i="2"/>
  <c r="AX75" i="2"/>
  <c r="AW76" i="2"/>
  <c r="AX76" i="2"/>
  <c r="AW77" i="2"/>
  <c r="AX77" i="2"/>
  <c r="AW78" i="2"/>
  <c r="AX78" i="2"/>
  <c r="AW79" i="2"/>
  <c r="AX79" i="2"/>
  <c r="AW80" i="2"/>
  <c r="AX80" i="2"/>
  <c r="AW81" i="2"/>
  <c r="AX81" i="2"/>
  <c r="AW82" i="2"/>
  <c r="AX82" i="2"/>
  <c r="AW83" i="2"/>
  <c r="AX83" i="2"/>
  <c r="AW84" i="2"/>
  <c r="AX84" i="2"/>
  <c r="AW85" i="2"/>
  <c r="AX85" i="2"/>
  <c r="AW86" i="2"/>
  <c r="AX86" i="2"/>
  <c r="AW87" i="2"/>
  <c r="AX87" i="2"/>
  <c r="AW88" i="2"/>
  <c r="AX88" i="2"/>
  <c r="AW89" i="2"/>
  <c r="AX89" i="2"/>
  <c r="AW90" i="2"/>
  <c r="AX90" i="2"/>
  <c r="AW91" i="2"/>
  <c r="AX91" i="2"/>
  <c r="AW92" i="2"/>
  <c r="AX92" i="2"/>
  <c r="AW93" i="2"/>
  <c r="AX93" i="2"/>
  <c r="AW94" i="2"/>
  <c r="AX94" i="2"/>
  <c r="AW95" i="2"/>
  <c r="AX95" i="2"/>
  <c r="AX62" i="2"/>
  <c r="AW62" i="2"/>
  <c r="AX20" i="2"/>
  <c r="AW20" i="2"/>
  <c r="AX15" i="2"/>
  <c r="AW15" i="2"/>
  <c r="AS108" i="2"/>
  <c r="AS121" i="2"/>
  <c r="AS179" i="2"/>
  <c r="AS109" i="2"/>
  <c r="AS116" i="2"/>
  <c r="AS117" i="2"/>
  <c r="AS118" i="2"/>
  <c r="AS119" i="2"/>
  <c r="AS120" i="2"/>
  <c r="AS122" i="2"/>
  <c r="AS123" i="2"/>
  <c r="AS124" i="2"/>
  <c r="AS125" i="2"/>
  <c r="P54" i="14" l="1"/>
  <c r="Q54" i="14" s="1"/>
  <c r="H98" i="14"/>
  <c r="P22" i="14"/>
  <c r="Q22" i="14" s="1"/>
  <c r="P80" i="14"/>
  <c r="Q80" i="14" s="1"/>
  <c r="P38" i="14"/>
  <c r="Q38" i="14" s="1"/>
  <c r="O53" i="14"/>
  <c r="Q53" i="14" s="1"/>
  <c r="O20" i="14"/>
  <c r="Q20" i="14" s="1"/>
  <c r="P36" i="14"/>
  <c r="Q36" i="14" s="1"/>
  <c r="P78" i="14"/>
  <c r="Q78" i="14" s="1"/>
  <c r="O37" i="14"/>
  <c r="P21" i="14"/>
  <c r="Q21" i="14" s="1"/>
  <c r="P37" i="14"/>
  <c r="Q37" i="14" s="1"/>
  <c r="P79" i="14"/>
  <c r="Q79" i="14" s="1"/>
  <c r="F99" i="14"/>
  <c r="O61" i="14"/>
  <c r="Q61" i="14" s="1"/>
  <c r="O23" i="14"/>
  <c r="Q23" i="14" s="1"/>
  <c r="O39" i="14"/>
  <c r="Q39" i="14" s="1"/>
  <c r="O62" i="14"/>
  <c r="Q62" i="14" s="1"/>
  <c r="O87" i="14"/>
  <c r="Q87" i="14" s="1"/>
  <c r="O95" i="14"/>
  <c r="Q95" i="14" s="1"/>
  <c r="O50" i="14"/>
  <c r="Q50" i="14" s="1"/>
  <c r="O34" i="14"/>
  <c r="Q34" i="14" s="1"/>
  <c r="O17" i="14"/>
  <c r="O82" i="14"/>
  <c r="Q82" i="14" s="1"/>
  <c r="O65" i="14"/>
  <c r="Q65" i="14" s="1"/>
  <c r="O40" i="14"/>
  <c r="Q40" i="14" s="1"/>
  <c r="O15" i="14"/>
  <c r="O92" i="14"/>
  <c r="Q92" i="14" s="1"/>
  <c r="O81" i="14"/>
  <c r="Q81" i="14" s="1"/>
  <c r="O64" i="14"/>
  <c r="Q64" i="14" s="1"/>
  <c r="O47" i="14"/>
  <c r="Q47" i="14" s="1"/>
  <c r="O85" i="14"/>
  <c r="Q85" i="14" s="1"/>
  <c r="O75" i="14"/>
  <c r="Q75" i="14" s="1"/>
  <c r="O67" i="14"/>
  <c r="Q67" i="14" s="1"/>
  <c r="O59" i="14"/>
  <c r="Q59" i="14" s="1"/>
  <c r="O42" i="14"/>
  <c r="Q42" i="14" s="1"/>
  <c r="O26" i="14"/>
  <c r="Q26" i="14" s="1"/>
  <c r="O32" i="14"/>
  <c r="Q32" i="14" s="1"/>
  <c r="O72" i="14"/>
  <c r="Q72" i="14" s="1"/>
  <c r="O55" i="14"/>
  <c r="Q55" i="14" s="1"/>
  <c r="O94" i="14"/>
  <c r="Q94" i="14" s="1"/>
  <c r="O83" i="14"/>
  <c r="Q83" i="14" s="1"/>
  <c r="O74" i="14"/>
  <c r="Q74" i="14" s="1"/>
  <c r="O66" i="14"/>
  <c r="Q66" i="14" s="1"/>
  <c r="O57" i="14"/>
  <c r="Q57" i="14" s="1"/>
  <c r="O49" i="14"/>
  <c r="Q49" i="14" s="1"/>
  <c r="O41" i="14"/>
  <c r="Q41" i="14" s="1"/>
  <c r="O33" i="14"/>
  <c r="Q33" i="14" s="1"/>
  <c r="O25" i="14"/>
  <c r="Q25" i="14" s="1"/>
  <c r="O16" i="14"/>
  <c r="O93" i="14"/>
  <c r="Q93" i="14" s="1"/>
  <c r="O73" i="14"/>
  <c r="Q73" i="14" s="1"/>
  <c r="O56" i="14"/>
  <c r="Q56" i="14" s="1"/>
  <c r="O48" i="14"/>
  <c r="Q48" i="14" s="1"/>
  <c r="O24" i="14"/>
  <c r="Q24" i="14" s="1"/>
  <c r="O11" i="14"/>
  <c r="O28" i="14"/>
  <c r="Q28" i="14" s="1"/>
  <c r="O44" i="14"/>
  <c r="Q44" i="14" s="1"/>
  <c r="O63" i="14"/>
  <c r="Q63" i="14" s="1"/>
  <c r="O89" i="14"/>
  <c r="Q89" i="14" s="1"/>
  <c r="O12" i="14"/>
  <c r="O29" i="14"/>
  <c r="Q29" i="14" s="1"/>
  <c r="O45" i="14"/>
  <c r="Q45" i="14" s="1"/>
  <c r="O69" i="14"/>
  <c r="Q69" i="14" s="1"/>
  <c r="O91" i="14"/>
  <c r="Q91" i="14" s="1"/>
  <c r="O13" i="14"/>
  <c r="O30" i="14"/>
  <c r="Q30" i="14" s="1"/>
  <c r="O46" i="14"/>
  <c r="Q46" i="14" s="1"/>
  <c r="O70" i="14"/>
  <c r="Q70" i="14" s="1"/>
  <c r="O97" i="14"/>
  <c r="Q97" i="14" s="1"/>
  <c r="O14" i="14"/>
  <c r="O31" i="14"/>
  <c r="Q31" i="14" s="1"/>
  <c r="O52" i="14"/>
  <c r="Q52" i="14" s="1"/>
  <c r="O71" i="14"/>
  <c r="Q71" i="14" s="1"/>
  <c r="O19" i="14"/>
  <c r="O27" i="14"/>
  <c r="Q27" i="14" s="1"/>
  <c r="O35" i="14"/>
  <c r="Q35" i="14" s="1"/>
  <c r="O43" i="14"/>
  <c r="Q43" i="14" s="1"/>
  <c r="O51" i="14"/>
  <c r="Q51" i="14" s="1"/>
  <c r="O60" i="14"/>
  <c r="Q60" i="14" s="1"/>
  <c r="O68" i="14"/>
  <c r="Q68" i="14" s="1"/>
  <c r="O77" i="14"/>
  <c r="Q77" i="14" s="1"/>
  <c r="O86" i="14"/>
  <c r="Q86" i="14" s="1"/>
  <c r="O96" i="14"/>
  <c r="Q96" i="14" s="1"/>
  <c r="K98" i="14"/>
  <c r="N98" i="14"/>
  <c r="AS183" i="2"/>
  <c r="Q12" i="14" l="1"/>
  <c r="Q17" i="14"/>
  <c r="Q11" i="14"/>
  <c r="P98" i="14"/>
  <c r="Q13" i="14"/>
  <c r="Q16" i="14"/>
  <c r="Q14" i="14"/>
  <c r="Q19" i="14"/>
  <c r="O98" i="14"/>
  <c r="Q15" i="14"/>
  <c r="AS16" i="2"/>
  <c r="AS17" i="2"/>
  <c r="AS18" i="2"/>
  <c r="AS19" i="2"/>
  <c r="AS20" i="2"/>
  <c r="AS21" i="2"/>
  <c r="AS22" i="2"/>
  <c r="AS23" i="2"/>
  <c r="AS24" i="2"/>
  <c r="AS26" i="2"/>
  <c r="AS27" i="2"/>
  <c r="AS28" i="2"/>
  <c r="AS29" i="2"/>
  <c r="AS35" i="2"/>
  <c r="AS36" i="2"/>
  <c r="AS37" i="2"/>
  <c r="AS39" i="2"/>
  <c r="AS40" i="2"/>
  <c r="AS41" i="2"/>
  <c r="AS42" i="2"/>
  <c r="AS43" i="2"/>
  <c r="AS44" i="2"/>
  <c r="AS45" i="2"/>
  <c r="AS46" i="2"/>
  <c r="AS47" i="2"/>
  <c r="AS48" i="2"/>
  <c r="AS53" i="2"/>
  <c r="AS54" i="2"/>
  <c r="AS55" i="2"/>
  <c r="AS56" i="2"/>
  <c r="AS57" i="2"/>
  <c r="AS58" i="2"/>
  <c r="AS59" i="2"/>
  <c r="AS60" i="2"/>
  <c r="AS61" i="2"/>
  <c r="AS62" i="2"/>
  <c r="AS63" i="2"/>
  <c r="AS64" i="2"/>
  <c r="AS65" i="2"/>
  <c r="AS66" i="2"/>
  <c r="AS67" i="2"/>
  <c r="AS68" i="2"/>
  <c r="AS69" i="2"/>
  <c r="AS70" i="2"/>
  <c r="AS71" i="2"/>
  <c r="AS72" i="2"/>
  <c r="AS73" i="2"/>
  <c r="AS74" i="2"/>
  <c r="AS75" i="2"/>
  <c r="AS76" i="2"/>
  <c r="AS77" i="2"/>
  <c r="AS78" i="2"/>
  <c r="AS79" i="2"/>
  <c r="AS80" i="2"/>
  <c r="AS81" i="2"/>
  <c r="AS82" i="2"/>
  <c r="AS83" i="2"/>
  <c r="AS84" i="2"/>
  <c r="AS85" i="2"/>
  <c r="AS86" i="2"/>
  <c r="AS87" i="2"/>
  <c r="AS88" i="2"/>
  <c r="AS89" i="2"/>
  <c r="AS90" i="2"/>
  <c r="AS91" i="2"/>
  <c r="AS92" i="2"/>
  <c r="AS93" i="2"/>
  <c r="AS94" i="2"/>
  <c r="AS95" i="2"/>
  <c r="AS96" i="2"/>
  <c r="AS97" i="2"/>
  <c r="AS98" i="2"/>
  <c r="AS99" i="2"/>
  <c r="AS101" i="2"/>
  <c r="AS103" i="2"/>
  <c r="AS104" i="2"/>
  <c r="AS105" i="2"/>
  <c r="AS106" i="2"/>
  <c r="AS107" i="2"/>
  <c r="AS110" i="2"/>
  <c r="AS111" i="2"/>
  <c r="AS112" i="2"/>
  <c r="AS114" i="2"/>
  <c r="AS126" i="2"/>
  <c r="AS127" i="2"/>
  <c r="AS128" i="2"/>
  <c r="AS129" i="2"/>
  <c r="AS130" i="2"/>
  <c r="AS131" i="2"/>
  <c r="AS132" i="2"/>
  <c r="AS133" i="2"/>
  <c r="AS134" i="2"/>
  <c r="AS135" i="2"/>
  <c r="AS136" i="2"/>
  <c r="AS137" i="2"/>
  <c r="AS138" i="2"/>
  <c r="AS139" i="2"/>
  <c r="AS140" i="2"/>
  <c r="AS141" i="2"/>
  <c r="AS143" i="2"/>
  <c r="AS144" i="2"/>
  <c r="AS145" i="2"/>
  <c r="AS148" i="2"/>
  <c r="AS149" i="2"/>
  <c r="AS150" i="2"/>
  <c r="AS151" i="2"/>
  <c r="AS154" i="2"/>
  <c r="AS155" i="2"/>
  <c r="AS156" i="2"/>
  <c r="AS157" i="2"/>
  <c r="AS158" i="2"/>
  <c r="AS159" i="2"/>
  <c r="AS160" i="2"/>
  <c r="AS161" i="2"/>
  <c r="AS162" i="2"/>
  <c r="AS163" i="2"/>
  <c r="AS164" i="2"/>
  <c r="AS165" i="2"/>
  <c r="AS166" i="2"/>
  <c r="AS167" i="2"/>
  <c r="AS168" i="2"/>
  <c r="AS170" i="2"/>
  <c r="AS171" i="2"/>
  <c r="AS174" i="2"/>
  <c r="AS176" i="2"/>
  <c r="AS177" i="2"/>
  <c r="AS178" i="2"/>
  <c r="AS181" i="2"/>
  <c r="AS15" i="2"/>
  <c r="AX178" i="2"/>
  <c r="AX177" i="2"/>
  <c r="AX151" i="2"/>
  <c r="AX150" i="2"/>
  <c r="AX141" i="2"/>
  <c r="AX140" i="2"/>
  <c r="AX134" i="2"/>
  <c r="AX126" i="2"/>
  <c r="AX21" i="2"/>
  <c r="AX19" i="2"/>
  <c r="AX18" i="2"/>
  <c r="AX17" i="2"/>
  <c r="Q98" i="14" l="1"/>
  <c r="AX115" i="2"/>
  <c r="AX16" i="2"/>
  <c r="AM183" i="2" l="1"/>
  <c r="AM181" i="2"/>
  <c r="AM180" i="2"/>
  <c r="AM179" i="2"/>
  <c r="AM178" i="2"/>
  <c r="AM177" i="2"/>
  <c r="AM176" i="2"/>
  <c r="AM171" i="2"/>
  <c r="AM170" i="2"/>
  <c r="AM167" i="2"/>
  <c r="AM166" i="2"/>
  <c r="AM163" i="2"/>
  <c r="AM162" i="2"/>
  <c r="AM149" i="2"/>
  <c r="AM148" i="2"/>
  <c r="AM145" i="2"/>
  <c r="AM144" i="2"/>
  <c r="AM143" i="2"/>
  <c r="AM141" i="2"/>
  <c r="AM140" i="2"/>
  <c r="AM139" i="2"/>
  <c r="AM138" i="2"/>
  <c r="AM137" i="2"/>
  <c r="AM136" i="2"/>
  <c r="AM135" i="2"/>
  <c r="AM133" i="2"/>
  <c r="AM132" i="2"/>
  <c r="AM131" i="2"/>
  <c r="AM130" i="2"/>
  <c r="AM129" i="2"/>
  <c r="AM127" i="2"/>
  <c r="AM126" i="2"/>
  <c r="AM125" i="2"/>
  <c r="AM124" i="2"/>
  <c r="AM123" i="2"/>
  <c r="AM121" i="2"/>
  <c r="AM120" i="2"/>
  <c r="AM119" i="2"/>
  <c r="AM118" i="2"/>
  <c r="AM117" i="2"/>
  <c r="AM116" i="2"/>
  <c r="AM115" i="2"/>
  <c r="AM114" i="2"/>
  <c r="AM113" i="2"/>
  <c r="AM112" i="2"/>
  <c r="AM111" i="2"/>
  <c r="AM110" i="2"/>
  <c r="AM109" i="2"/>
  <c r="AM107" i="2"/>
  <c r="AM106" i="2"/>
  <c r="AM105" i="2"/>
  <c r="AM104" i="2"/>
  <c r="AM103" i="2"/>
  <c r="AM101" i="2"/>
  <c r="AM100" i="2"/>
  <c r="AM99" i="2"/>
  <c r="AM98" i="2"/>
  <c r="AM97" i="2"/>
  <c r="AM96" i="2"/>
  <c r="AM61" i="2"/>
  <c r="AM60" i="2"/>
  <c r="AM59" i="2"/>
  <c r="AM57" i="2"/>
  <c r="AM56" i="2"/>
  <c r="AM55" i="2"/>
  <c r="AM54" i="2"/>
  <c r="AM53" i="2"/>
  <c r="AM48" i="2"/>
  <c r="AM47" i="2"/>
  <c r="AM44" i="2"/>
  <c r="AM42" i="2"/>
  <c r="AM40" i="2"/>
  <c r="AM39" i="2"/>
  <c r="AM38" i="2"/>
  <c r="AM29" i="2"/>
  <c r="AM28" i="2"/>
  <c r="AM27" i="2"/>
  <c r="AM26" i="2"/>
  <c r="AM22" i="2"/>
  <c r="AM19" i="2"/>
  <c r="AM18" i="2"/>
  <c r="AM17" i="2"/>
  <c r="AM16" i="2"/>
  <c r="AW134" i="2"/>
  <c r="AW126" i="2"/>
  <c r="AW183" i="2"/>
  <c r="AX180" i="2"/>
  <c r="AW180" i="2"/>
  <c r="AW179" i="2"/>
  <c r="AW178" i="2"/>
  <c r="AW177" i="2"/>
  <c r="AX166" i="2"/>
  <c r="AW166" i="2"/>
  <c r="AW151" i="2"/>
  <c r="AW150" i="2"/>
  <c r="AX145" i="2"/>
  <c r="AX144" i="2"/>
  <c r="AX143" i="2"/>
  <c r="AW145" i="2"/>
  <c r="AW144" i="2"/>
  <c r="AW143" i="2"/>
  <c r="AW141" i="2"/>
  <c r="AW140" i="2"/>
  <c r="AX136" i="2"/>
  <c r="AX135" i="2"/>
  <c r="AW136" i="2"/>
  <c r="AW135" i="2"/>
  <c r="AX132" i="2"/>
  <c r="AW132" i="2"/>
  <c r="AW128" i="2"/>
  <c r="AX125" i="2"/>
  <c r="AW125" i="2"/>
  <c r="AX124" i="2"/>
  <c r="AW124" i="2"/>
  <c r="AX123" i="2"/>
  <c r="AW123" i="2"/>
  <c r="AX121" i="2"/>
  <c r="AW121" i="2"/>
  <c r="AX120" i="2"/>
  <c r="AW120" i="2"/>
  <c r="AX119" i="2"/>
  <c r="AW119" i="2"/>
  <c r="AX118" i="2"/>
  <c r="AW118" i="2"/>
  <c r="AX117" i="2"/>
  <c r="AW117" i="2"/>
  <c r="AX116" i="2"/>
  <c r="AW116" i="2"/>
  <c r="AW115" i="2"/>
  <c r="AX114" i="2"/>
  <c r="AW114" i="2"/>
  <c r="AX112" i="2"/>
  <c r="AW112" i="2"/>
  <c r="AX109" i="2"/>
  <c r="AW109" i="2"/>
  <c r="AX107" i="2"/>
  <c r="AW107" i="2"/>
  <c r="AX105" i="2"/>
  <c r="AW105" i="2"/>
  <c r="AX103" i="2"/>
  <c r="AW103" i="2"/>
  <c r="AX99" i="2"/>
  <c r="AX98" i="2"/>
  <c r="AW99" i="2"/>
  <c r="AW98" i="2"/>
  <c r="AX96" i="2"/>
  <c r="AW96" i="2"/>
  <c r="AX61" i="2"/>
  <c r="AW61" i="2"/>
  <c r="AX57" i="2"/>
  <c r="AW57" i="2"/>
  <c r="AX56" i="2"/>
  <c r="AW56" i="2"/>
  <c r="AX55" i="2"/>
  <c r="AW55" i="2"/>
  <c r="AX54" i="2"/>
  <c r="AW54" i="2"/>
  <c r="AX42" i="2"/>
  <c r="AW42" i="2"/>
  <c r="AX26" i="2"/>
  <c r="AX29" i="2"/>
  <c r="AW29" i="2"/>
  <c r="AW26" i="2"/>
  <c r="AW181" i="2"/>
  <c r="AX22" i="2"/>
  <c r="AX28" i="2"/>
  <c r="AX39" i="2"/>
  <c r="AX40" i="2"/>
  <c r="AX44" i="2"/>
  <c r="AX47" i="2"/>
  <c r="AX48" i="2"/>
  <c r="AX53" i="2"/>
  <c r="AX59" i="2"/>
  <c r="AX60" i="2"/>
  <c r="AX97" i="2"/>
  <c r="AX104" i="2"/>
  <c r="AX106" i="2"/>
  <c r="AX110" i="2"/>
  <c r="AX111" i="2"/>
  <c r="AX127" i="2"/>
  <c r="AX129" i="2"/>
  <c r="AX130" i="2"/>
  <c r="AX131" i="2"/>
  <c r="AX133" i="2"/>
  <c r="AX138" i="2"/>
  <c r="AX139" i="2"/>
  <c r="AX148" i="2"/>
  <c r="AX149" i="2"/>
  <c r="AX162" i="2"/>
  <c r="AX163" i="2"/>
  <c r="AY167" i="2"/>
  <c r="AX170" i="2"/>
  <c r="AX171" i="2"/>
  <c r="AX176" i="2"/>
  <c r="AX181" i="2"/>
  <c r="AW16" i="2"/>
  <c r="AW22" i="2"/>
  <c r="AW28" i="2"/>
  <c r="AW39" i="2"/>
  <c r="AW40" i="2"/>
  <c r="AW44" i="2"/>
  <c r="AW47" i="2"/>
  <c r="AW48" i="2"/>
  <c r="AW53" i="2"/>
  <c r="AW59" i="2"/>
  <c r="AW60" i="2"/>
  <c r="AW97" i="2"/>
  <c r="AW104" i="2"/>
  <c r="AW106" i="2"/>
  <c r="AW110" i="2"/>
  <c r="AW111" i="2"/>
  <c r="AW127" i="2"/>
  <c r="AW129" i="2"/>
  <c r="AW130" i="2"/>
  <c r="AW131" i="2"/>
  <c r="AW133" i="2"/>
  <c r="AY137" i="2"/>
  <c r="AW138" i="2"/>
  <c r="AW139" i="2"/>
  <c r="AW148" i="2"/>
  <c r="AW149" i="2"/>
  <c r="AW162" i="2"/>
  <c r="AW163" i="2"/>
  <c r="AW170" i="2"/>
  <c r="AW171" i="2"/>
  <c r="AW176" i="2"/>
  <c r="AG167" i="2"/>
  <c r="AA167" i="2"/>
  <c r="AG15" i="2"/>
  <c r="Q167" i="2"/>
  <c r="Q15" i="2"/>
  <c r="AG34" i="2"/>
  <c r="AG137" i="2"/>
  <c r="AG177" i="2"/>
  <c r="AG178" i="2"/>
  <c r="AG179" i="2"/>
  <c r="AG180" i="2"/>
  <c r="AG150" i="2"/>
  <c r="AG151" i="2"/>
  <c r="AG140" i="2"/>
  <c r="AG141" i="2"/>
  <c r="AG149" i="2"/>
  <c r="AG148" i="2"/>
  <c r="AF183" i="2"/>
  <c r="AG183" i="2" s="1"/>
  <c r="AG131" i="2"/>
  <c r="AG132" i="2"/>
  <c r="AG133" i="2"/>
  <c r="AG134" i="2"/>
  <c r="AG135" i="2"/>
  <c r="AG16" i="2"/>
  <c r="AG20" i="2"/>
  <c r="AG21" i="2"/>
  <c r="AG22" i="2"/>
  <c r="AG23" i="2"/>
  <c r="AG24" i="2"/>
  <c r="AG25" i="2"/>
  <c r="AG26" i="2"/>
  <c r="AG28" i="2"/>
  <c r="AG29" i="2"/>
  <c r="AG30" i="2"/>
  <c r="AG33" i="2"/>
  <c r="AG35" i="2"/>
  <c r="AG36" i="2"/>
  <c r="AG37" i="2"/>
  <c r="AG39" i="2"/>
  <c r="AG40" i="2"/>
  <c r="AG41" i="2"/>
  <c r="AG42" i="2"/>
  <c r="AG43" i="2"/>
  <c r="AG44" i="2"/>
  <c r="AG45" i="2"/>
  <c r="AG46" i="2"/>
  <c r="AG47" i="2"/>
  <c r="AG48" i="2"/>
  <c r="AG49" i="2"/>
  <c r="AG50" i="2"/>
  <c r="AG51" i="2"/>
  <c r="AG52" i="2"/>
  <c r="AG53" i="2"/>
  <c r="AG54" i="2"/>
  <c r="AG55" i="2"/>
  <c r="AG56" i="2"/>
  <c r="AG57" i="2"/>
  <c r="AG58" i="2"/>
  <c r="AG59" i="2"/>
  <c r="AG60" i="2"/>
  <c r="AG61" i="2"/>
  <c r="AG62" i="2"/>
  <c r="AG63" i="2"/>
  <c r="AG64" i="2"/>
  <c r="AG65" i="2"/>
  <c r="AG66" i="2"/>
  <c r="AG67" i="2"/>
  <c r="AG68" i="2"/>
  <c r="AG69" i="2"/>
  <c r="AG70" i="2"/>
  <c r="AG71" i="2"/>
  <c r="AG72" i="2"/>
  <c r="AG73" i="2"/>
  <c r="AG74" i="2"/>
  <c r="AG75" i="2"/>
  <c r="AG76" i="2"/>
  <c r="AG77" i="2"/>
  <c r="AG78" i="2"/>
  <c r="AG79" i="2"/>
  <c r="AG80" i="2"/>
  <c r="AG81" i="2"/>
  <c r="AG82" i="2"/>
  <c r="AG83" i="2"/>
  <c r="AG84" i="2"/>
  <c r="AG85" i="2"/>
  <c r="AG86" i="2"/>
  <c r="AG87" i="2"/>
  <c r="AG88" i="2"/>
  <c r="AG89" i="2"/>
  <c r="AG90" i="2"/>
  <c r="AG91" i="2"/>
  <c r="AG92" i="2"/>
  <c r="AG93" i="2"/>
  <c r="AG94" i="2"/>
  <c r="AG95" i="2"/>
  <c r="AG96" i="2"/>
  <c r="AG97" i="2"/>
  <c r="AG98" i="2"/>
  <c r="AG99" i="2"/>
  <c r="AG100" i="2"/>
  <c r="AG103" i="2"/>
  <c r="AG104" i="2"/>
  <c r="AG105" i="2"/>
  <c r="AG106" i="2"/>
  <c r="AG107" i="2"/>
  <c r="AG108" i="2"/>
  <c r="AG109" i="2"/>
  <c r="AG110" i="2"/>
  <c r="AG111" i="2"/>
  <c r="AG112" i="2"/>
  <c r="AG113" i="2"/>
  <c r="AG114" i="2"/>
  <c r="AG115" i="2"/>
  <c r="AG116" i="2"/>
  <c r="AG117" i="2"/>
  <c r="AG118" i="2"/>
  <c r="AG119" i="2"/>
  <c r="AG120" i="2"/>
  <c r="AG121" i="2"/>
  <c r="AG123" i="2"/>
  <c r="AG124" i="2"/>
  <c r="AG125" i="2"/>
  <c r="AG127" i="2"/>
  <c r="AG129" i="2"/>
  <c r="AG130" i="2"/>
  <c r="AG136" i="2"/>
  <c r="AG138" i="2"/>
  <c r="AG139" i="2"/>
  <c r="AG142" i="2"/>
  <c r="AG143" i="2"/>
  <c r="AG144" i="2"/>
  <c r="AG145" i="2"/>
  <c r="AG146" i="2"/>
  <c r="AG147" i="2"/>
  <c r="AG152" i="2"/>
  <c r="AG153" i="2"/>
  <c r="AG154" i="2"/>
  <c r="AG155" i="2"/>
  <c r="AG157" i="2"/>
  <c r="AG158" i="2"/>
  <c r="AG159" i="2"/>
  <c r="AG160" i="2"/>
  <c r="AG161" i="2"/>
  <c r="AG162" i="2"/>
  <c r="AG163" i="2"/>
  <c r="AG164" i="2"/>
  <c r="AG165" i="2"/>
  <c r="AG166" i="2"/>
  <c r="AG169" i="2"/>
  <c r="AG170" i="2"/>
  <c r="AG171" i="2"/>
  <c r="AG172" i="2"/>
  <c r="AG173" i="2"/>
  <c r="AG174" i="2"/>
  <c r="AG175" i="2"/>
  <c r="AG176" i="2"/>
  <c r="AG181" i="2"/>
  <c r="AG182" i="2"/>
  <c r="Q96" i="2"/>
  <c r="Q40" i="2"/>
  <c r="Q38" i="2"/>
  <c r="Q31" i="2"/>
  <c r="Q32" i="2"/>
  <c r="Q33" i="2"/>
  <c r="Q34" i="2"/>
  <c r="AA31" i="2"/>
  <c r="AA179" i="2"/>
  <c r="AA178" i="2"/>
  <c r="AA141" i="2"/>
  <c r="AA140" i="2"/>
  <c r="AA113" i="2"/>
  <c r="AA112" i="2"/>
  <c r="AA111" i="2"/>
  <c r="AA110" i="2"/>
  <c r="AA109" i="2"/>
  <c r="AA107" i="2"/>
  <c r="AA106" i="2"/>
  <c r="AA105" i="2"/>
  <c r="AA183" i="2"/>
  <c r="AA182" i="2"/>
  <c r="AA181" i="2"/>
  <c r="AA180" i="2"/>
  <c r="AA176" i="2"/>
  <c r="AA175" i="2"/>
  <c r="AA173" i="2"/>
  <c r="AA172" i="2"/>
  <c r="AA171" i="2"/>
  <c r="AA170" i="2"/>
  <c r="AA169" i="2"/>
  <c r="AA166" i="2"/>
  <c r="AA163" i="2"/>
  <c r="AA162" i="2"/>
  <c r="AA153" i="2"/>
  <c r="AA152" i="2"/>
  <c r="AA149" i="2"/>
  <c r="AA148" i="2"/>
  <c r="AA147" i="2"/>
  <c r="AA146" i="2"/>
  <c r="AA145" i="2"/>
  <c r="AA144" i="2"/>
  <c r="AA143" i="2"/>
  <c r="AA142" i="2"/>
  <c r="AA139" i="2"/>
  <c r="AA138" i="2"/>
  <c r="AA136" i="2"/>
  <c r="AA135" i="2"/>
  <c r="AA133" i="2"/>
  <c r="AA132" i="2"/>
  <c r="AA131" i="2"/>
  <c r="AA130" i="2"/>
  <c r="AA129" i="2"/>
  <c r="AA127" i="2"/>
  <c r="AA125" i="2"/>
  <c r="AA124" i="2"/>
  <c r="AA123" i="2"/>
  <c r="AA120" i="2"/>
  <c r="AA119" i="2"/>
  <c r="AA118" i="2"/>
  <c r="AA117" i="2"/>
  <c r="AA116" i="2"/>
  <c r="AA114" i="2"/>
  <c r="AA104" i="2"/>
  <c r="AA103" i="2"/>
  <c r="AA102" i="2"/>
  <c r="AA99" i="2"/>
  <c r="AA98" i="2"/>
  <c r="AA97" i="2"/>
  <c r="AA96" i="2"/>
  <c r="AA61" i="2"/>
  <c r="AA59" i="2"/>
  <c r="AA57" i="2"/>
  <c r="AA56" i="2"/>
  <c r="AA54" i="2"/>
  <c r="AA53" i="2"/>
  <c r="AA52" i="2"/>
  <c r="AA51" i="2"/>
  <c r="AA50" i="2"/>
  <c r="AA49" i="2"/>
  <c r="AA48" i="2"/>
  <c r="AA47" i="2"/>
  <c r="AA44" i="2"/>
  <c r="AA42" i="2"/>
  <c r="AA40" i="2"/>
  <c r="AA39" i="2"/>
  <c r="AA34" i="2"/>
  <c r="AA32" i="2"/>
  <c r="AA30" i="2"/>
  <c r="AA29" i="2"/>
  <c r="AA28" i="2"/>
  <c r="AA26" i="2"/>
  <c r="AA22" i="2"/>
  <c r="AA16" i="2"/>
  <c r="Q37" i="2"/>
  <c r="Q36" i="2"/>
  <c r="Q35" i="2"/>
  <c r="Q136" i="2"/>
  <c r="Q101" i="2"/>
  <c r="Q100" i="2"/>
  <c r="Q52" i="2"/>
  <c r="Q51" i="2"/>
  <c r="Q50" i="2"/>
  <c r="Q49" i="2"/>
  <c r="Q175" i="2"/>
  <c r="Q146" i="2"/>
  <c r="Q142" i="2"/>
  <c r="Q173" i="2"/>
  <c r="Q153" i="2"/>
  <c r="Q169" i="2"/>
  <c r="Q172" i="2"/>
  <c r="Q152" i="2"/>
  <c r="Q42" i="2"/>
  <c r="Q145" i="2"/>
  <c r="Q144" i="2"/>
  <c r="Q143" i="2"/>
  <c r="Q166" i="2"/>
  <c r="Q135" i="2"/>
  <c r="Q114" i="2"/>
  <c r="Q26" i="2"/>
  <c r="Q25" i="2"/>
  <c r="Q132" i="2"/>
  <c r="Q112" i="2"/>
  <c r="Q109" i="2"/>
  <c r="Q107" i="2"/>
  <c r="Q105" i="2"/>
  <c r="Q23" i="2"/>
  <c r="Q103" i="2"/>
  <c r="Q99" i="2"/>
  <c r="Q125" i="2"/>
  <c r="Q30" i="2"/>
  <c r="Q29" i="2"/>
  <c r="Q124" i="2"/>
  <c r="Q123" i="2"/>
  <c r="Q121" i="2"/>
  <c r="Q120" i="2"/>
  <c r="Q119" i="2"/>
  <c r="Q118" i="2"/>
  <c r="Q117" i="2"/>
  <c r="Q116" i="2"/>
  <c r="Q98" i="2"/>
  <c r="Q61" i="2"/>
  <c r="Q54" i="2"/>
  <c r="Q58" i="2"/>
  <c r="Q57" i="2"/>
  <c r="Q56" i="2"/>
  <c r="Q55" i="2"/>
  <c r="Q183" i="2"/>
  <c r="Q182" i="2"/>
  <c r="Q180" i="2"/>
  <c r="Q141" i="2"/>
  <c r="Q140" i="2"/>
  <c r="Q151" i="2"/>
  <c r="Q150" i="2"/>
  <c r="Q134" i="2"/>
  <c r="Q128" i="2"/>
  <c r="Q126" i="2"/>
  <c r="Q21" i="2"/>
  <c r="AW21" i="2" s="1"/>
  <c r="Q19" i="2"/>
  <c r="AW19" i="2" s="1"/>
  <c r="Q18" i="2"/>
  <c r="AW18" i="2" s="1"/>
  <c r="Q17" i="2"/>
  <c r="AW17" i="2" s="1"/>
  <c r="Q115" i="2"/>
  <c r="Q179" i="2"/>
  <c r="Q178" i="2"/>
  <c r="Q177" i="2"/>
  <c r="Q45" i="2"/>
  <c r="Q94" i="2"/>
  <c r="Q95" i="2"/>
  <c r="Q97" i="2"/>
  <c r="Q122" i="2"/>
  <c r="Q102" i="2"/>
  <c r="Q27" i="2"/>
  <c r="Q28" i="2"/>
  <c r="Q138" i="2"/>
  <c r="Q139" i="2"/>
  <c r="Q16" i="2"/>
  <c r="Q20" i="2"/>
  <c r="Q22" i="2"/>
  <c r="Q24" i="2"/>
  <c r="Q104" i="2"/>
  <c r="Q106" i="2"/>
  <c r="Q108" i="2"/>
  <c r="Q110" i="2"/>
  <c r="Q111" i="2"/>
  <c r="Q113" i="2"/>
  <c r="Q127" i="2"/>
  <c r="Q129" i="2"/>
  <c r="Q130" i="2"/>
  <c r="Q131" i="2"/>
  <c r="Q133" i="2"/>
  <c r="Q168" i="2"/>
  <c r="Q148" i="2"/>
  <c r="Q149" i="2"/>
  <c r="Q170" i="2"/>
  <c r="Q171" i="2"/>
  <c r="Q39" i="2"/>
  <c r="Q41" i="2"/>
  <c r="Q43" i="2"/>
  <c r="Q174" i="2"/>
  <c r="Q154" i="2"/>
  <c r="Q155" i="2"/>
  <c r="Q156" i="2"/>
  <c r="Q157" i="2"/>
  <c r="Q158" i="2"/>
  <c r="Q159" i="2"/>
  <c r="Q160" i="2"/>
  <c r="Q161" i="2"/>
  <c r="Q44" i="2"/>
  <c r="Q46" i="2"/>
  <c r="Q47" i="2"/>
  <c r="Q48" i="2"/>
  <c r="Q90" i="2"/>
  <c r="Q66" i="2"/>
  <c r="Q84" i="2"/>
  <c r="Q82" i="2"/>
  <c r="Q92" i="2"/>
  <c r="Q88" i="2"/>
  <c r="Q64" i="2"/>
  <c r="Q74" i="2"/>
  <c r="Q72" i="2"/>
  <c r="Q70" i="2"/>
  <c r="Q86" i="2"/>
  <c r="Q62" i="2"/>
  <c r="Q76" i="2"/>
  <c r="Q78" i="2"/>
  <c r="Q80" i="2"/>
  <c r="Q68" i="2"/>
  <c r="Q91" i="2"/>
  <c r="Q67" i="2"/>
  <c r="Q85" i="2"/>
  <c r="Q83" i="2"/>
  <c r="Q93" i="2"/>
  <c r="Q89" i="2"/>
  <c r="Q65" i="2"/>
  <c r="Q75" i="2"/>
  <c r="Q73" i="2"/>
  <c r="Q71" i="2"/>
  <c r="Q87" i="2"/>
  <c r="Q63" i="2"/>
  <c r="Q77" i="2"/>
  <c r="Q79" i="2"/>
  <c r="Q81" i="2"/>
  <c r="Q69" i="2"/>
  <c r="Q162" i="2"/>
  <c r="Q163" i="2"/>
  <c r="Q164" i="2"/>
  <c r="Q165" i="2"/>
  <c r="Q137" i="2"/>
  <c r="Q53" i="2"/>
  <c r="Q59" i="2"/>
  <c r="Q60" i="2"/>
  <c r="Q176" i="2"/>
  <c r="Q181" i="2"/>
  <c r="AX183" i="2" l="1"/>
  <c r="AY183" i="2" s="1"/>
  <c r="AY177" i="2"/>
  <c r="AY28" i="2"/>
  <c r="AY109" i="2"/>
  <c r="AY77" i="2"/>
  <c r="AY56" i="2"/>
  <c r="AY131" i="2"/>
  <c r="AY106" i="2"/>
  <c r="AY91" i="2"/>
  <c r="AY83" i="2"/>
  <c r="AY75" i="2"/>
  <c r="AY67" i="2"/>
  <c r="AY53" i="2"/>
  <c r="AY40" i="2"/>
  <c r="AY161" i="2"/>
  <c r="AY42" i="2"/>
  <c r="AY57" i="2"/>
  <c r="AY15" i="2"/>
  <c r="AY126" i="2"/>
  <c r="AY135" i="2"/>
  <c r="AY144" i="2"/>
  <c r="AY145" i="2"/>
  <c r="AY111" i="2"/>
  <c r="AY94" i="2"/>
  <c r="AY86" i="2"/>
  <c r="AY78" i="2"/>
  <c r="AY70" i="2"/>
  <c r="AY62" i="2"/>
  <c r="AY44" i="2"/>
  <c r="AY181" i="2"/>
  <c r="AY96" i="2"/>
  <c r="AY170" i="2"/>
  <c r="AY132" i="2"/>
  <c r="AY141" i="2"/>
  <c r="AY123" i="2"/>
  <c r="AY85" i="2"/>
  <c r="AY69" i="2"/>
  <c r="AY60" i="2"/>
  <c r="AY43" i="2"/>
  <c r="AY33" i="2"/>
  <c r="AY16" i="2"/>
  <c r="AY143" i="2"/>
  <c r="AY149" i="2"/>
  <c r="AY108" i="2"/>
  <c r="AY76" i="2"/>
  <c r="AY59" i="2"/>
  <c r="AY32" i="2"/>
  <c r="AY17" i="2"/>
  <c r="AY103" i="2"/>
  <c r="AY112" i="2"/>
  <c r="AY117" i="2"/>
  <c r="AY163" i="2"/>
  <c r="AY159" i="2"/>
  <c r="AY133" i="2"/>
  <c r="AY92" i="2"/>
  <c r="AY84" i="2"/>
  <c r="AY68" i="2"/>
  <c r="AY41" i="2"/>
  <c r="AY121" i="2"/>
  <c r="AY162" i="2"/>
  <c r="AY154" i="2"/>
  <c r="AY178" i="2"/>
  <c r="AY160" i="2"/>
  <c r="AY26" i="2"/>
  <c r="AY110" i="2"/>
  <c r="AY93" i="2"/>
  <c r="AY148" i="2"/>
  <c r="AY79" i="2"/>
  <c r="AY36" i="2"/>
  <c r="AY66" i="2"/>
  <c r="AY122" i="2"/>
  <c r="AY130" i="2"/>
  <c r="AY82" i="2"/>
  <c r="AY39" i="2"/>
  <c r="AY27" i="2"/>
  <c r="AY98" i="2"/>
  <c r="AY118" i="2"/>
  <c r="AY114" i="2"/>
  <c r="AY18" i="2"/>
  <c r="AY139" i="2"/>
  <c r="AY165" i="2"/>
  <c r="AY157" i="2"/>
  <c r="AY104" i="2"/>
  <c r="AY48" i="2"/>
  <c r="AY105" i="2"/>
  <c r="AY140" i="2"/>
  <c r="AY150" i="2"/>
  <c r="AY180" i="2"/>
  <c r="AY127" i="2"/>
  <c r="AY88" i="2"/>
  <c r="AY72" i="2"/>
  <c r="AY46" i="2"/>
  <c r="AY22" i="2"/>
  <c r="AY164" i="2"/>
  <c r="AY156" i="2"/>
  <c r="AY99" i="2"/>
  <c r="AY168" i="2"/>
  <c r="AY158" i="2"/>
  <c r="AY35" i="2"/>
  <c r="AY113" i="2"/>
  <c r="AY95" i="2"/>
  <c r="AY63" i="2"/>
  <c r="AY20" i="2"/>
  <c r="AY29" i="2"/>
  <c r="AY55" i="2"/>
  <c r="AY61" i="2"/>
  <c r="AY101" i="2"/>
  <c r="AY116" i="2"/>
  <c r="AY120" i="2"/>
  <c r="AY124" i="2"/>
  <c r="AY19" i="2"/>
  <c r="AY90" i="2"/>
  <c r="AY74" i="2"/>
  <c r="AY171" i="2"/>
  <c r="AY176" i="2"/>
  <c r="AY129" i="2"/>
  <c r="AY102" i="2"/>
  <c r="AY89" i="2"/>
  <c r="AY81" i="2"/>
  <c r="AY73" i="2"/>
  <c r="AY65" i="2"/>
  <c r="AY47" i="2"/>
  <c r="AY38" i="2"/>
  <c r="AY24" i="2"/>
  <c r="AY54" i="2"/>
  <c r="AY58" i="2"/>
  <c r="AY128" i="2"/>
  <c r="AY151" i="2"/>
  <c r="AY87" i="2"/>
  <c r="AY71" i="2"/>
  <c r="AY45" i="2"/>
  <c r="AY174" i="2"/>
  <c r="AY155" i="2"/>
  <c r="AY97" i="2"/>
  <c r="AY80" i="2"/>
  <c r="AY64" i="2"/>
  <c r="AY37" i="2"/>
  <c r="AY107" i="2"/>
  <c r="AY115" i="2"/>
  <c r="AY119" i="2"/>
  <c r="AY166" i="2"/>
  <c r="AY23" i="2"/>
  <c r="AY138" i="2"/>
  <c r="AY125" i="2"/>
  <c r="AY136" i="2"/>
  <c r="AY134" i="2"/>
  <c r="AY21" i="2"/>
</calcChain>
</file>

<file path=xl/sharedStrings.xml><?xml version="1.0" encoding="utf-8"?>
<sst xmlns="http://schemas.openxmlformats.org/spreadsheetml/2006/main" count="13520" uniqueCount="5628">
  <si>
    <t>Meta Plan de Desarrollo</t>
  </si>
  <si>
    <t>Objetivo Estratégico Sectorial</t>
  </si>
  <si>
    <t>Meta Sectorial</t>
  </si>
  <si>
    <t>Objetivo estratégico 2020-2024</t>
  </si>
  <si>
    <t>Estrategias</t>
  </si>
  <si>
    <t>Metas 2020-2024</t>
  </si>
  <si>
    <t>Política de Gestión y Desempeño componente ambiental</t>
  </si>
  <si>
    <t>Proceso relacionado</t>
  </si>
  <si>
    <t xml:space="preserve">Fuente de Financiación </t>
  </si>
  <si>
    <t>Proyecto de inversión</t>
  </si>
  <si>
    <t xml:space="preserve">Meta proyecto de inversión </t>
  </si>
  <si>
    <t>Plan asociado</t>
  </si>
  <si>
    <t xml:space="preserve">Plan De Acción Política Pública Poblacional Asociada  </t>
  </si>
  <si>
    <t>Tipo de Meta</t>
  </si>
  <si>
    <t>Fecha Inicio
DD/MM/AAAA</t>
  </si>
  <si>
    <t>Fecha Finalización
DD/MM/AAAA</t>
  </si>
  <si>
    <t>Dependencia responsable</t>
  </si>
  <si>
    <t>13. 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t>
  </si>
  <si>
    <t>1. Contribuir a la reducción de la feminización de la pobreza, aportando en la implementación del Sistema Distrital de Cuidado con la innovación de los servicios sociales, para construir territorios cuidadores y protectores promoviendo la movilidad social de la población en vulnerabilidad y fragilidad social</t>
  </si>
  <si>
    <t>01. Identificar  la oferta del sector social que  hará  parte del sistema distrital de cuidado</t>
  </si>
  <si>
    <t>1. Fortalecer la territorialización de políticas, programas, proyectos y acciones en lo local a partir de la estrategia territorial integral social (ETIS) y la tropa social como herramientas de política social en el Distrito capital que reconozca y fortalezca las dinámicas de los hogares, comunidades y territorios, apuntando a la construcción de respuestas transectoriales, integradoras e innovadoras en el marco del sistema Distrital de cuidado, la garantía de derechos y la movilidad social.</t>
  </si>
  <si>
    <t>RETO</t>
  </si>
  <si>
    <t xml:space="preserve">1. Atender en las 20 localidades del  distrito a la población en flujos migratorios mixtos y retornados que solicitan la oferta de servicios de la  SDIS.
</t>
  </si>
  <si>
    <t>Talento humano</t>
  </si>
  <si>
    <t>Atención a la ciudadanía</t>
  </si>
  <si>
    <t>Inversión</t>
  </si>
  <si>
    <t>7564 - Mejoramiento de la capacidad de respuesta institucional de las comisarías de familia en Bogotá</t>
  </si>
  <si>
    <t>7564 - Mejoramiento de la capacidad de respuesta institucional de las Comisarías de Familia en Bogotá</t>
  </si>
  <si>
    <t>A. Planes relacionados con talento humano:</t>
  </si>
  <si>
    <t>PP Mujer y Equidad de Género</t>
  </si>
  <si>
    <t>Constante</t>
  </si>
  <si>
    <t>Despacho</t>
  </si>
  <si>
    <t>14. Implementar una (1) estrategia de gestión interinstitucional que permita la movilización social y el desarrollo de capacidades de los adultos y adultas identificados en pobreza oculta, vulnerabilidad, fragilidad social o afectados por emergencias sanitarias en la ciudad de Bogotá</t>
  </si>
  <si>
    <t>2. Dar respuestas integradoras y transectoriales que conlleven al desarrollo de capacidades y la ampliación de las oportunidades de la ciudadanía, a partir de la estrategia territorial integral social para la gestión pública local y la territorialización de las políticas sociales.</t>
  </si>
  <si>
    <t xml:space="preserve">02. Formular un plan de trabajo de cada una de las entidades que componen el sector integración social que contenga las acciones dirigidas a fortalecer las necesidades identificadas en los diagnósticos. </t>
  </si>
  <si>
    <t>2. Contribuir con la reducción del riesgo social de los y las jóvenes NiNi en situación de alta vulnerabilidad y, en riesgo de ser vinculados en dinámicas y estructuras delincuenciales con el desarrollo de procesos de inclusión social, económica, educativa, política y cultural con la Estrategia RETO.</t>
  </si>
  <si>
    <t>ETIS</t>
  </si>
  <si>
    <t xml:space="preserve">2. Incrementar en 100% el número de  jóvenes atendidos con estrategias móviles,  canales virtuales y servicios sociales con  especial énfasis en jóvenes NiNis y  vulnerables,.
</t>
  </si>
  <si>
    <t>Integridad</t>
  </si>
  <si>
    <t>Auditoría y control</t>
  </si>
  <si>
    <t>Funcionamiento</t>
  </si>
  <si>
    <t>7565 - Suministro de espacios adecuados, inclusivos y seguros para el desarrollo social integral</t>
  </si>
  <si>
    <t>1. Implementar un plan de acción para el fortalecimiento de las Comisarias de Familia en la atención integral para el acceso a la justicia y la garantía de derechos frente a la violencia intrafamiliar</t>
  </si>
  <si>
    <t>Plan Estratégico de Talento Humano</t>
  </si>
  <si>
    <t>PP Infancia y Adolescencia</t>
  </si>
  <si>
    <t>Suma</t>
  </si>
  <si>
    <t>Subsecretaría</t>
  </si>
  <si>
    <t>15. Implementar una estrategia de acompañamiento de hogares pobres, en vulnerabilidad y riesgo social derivada de la pandemia del COVID 19, identificados poblacional diferencial y geográficamente en los barrios con mayor pobreza evidente y oculta del distrito</t>
  </si>
  <si>
    <t>3. Fortalecer el desempeño del sector social, enmarcado en la transformación de los servicios sociales, el desarrollo del recurso humano, la infraestructura, la tecnología, la gestión de conocimiento, la innovación, la transparencia, y  control, con el fin de optimizar la capacidad organizacional para la rectoría de la política  social y la prestación de servicios sociales.</t>
  </si>
  <si>
    <t>03. Hacer el seguimiento a la implementación de las PP.</t>
  </si>
  <si>
    <t>3. Transformar los servicios sociales de la SDIS con el fin de responder a los aspectos clave del Plan Distrital de Desarrollo como el Sistema Distrital de Cuidado, la Estrategia Territorial de Integración Social y el Ingreso Mínimo Garantizado</t>
  </si>
  <si>
    <t>Modernización Institucional</t>
  </si>
  <si>
    <t>3. Implementar una estrategia de oportunidades juveniles. por medio de la entrega de transferencias monetarias condicionadas a 5.900 jóvenes con alto grado de vulnerabilidad</t>
  </si>
  <si>
    <t>Planeación Institucional</t>
  </si>
  <si>
    <t>Comunicación estratégica</t>
  </si>
  <si>
    <t>Inversión y Funcionamiento</t>
  </si>
  <si>
    <t xml:space="preserve">7730 - Servicio de atención a la población proveniente de flujos migratorios mixtos en Bogotá </t>
  </si>
  <si>
    <t>2. Atender oportunamente el 100% de las víctimas de violencia intrafamiliar</t>
  </si>
  <si>
    <t>Plan de vacantes</t>
  </si>
  <si>
    <t>PP de Juventud</t>
  </si>
  <si>
    <t>Creciente</t>
  </si>
  <si>
    <t>Oficina Asesora de Comunicaciones</t>
  </si>
  <si>
    <t>16. Implementar una estrategia móvil de abordaje en calle dirigida a ciudadanos y ciudadanas habitantes de calle acorde al contexto social y sanitario de la emergencia</t>
  </si>
  <si>
    <t xml:space="preserve">4. Liderar, formular, actualizar e implementar las políticas públicas sociales de competencia y participación desde el Sector de Integración Social, que contribuyan a la materialización de un nuevo contrato social y ambiental para la Bogotá del siglo XXI  </t>
  </si>
  <si>
    <t>04. Incrementar en 5 puntos el Índice de Transparencia de Bogotá para el sector integración social</t>
  </si>
  <si>
    <t>4. Adelantar un proceso de modernización y mejora del desempeño institucional, garantizando la transparencia, integridad y seguimiento y control, que incluya el rediseño de la estructura organizacional, la reestructuración del proceso de contratación y el desarrollo de una estrategia de retroalimentación y evaluación de la entidad en territorio.</t>
  </si>
  <si>
    <t>Sistemas de Información</t>
  </si>
  <si>
    <t>4. Atender 2.400 adolescentes y jóvenes  con sanciones no privativas de la libertad o  en apoyo al restablecimiento en  administración de justicia en los Centros  Forjar, con oportunidades que favorezcan  sus proyectos de vida e inclusión social</t>
  </si>
  <si>
    <t>Gestión presupuestal y eficiencia del gasto público</t>
  </si>
  <si>
    <t>Diseño e innovación de servicios sociales</t>
  </si>
  <si>
    <t>7733 - Fortalecimiento institucional para una gestión pública efectiva y transparente en la ciudad de Bogotá</t>
  </si>
  <si>
    <t>7565 - Suministro de espacios adecuados, inclusivos y seguros para el desarrollo social integral en Bogotá</t>
  </si>
  <si>
    <t>Plan de previsión de recursos humanos</t>
  </si>
  <si>
    <t>PP Para el Fenómeno de Habitabilidad en Calle</t>
  </si>
  <si>
    <t>Oficina Asesora Jurídica</t>
  </si>
  <si>
    <t>17. Incrementar en 825 cupos la atención integral de ciudadanas y ciudadanos habitantes de calle en los servicios sociales que tiene la Secretaría Distrital de Integración Social dispuestos para su atención, que considere los impactos sociales y sanitarios de la emergencia</t>
  </si>
  <si>
    <t>Todos los Objetivos Estratégicos Sectoriales</t>
  </si>
  <si>
    <t>05. Valorar coberturas de servicios sociales en los territorios urbanos y rurales</t>
  </si>
  <si>
    <t>5. Optimizar unidades operativas de la SDIS para garantizar espacios adecuados y seguros a la población beneficiaria de los servicios sociales, orientando la adecuación de la infraestructura en respuesta a la transformación de los servicios sociales y la implementación de la estrategia ETIS y del Sistema Distrital de Cuidado.</t>
  </si>
  <si>
    <t>No se asocia a estrategias</t>
  </si>
  <si>
    <t xml:space="preserve">5. 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
</t>
  </si>
  <si>
    <t>Compras y Contratación</t>
  </si>
  <si>
    <t>Gerencia de las políticas públicas sociales</t>
  </si>
  <si>
    <t>7735 - Fortalecimiento de los procesos territoriales y la construcción de respuestas integradoras e innovadoras en los territorios de la Bogotá – Región</t>
  </si>
  <si>
    <t xml:space="preserve">1. Construir 3 centros día para la atención al adulto mayor que cumplan con la normatividad vigente </t>
  </si>
  <si>
    <t>Plan de capacitación</t>
  </si>
  <si>
    <t>PP Para la Adultez</t>
  </si>
  <si>
    <t>Oficina de Asuntos Disciplinarios</t>
  </si>
  <si>
    <t>18. Subir 9,45 puntos porcentuales los NNAJ que se vinculan al Modelo Pedagógico y son identificados por el IDIPRON como población vulnerable por las dinámicas del Fenómeno de Habitabilidad en Calle</t>
  </si>
  <si>
    <t>No se asocia a Objetivos Estratégicos Sectoriales</t>
  </si>
  <si>
    <t>06. Implementar los planes de acción de las políticas públicas del distrito</t>
  </si>
  <si>
    <t>6. Sistemas de información. Contar con sistemas de información robustos y sólidos que generen datos, información y conocimiento con calidad, oportunidad y pertinencia para la toma de decisiones y que respondan oportunamente a la transformación de los servicios sociales de la Secretaría Distrital de Integración Social.</t>
  </si>
  <si>
    <t>6. Atender con enfoque diferencial y de manera flexible a 15.000 niñas, niños y adolescentes del distrito en riesgo de trabajo infantil y violencias sexuales; y migrantes en riesgo  de vulneración de sus derechos</t>
  </si>
  <si>
    <t xml:space="preserve">Fortalecimiento organizacional y simplificación de procesos </t>
  </si>
  <si>
    <t>Gestión ambiental</t>
  </si>
  <si>
    <t>7740 - Generación “Jóvenes con derechos” en Bogotá</t>
  </si>
  <si>
    <t>2. Construir 1 Centro de Protección para Adulto Mayor que cumpla la normatividad vigente entre 2020 y 2024</t>
  </si>
  <si>
    <t>Plan de incentivos institucionales</t>
  </si>
  <si>
    <t>PP Para las Familias</t>
  </si>
  <si>
    <t>Oficina de Control Interno</t>
  </si>
  <si>
    <t>21. Atender en las 20 localidades del distrito a la población en flujos migratorios mixtos y retornados que solicitan la oferta de servicios de la SDIS</t>
  </si>
  <si>
    <t>07. Evaluar el estado de los servicios sociales frente a los requerimientos del sistema distrital de cuidado. Innovar  los servicios sociales para que se ajusten a los requerimientos del sistema distrital de cuidado. Implementar un piloto con la innovación en los servicios sociales en el marco del sistema distrital de cuidado para reducir la feminización de la pobreza</t>
  </si>
  <si>
    <t>Todos los Objetivos Estratégicos Institucionales</t>
  </si>
  <si>
    <t xml:space="preserve">7. 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niños, así como prevenir situaciones de riesgo  para la garantía de derechos.
</t>
  </si>
  <si>
    <t>Servicio al ciudadano</t>
  </si>
  <si>
    <t>Gestión contractual</t>
  </si>
  <si>
    <t>7741 - Fortalecimiento de la gestión de la información y el conocimiento con enfoque participativo y territorial</t>
  </si>
  <si>
    <t>3. Completar la construcción de 6 jardines infantiles de acuerdo a la normatividad vigente para niñas y niños de 0 a 3 años</t>
  </si>
  <si>
    <t>Plan de seguridad y salud en el trabajo</t>
  </si>
  <si>
    <t>PP Para el envejecimiento y Vejez</t>
  </si>
  <si>
    <t>Dirección de Gestión Corporativa</t>
  </si>
  <si>
    <t>25. Fortalecer la implementación de la Política Pública LGBTI a través de la puesta en marcha de 2 nuevos centros comunitarios LGBTI con enfoque territorial para la prestación de servicios sociales bajo modelos flexibles de atención integral en el marco de la PPLGBTI</t>
  </si>
  <si>
    <t>08. Ajustar los servicios sociales para reducir la pobreza femenina. Focalizar y prestar los servicios sociales en los territorios que contribuyan a la reducción de la feminización de la pobreza.</t>
  </si>
  <si>
    <t>No se asocia a Objetivos Estratégicos Institucionales</t>
  </si>
  <si>
    <t>8.Contribuir a la construcción de la memoria, la convivencia  y la reconciliación en el marco del acuerdo de paz, a través  de la atención de 8.300 niñas, niños y adolescentes víctimas y afectados por el conflicto armado , desde un enfoque territorial.</t>
  </si>
  <si>
    <t>Defensa jurídica</t>
  </si>
  <si>
    <t>Gestión de infraestructura física</t>
  </si>
  <si>
    <t>7744 - Generación de oportunidades para el desarrollo integral de la niñez y la adolescencia de Bogotá</t>
  </si>
  <si>
    <t>4. Construir 1 Centro de Protección del adulto mayor y habitante de calle  para población vulnerable entre 2020 y 2024</t>
  </si>
  <si>
    <t>Plan de Integridad y Buen Gobierno</t>
  </si>
  <si>
    <t>PP de Actividades Sexuales Pagadas</t>
  </si>
  <si>
    <t>Subdirección de Contratación</t>
  </si>
  <si>
    <t>31. Implementar un modelo de inclusión social, a través de la vinculación personas de los sectores sociales LGBTI en pobreza extrema y vulnerabilidad social a la oferta de servicios sociales de seguridad alimentaria, transferencias monetarias y/o de cuidado de la Secretaría Distrital de Integración Social, teniendo en cuenta los impactos de la emergencia social y sanitaria sobre esta población</t>
  </si>
  <si>
    <t xml:space="preserve">09. Participación en el diseño del Sistema Distrital de Cuidado. Identificar  la oferta del sector social que  hará  parte del sistema distrital de cuidado. Armonizar los servicios sociales prestados por el sector social al sistema distrital de cuidado. Determinar el impacto de los servicios sociales en el sistema distrital de cuidado para la reducción de la feminización de la pobreza. </t>
  </si>
  <si>
    <t>Etis</t>
  </si>
  <si>
    <t xml:space="preserve">9. Beneficiar a 4.500 familias  en  situación de pobreza, vulnerabilidad  y/o fragilidad social a través  de apoyos económicos
</t>
  </si>
  <si>
    <t>Mejora normativa</t>
  </si>
  <si>
    <t>Gestión de soporte y mantenimiento tecnológico</t>
  </si>
  <si>
    <t>7745 - Compromiso por una alimentación integral en Bogotá</t>
  </si>
  <si>
    <t>5. Reforzar y/o restituir 6 equipamientos administrados por la SDIS para la prestación de los servicios sociales</t>
  </si>
  <si>
    <t>Plan de Bienestar</t>
  </si>
  <si>
    <t>PP Distrital de Servicio a la Ciudadanía</t>
  </si>
  <si>
    <t>Subdirección Administrativa y Financiera</t>
  </si>
  <si>
    <t>41. 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t>
  </si>
  <si>
    <t>10. Estrategia Territorial Integral Social</t>
  </si>
  <si>
    <t>10. Beneficiar el 100% de personas programadas mediante raciones de comida caliente a través de cocinas populares, Unidades móviles y comedores comunitarios, teniendo  en cuenta las necesidades de los  territorios y poblaciones.</t>
  </si>
  <si>
    <t>Racionalización de trámites</t>
  </si>
  <si>
    <t>Gestión de talento humano</t>
  </si>
  <si>
    <t>7748 - Fortalecimiento de la gestión institucional y desarrollo integral del talento humano en Bogotá</t>
  </si>
  <si>
    <t>6. Adecuar el 100% de los equipamientos solicitados para atención transitoria o permanente con ocasión a situaciones de impacto poblacional debido a emergencias sanitarias o sociales</t>
  </si>
  <si>
    <t>B. Planes relacionados con Tecnologías de la Información y las Comunicaciones (TIC):</t>
  </si>
  <si>
    <t>PP de Transparencia</t>
  </si>
  <si>
    <t>Subdirección de Plantas Físicas</t>
  </si>
  <si>
    <t>42. 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los niños, así como prevenir situaciones de riesgo para la garantía de sus derechos</t>
  </si>
  <si>
    <t xml:space="preserve">11. Participar en la actualización de las acciones de las políticas públicas del distrito.  Implementar los planes de acción de las políticas públicas del distrito. Hacer el reporte a través del sistema de seguimiento y monitoreo de políticas públicas del distrito. </t>
  </si>
  <si>
    <t xml:space="preserve">11. Beneficiar el 100% de personas programadas con la entrega de apoyos alimentarios mediante bonos canjeables por alimentos y apoyos en especie.
</t>
  </si>
  <si>
    <t>Participación ciudadana en la gestión pública</t>
  </si>
  <si>
    <t>Gestión del conocimiento</t>
  </si>
  <si>
    <t>7749 - Implementar una estrategia de territorios cuidadores en Bogotá</t>
  </si>
  <si>
    <t xml:space="preserve">7. Realizar mantenimiento al 60% de los equipamientos de SDIS </t>
  </si>
  <si>
    <t>Plan Estratégico de Tecnologías de la Información y las Comunicaciones (PETI)</t>
  </si>
  <si>
    <t>PP Integral de Derechos Humanos</t>
  </si>
  <si>
    <t>Subdirección de Gestión y Desarrollo del Talento Humano</t>
  </si>
  <si>
    <t>43. Atender con enfoque diferencial y de manera flexible a 15.000 niñas, niños y adolescentes del distrito en riesgo de trabajo infantil y violencias sexuales, y migrantes en riesgo de vulneración de sus derechos</t>
  </si>
  <si>
    <t>12. Incrementar en 10 puntos el índice de desempeño del sector integración social</t>
  </si>
  <si>
    <t xml:space="preserve">12. 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
</t>
  </si>
  <si>
    <t>Gobierno digital</t>
  </si>
  <si>
    <t>Sistema de Gestión</t>
  </si>
  <si>
    <t>7752 - Contribución a la protección de los derechos de las familias especialmente de sus integrantes afectados por la violencia intrafamiliar en la ciudad de Bogotá</t>
  </si>
  <si>
    <t xml:space="preserve">8. Atender el 100% de solicitudes de viabilidades de equipamientos para garantizar infraestructura en condiciones adecuadas y seguras </t>
  </si>
  <si>
    <t>Plan de tratamiento de riesgos de seguridad y privacidad de la información</t>
  </si>
  <si>
    <t>PP de Seguridad Alimentaria Nutricional</t>
  </si>
  <si>
    <t>Dirección de Análisis y Diseño Estratégico</t>
  </si>
  <si>
    <t>44. Atender integralmente al 100% de niñas y niños en ubicación institucional, generando procesos de fortalecimiento de sus familias para la garantía de sus derechos y para el reintegro familiar</t>
  </si>
  <si>
    <t>13. Estrategia retorno de las oportunidades a la juventud bogotana</t>
  </si>
  <si>
    <t>13. Suministrar el 100% de apoyos  humanitarios, impulsando las  compras locales y el consumo sostenible, teniendo en cuenta las  necesidades territoriales y  poblacionales</t>
  </si>
  <si>
    <t>Seguridad digital</t>
  </si>
  <si>
    <t>Gestión documental</t>
  </si>
  <si>
    <t>7753 - Prevención de la maternidad y la paternidad temprana en Bogotá</t>
  </si>
  <si>
    <t>9. Realizar a 10  predios administrados por la SDIS,  el saneamiento jurídico y urbanístico</t>
  </si>
  <si>
    <t>Plan de seguridad y privacidad de la información</t>
  </si>
  <si>
    <t>PP de Discapacidad</t>
  </si>
  <si>
    <t>Subdirección de Diseño, Evaluación y Sistematización</t>
  </si>
  <si>
    <t>45. Beneficiar a 15.000 mujeres gestantes, lactantes y niños menores de 2 años con servicios nutricionales, con énfasis en los mil días de oportunidades para la vida</t>
  </si>
  <si>
    <t>No se asocia a metas sectoriales</t>
  </si>
  <si>
    <t xml:space="preserve">14.Beneficiar a 15.000 mujeres  gestantes, lactantes y niños menores de 2 años con servicios  nutricionales, con énfasis en los  mil días de oportunidades para la  vida. y coordinar junto con la Secretaría de Salud la busqueda activa de niños niñas  en riesgo de desnutrición aguda,  para verificar el estado de clasificación nutricional y vincularlos a la ruta de atención.
</t>
  </si>
  <si>
    <t>Componente ambiental</t>
  </si>
  <si>
    <t>Gestión financiera</t>
  </si>
  <si>
    <t>7756 - Compromiso social por la diversidad en Bogotá</t>
  </si>
  <si>
    <t>11. Avanzar en el 100% de etapa de preconstrucción para el reforzamiento estructural y/o restitución de equipamientos administrados por la SDIS</t>
  </si>
  <si>
    <t>Plan de preservación digital</t>
  </si>
  <si>
    <t>PP para la garantía plena de los derechos de las personas LGBT</t>
  </si>
  <si>
    <t>Subdirección de Investigación e Información</t>
  </si>
  <si>
    <t>46. Beneficiar a 4.500 familias en situación de pobreza, vulnerabilidad y/o fragilidad social a través de una estrategia de inclusión social y de apoyos económicos, dirigidos a garantizar el acceso y consumo de alimentos, que favorezcan hábitos de vida saludable</t>
  </si>
  <si>
    <t>Todas las metas sectoriales</t>
  </si>
  <si>
    <t>15.Promover en las 20 localidades una  estrategia de territorios cuidadores a partir  de la identificación y caracterización de las  acciones para la respuesta a emergencias  sociales, sanitarias, naturales, antrópicas y  de vulnerabilidad inminente</t>
  </si>
  <si>
    <t>Seguimiento y evaluación del desempeño institucional</t>
  </si>
  <si>
    <t>Gestión jurídica</t>
  </si>
  <si>
    <t>7757 - Implementación de  estrategias y servicios integrales para el abordaje del fenómeno de habitabilidad en calle en Bogotá</t>
  </si>
  <si>
    <t>12. Avanzar en el 100% en la etapa de Preconstrucción para Centros de Protección para población Vulnerable</t>
  </si>
  <si>
    <t xml:space="preserve">Plan de mantenimiento de servicios tecnológicos </t>
  </si>
  <si>
    <t xml:space="preserve">PP planes integrales de acciones afirmativas grupos étnicos </t>
  </si>
  <si>
    <t>Dirección Territorial</t>
  </si>
  <si>
    <t>47. Contribuir a la construcción de la memoria, la convivencia y la reconciliación en el marco del acuerdo de paz, a través de la atención de 8.300 niños, niñas y adolescentes víctimas y afectados por el conflicto armado, desde un enfoque territorial</t>
  </si>
  <si>
    <t xml:space="preserve">16. Atender integralmente al 100% de niñas  y niños en ubicación institucional, generando procesos de fortalecimiento de  sus familias para la garantía de sus  derechos y para el reintegro familiar.
</t>
  </si>
  <si>
    <t>Gestión logística</t>
  </si>
  <si>
    <t>7768 - Implementación de una estrategia de acompañamiento  a  hogares  con mayor pobreza evidente y oculta  de Bogotá</t>
  </si>
  <si>
    <t>C. Otros planes</t>
  </si>
  <si>
    <t>PP prevención y atención del consumo de SPA</t>
  </si>
  <si>
    <t>Subdirección para la Gestión Integral Local</t>
  </si>
  <si>
    <t>50. Entregar el 100% de apoyos alimentarios a través de los comedores comunitarios en sus diferentes modalidades, teniendo en cuenta las necesidades de los territorios y poblaciones</t>
  </si>
  <si>
    <t xml:space="preserve">17. Formular, implementar, monitorear y  evaluar un Plan Distrital de Prevención  Integral de las Violencias contra las niñas,  los niños, adolescentes, mujeres y personas mayores, de carácter interinstitucional e intersectorial con enfoque de derechos, diferencial, poblacional, ambiental,  territorial y de género.
</t>
  </si>
  <si>
    <t>Transparencia, acceso a la información pública y lucha contra la corrupción</t>
  </si>
  <si>
    <t>Inspección, vigilancia y control</t>
  </si>
  <si>
    <t>7770 - Compromiso con el envejecimiento activo y una Bogotá cuidadora e incluyente</t>
  </si>
  <si>
    <t xml:space="preserve">1. Implementar  un (1) modelo itinerante e intersectorial distrital con la vinculación de agentes comunitarios de la población proveniente de flujos migratorios mixtos, que permita la ampliación de servicios integrales a dicha población </t>
  </si>
  <si>
    <t>Plan Institucional de Archivos de la Entidad (PINAR)</t>
  </si>
  <si>
    <t>PP de Ruralidad</t>
  </si>
  <si>
    <t>Subdirección para la Identificación, Caracterización e Integración</t>
  </si>
  <si>
    <t>51. Entregar el 100% de los apoyos alimentarios requeridos por la población beneficiaria de los servicios sociales de integración social</t>
  </si>
  <si>
    <t>18. Reducir la maternidad y paternidad temprana en  mujeres menores o iguales a 19 años a , así como la violencia sexual contra niñas y mujeres jóvenes, fortaleciendo capacidades de niñas, niños,  adolescentes, jóvenes y sus familias sobre derechos  sexuales y derechos reproductivos.</t>
  </si>
  <si>
    <t>Gestión de la información estadística</t>
  </si>
  <si>
    <t>Planeación estratégica</t>
  </si>
  <si>
    <t>7771 - Fortalecimiento de las oportunidades de  inclusión de las personas con discapacidad y sus familias, cuidadores-as en Bogotá</t>
  </si>
  <si>
    <t>2. Promover 16 alianzas estratégicas para generar medios de vida, procesos de participación y de fortalecimiento dirigidos a la población de flujos migratorios mixtos</t>
  </si>
  <si>
    <t>Plan Anual de Adquisiciones</t>
  </si>
  <si>
    <t>PP de atención, asistencia y reparación integral a las víctimas</t>
  </si>
  <si>
    <t>Dirección Poblacional</t>
  </si>
  <si>
    <t>54. 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t>
  </si>
  <si>
    <t>19. Implementar un modelo de inclusión social,  a través de la vinculación de personas de los  sectores sociales LGBTI en pobreza extrema y  vulnerabilidad social a la oferta de servicios sociales de seguridad alimentaria,  transferencias monetarias y/o de cuidado de
la Secretaría Distrital de Integración Social, teniendo en cuenta los impacto de la  emergencia social y sanitaria sobre esta  población</t>
  </si>
  <si>
    <t>Gestión del conocimiento y la innovación</t>
  </si>
  <si>
    <t>Prestación de servicios sociales para la inclusión social</t>
  </si>
  <si>
    <t>No se asocia a Proyecto de Inversión</t>
  </si>
  <si>
    <t>3. Beneficiar a 60000 personas de flujos migratorios mixtos  mediante estabilización e inclusión socioeconómica y cultural</t>
  </si>
  <si>
    <t>Plan Anticorrupción y de Atención al Ciudadano[1]</t>
  </si>
  <si>
    <t>No se asocia a Políticas Públicas</t>
  </si>
  <si>
    <t>Subdirección para la Infancia</t>
  </si>
  <si>
    <t>55. Formular, implementar, monitorear y evaluar un Plan Distrital de Prevención Integral de las Violencias contra las niñas, los niños, adolescentes, mujeres y personas mayores, de carácter interinstitucional e intersectorial con enfoque de derechos, diferencial, poblacional, ambiental, territorial y de género</t>
  </si>
  <si>
    <t xml:space="preserve">20. Atender en (2) nuevos centros comunitarios personas con enfoque diferencial, para la prestación de servicios sociales bajo modelos flexibles de atención integral, en el marco de la implementación de la Política Pública LGBTI </t>
  </si>
  <si>
    <t>Control interno</t>
  </si>
  <si>
    <t>Tecnologías de la información</t>
  </si>
  <si>
    <t>Todos los Proyectos de Inversión de la entidad</t>
  </si>
  <si>
    <t>Plan de conservación documental</t>
  </si>
  <si>
    <t>Todas las políticas públicas lideradas por la entidad</t>
  </si>
  <si>
    <t>Subdirección para la Juventud</t>
  </si>
  <si>
    <t>57. Implementar una (1) estrategia territorial para cuidadores y cuidadoras de personas con discapacidad, que contribuya al reconocimiento socioeconómico y redistribución de roles en el marco del Sistema Distrital de Cuidado</t>
  </si>
  <si>
    <t xml:space="preserve">21. 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
</t>
  </si>
  <si>
    <t>No se asocia a proceso de gestión institucional</t>
  </si>
  <si>
    <t>Todos los proyectos de inversión de la Dirección Poblacional</t>
  </si>
  <si>
    <t>1. Aumentar el 43% la inspección y vigilancia en los servicios y programas prestados por la Secretaria Distrital de Integración Social que cuentan con estándares de calidad</t>
  </si>
  <si>
    <t>Plan de estrategia de participación</t>
  </si>
  <si>
    <t>Subdirección para la Adultez</t>
  </si>
  <si>
    <t>58. Incrementar en 30% la atención de las personas con discapacidad en Bogotá, mediante procesos de articulación intersectorial, con mayor capacidad de respuesta integral teniendo en cuenta el contexto social e implementar el registro distrital de cuidadoras y cuidadores de personas con discapacidad, garantizando así el cumplimiento del Art 10 del Acuerdo distrital 710 de 2018</t>
  </si>
  <si>
    <t xml:space="preserve">22.Implementar una estrategia móvil de  abordaje en calle dirigida a ciudadanos y  ciudadanas habitantes de calle acorde al contexto social y sanitario de la  emergencia.
</t>
  </si>
  <si>
    <t>Todos los proyectos de inversión de la Dirección Territorial</t>
  </si>
  <si>
    <t>2. Gestionar el 100% de las peticiones ciudadanas allegadas a través de los canales de interacción dispuestos por la SDIS</t>
  </si>
  <si>
    <t>Plan de Austeridad 
Plan Institucional de Gestión Ambiental PIGA</t>
  </si>
  <si>
    <t>Subdirección para la Vejez</t>
  </si>
  <si>
    <t>59. Incrementar en 40% los procesos de inclusión educativa y productiva de las personas con discapacidad, sus cuidadores y cuidadoras</t>
  </si>
  <si>
    <t xml:space="preserve">23. Incrementar en 825 cupos la atención  integral de ciudadanos y
ciudadanas habitantes de calle en  los servicios sociales que tiene la SDIS dispuestos para su atención.
</t>
  </si>
  <si>
    <t>Todos los proyectos de inversión de la Dirección de Gestión Corporativa</t>
  </si>
  <si>
    <t>3. Implementar el 100% de las acciones del plan de acción de la Política Pública de Transparencia de la Secretaría Distrital de Integración Social</t>
  </si>
  <si>
    <t>Plan de ajuste y sostenibilidad MIPG</t>
  </si>
  <si>
    <t>Dirección para la Inclusión y las Familias</t>
  </si>
  <si>
    <t>62. 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t>
  </si>
  <si>
    <t xml:space="preserve">24. Implementar una (1) estrategia de  gestión interinstitucional que permita  la movilización social y el desarrollo de  capacidades de los adultos y adultas identificados en vulnerabilidad, fragilidad social o afectados por emergencias sanitarias en la ciudad de Bogotá 
</t>
  </si>
  <si>
    <t>4. Realizar el análisis de la gestión al 100% de las políticas públicas que lidera la SDIS</t>
  </si>
  <si>
    <t>No se asocia a Planes Institucionales integrados</t>
  </si>
  <si>
    <t>Subdirección para la Familia</t>
  </si>
  <si>
    <t>63. Promover en las 20 localidades una estrategia de territorios cuidadores a partir de la identificación y caracterización de las acciones para la respuesta a emergencias sociales, sanitarias, naturales, antrópicas y de vulnerabilidad inminente</t>
  </si>
  <si>
    <t xml:space="preserve">25. Implementar una estrategia de  acompañamiento de hogares pobres,  en vulnerabilidad y riesgo social  derivada de la pandemia del COVID 19,  identificados poblacional diferencial y  geográficamente en los barrios con  mayor pobreza evidente y oculta del  distrito.
</t>
  </si>
  <si>
    <t>Subdirección para asuntos LGBTI</t>
  </si>
  <si>
    <t>64. Suministrar el 100% de apoyos humanitarios, impulsando las compras locales y el consumo sostenible, teniendo en cuenta las necesidades territoriales y poblacionales diferenciales</t>
  </si>
  <si>
    <t xml:space="preserve">26. Incrementar en un 57% la participación de personas mayores en procesos que  fortalezcan su autonomía, el desarrollo de sus capacidades, el reentrenamiento laboral  para la generación de ingresos y la integración a la vida de la ciudad a través de la  ampliación, cualificación e innovación en los servicios sociales con enfoque diferencial.
</t>
  </si>
  <si>
    <t>1. Diseñar e implementar Una (1) estrategia territorial integral social -ETIS - , para la gestión del territorio con el  involucramiento de sus actores institucionales, sociales y comunitarios</t>
  </si>
  <si>
    <t xml:space="preserve">Subdirección para la Discapacidad </t>
  </si>
  <si>
    <t>73. Reducir la maternidad y paternidad temprana en mujeres menores o iguales a 19 años, así como la violencia sexual contra niñas y mujeres jóvenes, fortaleciendo capacidades de niñas, niños, adolescentes, jóvenes y sus familias sobre derechos sexuales y derechos reproductivos</t>
  </si>
  <si>
    <t>27. Incrementar progresivamente en un 60% el valor de los  apoyos económicos y ampliar los cupos para personas  mayores contribuyendo a mejorar su calidad de vida e  incrementar su autonomía en el entorno familiar y social</t>
  </si>
  <si>
    <t>2. Fortalecer  técnica y/o financieramente 100 procesos territoriales y organizaciones sociales</t>
  </si>
  <si>
    <t>Dirección de Nutrición y Abastecimiento</t>
  </si>
  <si>
    <t>110. Atender 2.400 adolescentes y jóvenes con sanciones no privativas de la libertad o en apoyo al restablecimiento en administración de justicia en los Centros Forjar, con oportunidades que favorezcan sus proyectos de vida e inclusión social</t>
  </si>
  <si>
    <t xml:space="preserve">28. Dinamizar la creación de redes de cuidado comunitario en las 20 localidades entre las personas  mayores y actores del territorio que promuevan la asociación, el acompañamiento, la  vinculación a procesos de arte, cultura, recreación, deporte y hábitos de vida saludable y la  disminución de la exclusión por razones de edad a través de estrategias móviles en la ciudad.
</t>
  </si>
  <si>
    <t>3. Diseñar e implementar Una (1) estrategia de innovación social</t>
  </si>
  <si>
    <t>Subdirección de Nutrición</t>
  </si>
  <si>
    <t>113. Implementar una estrategia de oportunidades juveniles, por medio de la entrega de transferencias monetarias condicionadas a 5.900 jóvenes con alto grado de vulnerabilidad</t>
  </si>
  <si>
    <t>29. Implementar una (1) estrategia  territorial para cuidadores y  cuidadoras de personas con discapacidad, que contribuya al  reconocimiento socioeconómico y redistribución de roles en el marco del Sistema Distrital de Cuidado</t>
  </si>
  <si>
    <t>4. Realizar 280000 atenciones a personas por medio del servicio social Centros de Desarrollo de Comunitario</t>
  </si>
  <si>
    <t>Subdirección de Abastecimiento</t>
  </si>
  <si>
    <t>114. 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</si>
  <si>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 xml:space="preserve">30. Incrementar en 30% la atención de las personas con discapacidad en  Bogotá, mediante procesos de  articulación intersectorial, con  mayor capacidad de respuesta  integral teniendo en cuenta el  contexto social.
</t>
  </si>
  <si>
    <t>5. Asistir 20 Alcaldías Locales en los procesos de formulación, implementación y seguimiento de los proyectos de inversión - Fondos de Desarrollo Local-</t>
  </si>
  <si>
    <t>SL Rafael Uribe Uribe</t>
  </si>
  <si>
    <t>116. Vincular 7.000 jóvenes del modelo pedagógico del IDIPRON a las estrategias de generación de oportunidades para su desarrollo socioeconómico</t>
  </si>
  <si>
    <t>31.Incrementar en 40% los procesos de inclusión  educativa y productiva de las personas con  discapacidad sus cuidadores y cuidadoras</t>
  </si>
  <si>
    <t>SL Fontibón</t>
  </si>
  <si>
    <t>364. Fortalecer el 100% de las Comisarías de Familia en su estructura organizacional y su capacidad operativa, humana y tecnológica, para garantizar a las víctimas de violencia intrafamiliar el oportuno acceso a la justicia y la garantía integral de sus derechos</t>
  </si>
  <si>
    <t xml:space="preserve">32. 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
</t>
  </si>
  <si>
    <t>1. Coordinar 1 implementación en el distrito de  la Política Pública de Juventud y el funcionamiento del Sistema Distrital de Juventud</t>
  </si>
  <si>
    <t>SL Mártires</t>
  </si>
  <si>
    <t>411. Diseñar e implementar una estrategia de focalización ajustada a las realidades poblacionales y territoriales en el marco de la Estrategia Territorial Integral Social - ETIS</t>
  </si>
  <si>
    <t>33.Fortalecer procesos territoriales en  las 20 localidades,  a partir de la Estrategia Territorial Social - ETIS, vinculando instancias de participación  local, formas organizativas solidarias y  comunitarias de la ciudadanía.</t>
  </si>
  <si>
    <t>2. Diseñar e implementar  1 estrategia de comunicación y difusión de los servicios sociales dirigidos a la población joven</t>
  </si>
  <si>
    <t>SL Kennedy</t>
  </si>
  <si>
    <t>412. Diseñar e implementar una solución tecnológica que facilite la participación de la ciudadanía en la gestión y oferta institucional</t>
  </si>
  <si>
    <t xml:space="preserve">34.Implementar (1) una estrategia de  innovación social que permita la  construcción de acciones  transectoriales para aprender y responder a las necesidades emergentes de los territorios de Bogotá y de ésta con la Región Central.
</t>
  </si>
  <si>
    <t>3. Entregar a  19563 jóvenes transferencias monetarias condicionadas en el marco de la estrategia de oportunidades juveniles</t>
  </si>
  <si>
    <t>SL Santa Fe la Candelaria</t>
  </si>
  <si>
    <t>481. Aumentar 5 puntos en la calificación del índice distrital de servicio a la ciudadanía, de la Secretaría Distrital de Integración Social</t>
  </si>
  <si>
    <t xml:space="preserve">35.Garantizar la eficiencia y la eficacia  ambiental, logística, operativa y de gestión documental de la entidad, para la  oportuna prestación de los servicios  sociales incluyendo componentes que demanden la reformulación de los programas.
</t>
  </si>
  <si>
    <t>4. Incrementar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</si>
  <si>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SL Suba</t>
  </si>
  <si>
    <t>484. Aumentar en un 43% la inspección y vigilancia en los servicios y programas prestados por la Secretaria Distrital de Integración Social que cuentan con estándares de calidad</t>
  </si>
  <si>
    <t xml:space="preserve">36. 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
</t>
  </si>
  <si>
    <t>5. Atender el 100% de jóvenes y adolescentes con sanciones no privativas de la libertad que requieran el apoyo para el restablecimiento de sus derechos a través de Centros Forjar</t>
  </si>
  <si>
    <t>SL Usaquén</t>
  </si>
  <si>
    <t>513. Garantizar la eficiencia y la eficacia ambiental, logística, operativa y de gestión documental de la entidad, para la oportuna prestación de los servicios sociales incluyendo componentes que demanden la reformulación de los programas</t>
  </si>
  <si>
    <t xml:space="preserve">37. Aumentar en un 43% la inspección y  vigilancia en los servicios y programas  prestados por la Secretaría Distrital de Integración Social que cuentan con estándares de calidad.
</t>
  </si>
  <si>
    <t>SL Bosa</t>
  </si>
  <si>
    <t>519. 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t>
  </si>
  <si>
    <t xml:space="preserve">38.Aumentar 5 puntos en la calificación del  índice distrital de servicio a la ciudadanía,  de la Secretaría Distrital de Integración
Social
</t>
  </si>
  <si>
    <t>1. Modernizar y mantener el 100% de la Infraestructura tecnológica de la Entidad para garantizar la operación de la Secretaría</t>
  </si>
  <si>
    <t>SL Usme-Sumapaz</t>
  </si>
  <si>
    <t>545. Fortalecer procesos territoriales en las 20 localidades, a partir de la Estrategia Territorial Social - ETIS, vinculando instancias de participación local, formas organizativas solidarias y comunitarias de la ciudadanía</t>
  </si>
  <si>
    <t>39.Diseñar e implementar una  estrategia de focalización  ajustada a las realidades poblacionales y territoriales en el  marco de la Estrategia Territorial  Integral Social - ETIS</t>
  </si>
  <si>
    <t>2. Actualizar y mantener el 100% de los sistemas de información de la entidad para contar con información accesible, confiable y oportuna</t>
  </si>
  <si>
    <t>SL Barrios Unidos-Teusaquillo</t>
  </si>
  <si>
    <t>546. Implementar (1) una estrategia de innovación social que permita la construcción de acciones transectoriales para aprender y responder a las necesidades emergentes de los territorios de Bogotá y de ésta con la Región Central</t>
  </si>
  <si>
    <t xml:space="preserve">40.Diseñar e implementar una  solución tecnológica que facilite  la participación de la ciudadanía en la gestión y oferta  institucional
</t>
  </si>
  <si>
    <t>3. Construir 1 estrategia de gestión del conocimiento y la información</t>
  </si>
  <si>
    <t>SL Ciudad Bolívar</t>
  </si>
  <si>
    <t>No se asocia a metas Plan de Desarrollo</t>
  </si>
  <si>
    <t xml:space="preserve">41. Fortalecer el 100% de las  Comisarías de Familia en su estructura organizacional y su capacidad operativa, humana y  tecnológica, para garantizar a las  víctimas de violencia
</t>
  </si>
  <si>
    <t>4. Formular e implementar 1 estrategia de focalización en el marco de la Estrategia Territorial Integral Social - ETIS</t>
  </si>
  <si>
    <t>SL Engativá</t>
  </si>
  <si>
    <t xml:space="preserve">42. Identificar, caracterizar y acompañar con respuestas transectoriales a 500.000 hogares de jefatura femenina en situación de pobreza que se encuentran en la base maestra de Bogotá Solidaria en Casa. </t>
  </si>
  <si>
    <t>5. Asesorar técnicamente al 100% de las áreas  en la formulación y seguimiento de las políticas públicas, planes, programas, proyectos y gasto público</t>
  </si>
  <si>
    <t>SL Puente Aranda-Antonio Nariño</t>
  </si>
  <si>
    <t>43. Organizar y poner en marcha con otros sectores del Distrito manzanas del cuidado en el marco del Sistema Distrital del Cuidado tomando como infraestructura ancla ocho Centros de Desarrollo Comunitario de la SDIS.</t>
  </si>
  <si>
    <t>6. Cumplir el 100% del programa implementación y sostenibilidad del sistema de gestión de la Secretaría Distrital de Integración Social</t>
  </si>
  <si>
    <t>SL San Cristóbal</t>
  </si>
  <si>
    <t>44. Caracterizar a 33.000 jóvenes Ninis en riesgo social en el marco de la implementación RETO.</t>
  </si>
  <si>
    <t>7. Formular o actualizar 9 estándares de calidad de los servicios sociales de la Entidad</t>
  </si>
  <si>
    <t>SL Chapinero</t>
  </si>
  <si>
    <t>48. Implementar la estrategia “Más territorio Menos Escritorio” que consiste en la visita de 691 unidades operativas, por parte del equipo directivo, en donde se evalúan las condiciones de infraestructura y prestación de los servicios para proyectar su optimización y manejo eficiente de los recursos</t>
  </si>
  <si>
    <t>8. Implementar el 100% de la política de comunicación institucional</t>
  </si>
  <si>
    <t>SL Tunjuelito</t>
  </si>
  <si>
    <t>No se asocia a metas 2020-2024</t>
  </si>
  <si>
    <t>7744 - Generación de Oportunidades para el Desarrollo Integral de la Niñez y la Adolescencia de Bogotá</t>
  </si>
  <si>
    <t>Todas las metas 2020-2024</t>
  </si>
  <si>
    <t>1. 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</si>
  <si>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2. 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</si>
  <si>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 xml:space="preserve">3. Atender a 18500 niñas niños y adolescentes con discapacidad, alteraciones en el desarrollo, restricciones médicas, pertenecientes a grupos étnicos y víctimas por el conflicto armado con enfoque diferencial y de género </t>
  </si>
  <si>
    <t>4. Consolidar 1 herramienta de medición de la atención integral a niñas, niños y adolescentes que permita la trazabilidad de la Ruta Integral de Atenciones desde la Gestación hasta la Adolescencia -RIAGA-</t>
  </si>
  <si>
    <t>5. Atender a 15000 niñas, niños y adolescentes del distrito en riesgo de trabajo infantil y violencias sexuales; y migrantes en riesgo de vulneración de sus derechos de manera flexible con enfoque diferencial y de género  </t>
  </si>
  <si>
    <t>6. Atender a 8300 niñas niños y adolescentes  víctimas y afectados por el conflicto armado en el marco del acuerdo de paz, la memoria, la convivencia y la reconciliación con enfoque diferencial y de género</t>
  </si>
  <si>
    <t>1. Beneficiar a 4.500 hogares mediante apoyos económicos</t>
  </si>
  <si>
    <t>2. Beneficiar el 100% de personas programadas mediante raciones de comida caliente en comedores comunitarios</t>
  </si>
  <si>
    <t>3. Implementar 2 comedores móviles para la entrega de comida caliente</t>
  </si>
  <si>
    <t>4. Beneficiar el 100% de personas programadas con la entrega de apoyos alimentarios mediante bonos canjeables por alimentos y apoyos en especie</t>
  </si>
  <si>
    <t>5. Entregar el 100% de kits alimentarios  humanitarios programados para atender necesidades poblacionales territoriales</t>
  </si>
  <si>
    <t>6. Entregar el 100% de ayudas humanitarias dirigidas a atender emergencias sociales</t>
  </si>
  <si>
    <t xml:space="preserve">7. Fortalecer las capacidades de 1.200 profesionales vinculados a la prestación de los servicios sociales de la Secretaría, en acciones de vigilancia nutricional </t>
  </si>
  <si>
    <t>8. Orientar a 36.000 personas frente a la promoción de estilos de vida saludable con énfasis alimentación, nutrición y actividad física</t>
  </si>
  <si>
    <t>9. Formular e implementar una estrategia de inclusión social</t>
  </si>
  <si>
    <t>10. Implementar 1 estrategia de agricultura urbana orgánica, manejo, disposición y aprovechamiento de residuos sólidos para los servicios sociales de la Secretaría.</t>
  </si>
  <si>
    <t>11. Beneficiar a 15.000 mujeres gestantes, lactantes y niños menores de 2 años con un apoyo alimentario articulado a la  estrategia de nutrición, alimentación y salud  basada en "1000 días de oportunidades para la vida”</t>
  </si>
  <si>
    <t>7748 - Fortalecimiento de la Gestión Institucional y Desarrollo Integral del Talento Humano en Bogotá</t>
  </si>
  <si>
    <t>1. Implementar el 100 por ciento de las soluciones en materia de servicios logísticos para la atención eficiente y oportuna de las necesidades operativas de la Entidad</t>
  </si>
  <si>
    <t>2. Implementar el 48 por ciento del Sistema Interno de Gestión Documental y Archivo</t>
  </si>
  <si>
    <t>3. Gestionar la implementación del 100 por ciento de los lineamientos Ambientales en las Unidades Operativas activas de la Entidad</t>
  </si>
  <si>
    <t>4. Contar con el 100 por ciento del Recurso Humano acorde a las necesidades de la Entidad</t>
  </si>
  <si>
    <t>5. Realizar 1 proceso de Rediseño Institucional para ajustar la estructura organizacional y la planta de personal a las necesidades de la SDIS</t>
  </si>
  <si>
    <t>6. Implementar el 100 por ciento del plan de acción del  Sistema de Seguridad y Salud en el Trabajo</t>
  </si>
  <si>
    <t>7. Implementar el 100 por ciento del plan de acción de la política pública de gestión y desarrollo integral del Talento Humano en la SDIS</t>
  </si>
  <si>
    <t xml:space="preserve">1. Diseñar 1 estrategia de territorios cuidadores  </t>
  </si>
  <si>
    <t>2. Caracterizar 412 territorios de Bogotá  de acuerdo a   las necesidades de las familias  en condición de pobreza, vulnerabilidad y exclusión social</t>
  </si>
  <si>
    <t>3. Atender a 116418 personas,  de acuerdo a sus realidades  por servicios en  emergencia social, natural, antrópica, sanitaria y de vulnerabilidad inminente</t>
  </si>
  <si>
    <t>4. Fortalecer 20 redes comunitarias de cuidado y gestión del riesgo en las localidades</t>
  </si>
  <si>
    <t>1. Atender integralmente al 100% niños, niñas y adolescentes en los Centros Proteger</t>
  </si>
  <si>
    <t xml:space="preserve">2. Implementar un plan de acción para coordinar la implementación y el seguimiento de la PPPF </t>
  </si>
  <si>
    <t>3. Implementar un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</si>
  <si>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7753 - Prevención de la Maternidad y la Paternidad Temprana en Bogotá</t>
  </si>
  <si>
    <t>1. Formar e Informar a 70000 niñas, niños, adolescentes, jóvenes y sus familias en derechos sexuales y derechos reproductivos con enfoque diferencial y de género</t>
  </si>
  <si>
    <t>2. Fortalecer las capacidades de 10000 agentes de cambio social, servidores públicos y contratistas de entidades públicas con enfoque diferencial y de género a través de la implementación de estrategias</t>
  </si>
  <si>
    <t xml:space="preserve">3. Implementar un plan de acción intra e interinstitucional para la promoción de los derechos sexuales y derechos reproductivos de niñas, niños, adolescentes y jóvenes </t>
  </si>
  <si>
    <t xml:space="preserve">4. Desarrollar una estrategia de comunicación para la prevención de la maternidad y la paternidad temprana,  embarazo en niñas menores de 14 años y la violencia sexual contra niñas, niños, adolescentes y jóvenes </t>
  </si>
  <si>
    <t>1. Implementar un modelo de inclusión social que permita la  vinculación de personas de los sectores sociales lgbti en vulnerabilidad  a la oferta de servicios sociales de la sdis</t>
  </si>
  <si>
    <t>2. Beneficiar a 7544 personas de los sectores lgbti identificadas en vulnerabilidad con apoyos económicos para la ampliación de capacidades</t>
  </si>
  <si>
    <t>3. Implementar un plan de acción para la transversalización de la política pública lgbti desde el sector social</t>
  </si>
  <si>
    <t>4. Poner en funcionamiento dos (2) nuevos centros comunitarios para la atención de personas de los sectores sociales lgbti en los territorios priorizados</t>
  </si>
  <si>
    <t>5. Brindar atención a 16000 personas de los sectores lgbti, sus familias y redes de apoyo desde los servicios sociales de la subdirección para asuntos lgbti y la estrategia territorial integral social</t>
  </si>
  <si>
    <t xml:space="preserve">1. Implementar una (1) estrategia territorial para el desarrollo de procesos de prevención y atención a la población en riesgo de habitar en calle </t>
  </si>
  <si>
    <t xml:space="preserve">2. Implementar una (1) estrategia de abordaje comunitaria del fenómeno de habitabilidad en calle dirigida al mejoramiento de la convivencia ciudadana </t>
  </si>
  <si>
    <t>3. Realizar 17000 atenciones  a ciudadanos y ciudadanas habitantes de calle a través de la estrategia móvil de abordaje en calle</t>
  </si>
  <si>
    <t>4. Atender 9795 ciudadanas y ciudadanos en riesgo y habitantes de calle mediante la mitigación de riesgos y daños asociados al fenómeno de habitabilidad en calle</t>
  </si>
  <si>
    <t>5. Desarrollar un (1) estrategia de seguimiento y monitoreo de las acciones que contribuyen con la implementación y articulación de la Política Pública Distrital para la Habitabilidad en Calle</t>
  </si>
  <si>
    <t>1. Identificar en el 100% de los territorios a intervenir con la estrategia, las dinámicas de segregación sociespacial</t>
  </si>
  <si>
    <t>2. Acompañar 27025 hogares pobres o en pobreza emergente</t>
  </si>
  <si>
    <t xml:space="preserve">3. Monitorear la movilidad social de 15000 hogares pobres o en pobreza emergente acompañados a través de la estrategia </t>
  </si>
  <si>
    <t>4. Apoyar la reactivación económica de 4000 personas adultas y sus familias con pobreza oculta, vulnerabilidad, fragilidad social o afectados por emergencia sanitaria, identificadas  en la estrategia</t>
  </si>
  <si>
    <t>1. Ofertar 92500 cupos para personas mayores en el servicio de apoyos económicos, proporcionándoles un ingreso económico para mejorar su autonomía y calidad de vida</t>
  </si>
  <si>
    <t>2. Vincular a 38300 personas mayores a procesos ocupacionales y de desarrollo humano a través de la atención integral en Centros Día</t>
  </si>
  <si>
    <t>3. Atender 940 personas mayores en procesos de autocuidado y dignificación a través de servicios de cuidado transitorio (día-noche)</t>
  </si>
  <si>
    <t>4. Atender 2800 personas mayores en servicios de cuidado integral y protección en modalidad institucionalizada</t>
  </si>
  <si>
    <t>5. Dinamizar en 20 localidades de Bogotá redes de cuidado comunitario entre las personas mayores y actores del territorio con la participación de 5000 personas</t>
  </si>
  <si>
    <t xml:space="preserve">6. Implementar el 100% de acciones del Plan de Acción de la Política Publica Social para el Envejecimiento y la Vejez </t>
  </si>
  <si>
    <t>7. Realizar 3 estudios que aporten las bases para la reformulación de la Política Pública Social para el Envejecimiento y la Vejez</t>
  </si>
  <si>
    <t xml:space="preserve">1. Atender 10000 cuidadores-as en la estrategia territorial, para cuidadores y cuidadoras de personas con discapacidad, que contribuya al reconocimiento socioeconómico y redistribución de roles en el marco del Sistema Distrital de Cuidado
</t>
  </si>
  <si>
    <t xml:space="preserve">2. Atender 4275 personas con discapacidad, sus familias y cuidadores-as en los servicios sociales a cargo del proyecto, a través de procesos de articulación transectorial
</t>
  </si>
  <si>
    <t xml:space="preserve">3. Incrementar a 2561 personas con discapacidad, sus familias y cuidadores-as en procesos de inclusión en los entornos educativo y productivo con enfoque territorial y diferencial, en el marco de una articulación transectorial
</t>
  </si>
  <si>
    <t xml:space="preserve">4. Contribuir en una (1) Política Pública de Discapacidad en el Distrito Capital, en su reformulación e implementación mediante el desarrollo de acciones interseccionales con otras políticas públicas para favorecer la inclusión de las personas con discapacidad, sus cuidadoras y cuidadores
</t>
  </si>
  <si>
    <t xml:space="preserve">5. Brindar a 3200 personas con discapacidad, sus familias y cuidadores-as apoyo en el desarrollo de sus competencias orientadas a la inclusión social, en el marco de una articulación transectorial
</t>
  </si>
  <si>
    <t>Todas las metas del proyecto</t>
  </si>
  <si>
    <t>No se asocia a meta proyecto de inversión</t>
  </si>
  <si>
    <t>VERSIÓN PLAN</t>
  </si>
  <si>
    <t>FECHA</t>
  </si>
  <si>
    <t>CONTROL DE CAMBIOS</t>
  </si>
  <si>
    <t>Aprobado por</t>
  </si>
  <si>
    <t>Versión 1</t>
  </si>
  <si>
    <t>28 enero de 2022</t>
  </si>
  <si>
    <t>Versión a aprobada en Comité Institucional de Gestión y Desempeño</t>
  </si>
  <si>
    <t xml:space="preserve">Comité Institucional de Gestión y Desempeño </t>
  </si>
  <si>
    <t>Versión 2</t>
  </si>
  <si>
    <t>11 de mayo de 2022</t>
  </si>
  <si>
    <t>Se realizó el ajuste a las acciones 17, 24, 26, 82 de acuerdo con la solicitud radicada el 27 y 29 de abril de 2022</t>
  </si>
  <si>
    <t>Versión 3</t>
  </si>
  <si>
    <t>04 de agosto de 2022</t>
  </si>
  <si>
    <t>*Se realizó el ajuste en el nombre de la acción, indicador y evidencias de la acción 01.
*Se realizó el ajuste en la programación y evidencias a la acción 153.
*Se eliminaron las acciones: 11, 16,17, 20, 35, 36, 37, 38, 128,132, 133, 138, 139, 155, 158, 159, 161, 168 del Plan.</t>
  </si>
  <si>
    <t xml:space="preserve">*Dirección de Análisis y Diseño Estratégico
*Dirección de Análisis y Diseño Estratégico
*Comité Institucional de Gestión y Desempeño 
</t>
  </si>
  <si>
    <t>Versión 4</t>
  </si>
  <si>
    <t>31 de octubre de 2022</t>
  </si>
  <si>
    <t>*Se realizó el ajuste en el nombre de la acción, fórmula del indicador y evidencias del IV trimestre a la acción No. 07
*Se realizó el ajuste en el nombre de la acción y fórmula del indicador a la acción No. 19
*Se eliminó la acción No. 86 del Plan
*Se ajustó la meta de la acción No. 123 del 30% al 24,8%</t>
  </si>
  <si>
    <t>*Dirección de Análisis y Diseño Estratégico
*Dirección de Análisis y Diseño Estratégico
*Comité Institucional de Gestión y Desempeño
*Comité Institucional de Gestión y Desempeño</t>
  </si>
  <si>
    <t>PROCESO PLANEACIÓN ESTRATÉGICA
FORMATO FORMULACIÓN Y SEGUIMIENTO DEL PLAN DE ACCIÓN INSTITUCIONAL INTEGRADO</t>
  </si>
  <si>
    <t xml:space="preserve">Código: FOR-PE-001 </t>
  </si>
  <si>
    <t>Versión: 4</t>
  </si>
  <si>
    <t>Fecha: Memo I2021031667 - 20/10/2021</t>
  </si>
  <si>
    <t>Página: 1 de 1</t>
  </si>
  <si>
    <t>ENTIDAD:</t>
  </si>
  <si>
    <t>Secretaría Distrital de Integración Social</t>
  </si>
  <si>
    <t>MISIÓN:</t>
  </si>
  <si>
    <t>La Secretaría Distrital de Integración Social, es una entidad pública de nivel central de la ciudad de Bogotá, líder del sector social, responsable de la formulación e implementación de políticas públicas poblacionales orientadas al ejercicio de derechos, ofrece servicios sociales y promueve de forma articulada, la inclusión social, el desarrollo de capacidades y la mejora en la calidad de vida de la población en mayor condición de vulnerabilidad, con un enfoque territorial.</t>
  </si>
  <si>
    <t>VISIÓN:</t>
  </si>
  <si>
    <t>La Secretaría Distrital de Integración Social será en el año 2030, una entidad líder, a nivel nacional, en materia de política social y un referente en la promoción de derechos, por contribuir a la inclusión social, al desarrollo de capacidades y a la prestación de los servicios sociales de alta calidad, a través de la transformación de los servicios sociales, la modernización institucional y una estrategia territorial integral social que responde a las necesidades sociales mediante acciones transectoriales, integradoras e innovadoras. Lo anterior para hacer de Bogotá una ciudad más cuidadora, incluyente, sostenible y consciente.</t>
  </si>
  <si>
    <t>PLAN DE DESARROLLO Y PLAN  ESTRATÉGICO SECTORIAL</t>
  </si>
  <si>
    <t>PLAN ESTRATÉGICO INSTITUCIONAL</t>
  </si>
  <si>
    <t xml:space="preserve">PLAN DE ACCIÓN INSTITUCIONAL VIGENCIA: </t>
  </si>
  <si>
    <t xml:space="preserve">IDENTIFICACIÓN </t>
  </si>
  <si>
    <t>Formulación</t>
  </si>
  <si>
    <t>Programación I trimestre</t>
  </si>
  <si>
    <t>Seguimiento I trimestre</t>
  </si>
  <si>
    <t>Programación II trimestre</t>
  </si>
  <si>
    <t>Seguimiento II trimestre</t>
  </si>
  <si>
    <t>Programación III trimestre</t>
  </si>
  <si>
    <t>Seguimiento III trimestre</t>
  </si>
  <si>
    <t>Programación IV trimestre</t>
  </si>
  <si>
    <t>Avance cualitativo
IV trimestre</t>
  </si>
  <si>
    <t>Consolidado año</t>
  </si>
  <si>
    <t>Meta plan de desarrollo</t>
  </si>
  <si>
    <t>Objetivo estratégico sectorial</t>
  </si>
  <si>
    <t>Meta sectorial</t>
  </si>
  <si>
    <t>Política o componente MIPG</t>
  </si>
  <si>
    <t xml:space="preserve">Fuente de financiación </t>
  </si>
  <si>
    <t>Plan de acción política pública asociada</t>
  </si>
  <si>
    <t>Número de Actividad / Acción</t>
  </si>
  <si>
    <t>Actividades / Acciones</t>
  </si>
  <si>
    <t>Meta Actividad/ Acción</t>
  </si>
  <si>
    <t>Suma programación anual</t>
  </si>
  <si>
    <t>Tendencia de meta</t>
  </si>
  <si>
    <t>Nombre del indicador de la meta</t>
  </si>
  <si>
    <t>Fórmula del indicador ó índice</t>
  </si>
  <si>
    <t>Fecha inicio
DD/MM/AAAA</t>
  </si>
  <si>
    <t>Fecha finalización
DD/MM/AAAA</t>
  </si>
  <si>
    <t>Evidencias programadas
I trimestre</t>
  </si>
  <si>
    <t xml:space="preserve">Programación  meta
I trimestre </t>
  </si>
  <si>
    <t>Avance cuantitativo
I trimestre</t>
  </si>
  <si>
    <t>Porcentaje de cumplimiento 
I trimestre</t>
  </si>
  <si>
    <t>Avance cualitativo
I trimestre</t>
  </si>
  <si>
    <t>Revisión segunda línea de defensa</t>
  </si>
  <si>
    <t>Evidencias programadas
II trimestre</t>
  </si>
  <si>
    <t xml:space="preserve">Programación  meta
II trimestre </t>
  </si>
  <si>
    <t>Avance cuantitativo
II trimestre</t>
  </si>
  <si>
    <t>Porcentaje de cumplimiento 
II trimestre</t>
  </si>
  <si>
    <t>Avance cualitativo
II trimestre</t>
  </si>
  <si>
    <t>Revisión segunda línea de defensa2</t>
  </si>
  <si>
    <t>Evidencias programadas
III trimestre</t>
  </si>
  <si>
    <t xml:space="preserve">Programación  meta
III trimestre </t>
  </si>
  <si>
    <t>Avance cuantitativo
III trimestre</t>
  </si>
  <si>
    <t>Porcentaje de cumplimiento 
III trimestre</t>
  </si>
  <si>
    <t>Avance cualitativo
III trimestre</t>
  </si>
  <si>
    <t>Revisión segunda línea de defensa3</t>
  </si>
  <si>
    <t>Evidencias programadas
IV trimestre</t>
  </si>
  <si>
    <t xml:space="preserve">Programación  meta
IV trimestre </t>
  </si>
  <si>
    <t>Avance cuantitativo
IV trimestre</t>
  </si>
  <si>
    <t>Porcentaje de cumplimiento 
IV trimestre</t>
  </si>
  <si>
    <t xml:space="preserve"> </t>
  </si>
  <si>
    <t>Programado meta</t>
  </si>
  <si>
    <t>Avance meta</t>
  </si>
  <si>
    <t>Porcentaje de avance</t>
  </si>
  <si>
    <t>Avance cualitativo</t>
  </si>
  <si>
    <t xml:space="preserve">Planeación Institucional </t>
  </si>
  <si>
    <t xml:space="preserve">Todas las Políticas Públicas </t>
  </si>
  <si>
    <t xml:space="preserve"> Brindar los lineamientos y realizar seguimiento al cumplimiento de los
objetivos de la Secretaría Distrital de Integración Social, en el marco del Comité Institucional de Gestión y desempeño.
</t>
  </si>
  <si>
    <t xml:space="preserve">Informe de seguimiento al cumplimiento de los objetivos de la Secretaría Distrital de Integración Social, en el marco del Comité Institucional de Gestión y desempeño.
</t>
  </si>
  <si>
    <t>Número de Informes de seguimiento al cumplimiento de los objetivos de la Secretaría Distrital de Integración Social, en el marco del Comité Institucional de Gestión y desempeño.</t>
  </si>
  <si>
    <t>31/12/2022</t>
  </si>
  <si>
    <t>No programado</t>
  </si>
  <si>
    <t>Informe del Seguimiento y acompañamiento a las metas, estrategias, programas y proyectos que permitan el cumplimiento de los objetivos estratégicos institucionales  y sectoriales .</t>
  </si>
  <si>
    <t>En el mes de mayo de 2022, se realizó el Informe de seguimiento al Plan Estratégico Institucional, con corte al primer trimestre 2022, el cual fue publicado en la página web de la entidad y se encuentra disponible en la página web de la Entidad: https://www.integracionsocial.gov.co/images/_docs/2022/transparencia/planeacion/20220520_PEI_informe_seguimiento_trimestre_I_31032022_publicacion_web_for_pe_062_v0.pdf
Cabe mencionar que, en relación con la presente actividad, desde el Despacho se identifica que la misma es ejecutada desde otra dependencia (Dirección de Análisis y Diseño Estratégico), por lo cual para el siguiente trimestre se solicitará formalmente la eliminación de la misma.</t>
  </si>
  <si>
    <t>Se recomienda incluir la trazabilidad de firmas de quien elabora, revisa y aprueba. Adicionalmente, estas firmas deben gestionarse por una herramienta diferente a AZ Digital.</t>
  </si>
  <si>
    <t xml:space="preserve">Informe del seguimiento realizado en el Comité Institucional de Gestión y Desempeño, al cumplimiento de los objetivos institucionales.
</t>
  </si>
  <si>
    <t>Desde el Despacho se presentó el informe de gestión del II semestre, en el marco del Comité Institucional de Gestión y Desempeño en cumplimiento de los objetivos institucionales con corte a 31 de diciembre.</t>
  </si>
  <si>
    <t>No se generan observaciones por parte de la segunda línea</t>
  </si>
  <si>
    <t>Meta cumplida</t>
  </si>
  <si>
    <t> </t>
  </si>
  <si>
    <t>11. Ajustar los servicios sociales para reducir la pobreza femenina. Focalizar y prestar los servicios sociales en los territorios que contribuyan a la reducción de la feminización de la pobreza.</t>
  </si>
  <si>
    <t>Elaborar el reporte mensual de personas en listados de priorización por servicio, modalidad o estrategia</t>
  </si>
  <si>
    <t>Reportes de personas en listados de priorización por servicio, modalidad o estrategia, elaborado.</t>
  </si>
  <si>
    <t>Número de reportes mensuales elaborados</t>
  </si>
  <si>
    <t>Reportes mensuales de personas en listados de priorización por servicio, modalidad o estrategia</t>
  </si>
  <si>
    <t>Durante el primer trimestre de 2022 se generaron los listados de focalización y priorización para los servicio que son usan herramientas de focalización según lo contemplado en el procedimiento y documento técnico de focalización.  Entre Enero y Marzo de 2022 fueron remitidas en listados de priorización 889.333 personas distribuidas en 252.222 en el mes de enero, 311.873 en el mes de febrero y 325.238 en el mes de marzo.</t>
  </si>
  <si>
    <t>No se generan observaciones por parte de la segunda línea de defensa</t>
  </si>
  <si>
    <t>Se generaron los listados de focalización y priorización para los servicios que usan herramientas de focalización según lo contemplado en el procedimiento y documento técnico de focalización.  En el segundo trimestre se remitieron personas en los listados de priorización de la siguiente manera: 
Abril:  338.579 
Mayo:  326.580 
Junio*: 298.293 
*A partir de Junio del 2022 se reportan las personas únicas enviadas durante el mes. Anteriormente, se reportaban el número total de personas enviadas en cada listado, sin importar si se enviaban mas de una vez durante el mes. 
Como soporte se anexa el archivo en excel que contiene el resumen de los tres reportes mensuales del número de personas priorizadas.</t>
  </si>
  <si>
    <t>Se elaboró el reporte mensual de personas en listados de priorización por servicio, para lo cual fue necesario adelantar las siguientes actividades: solicitar y administrar bases de datos de otras entidades del distrito y la nación, revisar las fichas técnicas actualizadas y vigentes de los servicios tras su aprobación en el Comité Institucional de Gestión y Desempeño, aplicar el  procedimiento de focalización para la elaboración de los listados de dispersión y enviar el listados a las áreas técnicas correspondientes de la Secretaría Distrital de Integración Social.
Para el trimestre julio, agosto y septiembre de 2022 se remitió el siguiente número de personas en los listados de priorización:
Mes de julio: 358.183
Mes de agosto: 124.464
Mes de septiembre: 131,482
Es importante mencionar que a partir de junio del 2022 se reportan las personas únicas enviadas durante el mes para todos los servicios susceptibles de focalización. Anteriormente, se reportaba el número total de personas enviadas en cada listado de focalización, sin importar si se duplicaban en otro listado durante el mes.</t>
  </si>
  <si>
    <t>Se elaboró el reporte mensual de personas en listados de priorización por servicio, para lo cual fue necesario adelantar las siguientes actividades: solicitar y administrar bases de datos de otras entidades del distrito y la nación, revisar las fichas técnicas actualizadas y vigentes de los servicios tras su aprobación en el Comité Institucional de Gestión y Desempeño, aplicar el  procedimiento de focalización para la elaboración de los listados de dispersión y enviar el listados a las áreas técnicas correspondientes de la Secretaría Distrital de Integración Social.</t>
  </si>
  <si>
    <t>Elaborar el documento técnico con el procedimiento de salida de los servicios sociales</t>
  </si>
  <si>
    <t>Avance en la elaboración del documento tecnico de procedimiento de salida de los servicios sociales</t>
  </si>
  <si>
    <t>(Documento tecnico de procedimiento de salida de los servicios sociales elaborados / documento tecnico de procedimiento de salida de los servicios sociales programados)*100</t>
  </si>
  <si>
    <t xml:space="preserve">Documento tecnico preliminar de procedimiento de salida de los servicios sociales 
</t>
  </si>
  <si>
    <t>Se avanzó en la elaboración del lineamiento técnico de salida de los servicios sociales de la Secretaría Distrital de Integración Social, el cual tiene por objetivo explicar y establecer los parámetros metodológicos para desarrollar e implementar el proceso de verificación de criterios de egreso por cruce de base de datos de los servicios sociales, modalidades y estrategias, para identificar la población que posiblemente está cumpliendo con criterios para el debido proceso de egreso, a fin de generar las alertas correspondientes a las áreas técnicas responsables de los servicios.</t>
  </si>
  <si>
    <t>Documento tecnico final de procedimiento de salida de los servicios sociales y listados de egreso de servicios sociales</t>
  </si>
  <si>
    <t>Se culminó el lineamiento técnico de salida de los servicios sociales de la Secretaría Distrital de Integración Social, el cual tiene por objetivo explicar y establecer los parámetros metodológicos para desarrollar e implementar el proceso de verificación de criterios de egreso por cruce de base de datos de los servicios sociales, modalidades y estrategias, para identificar la población que posiblemente está cumpliendo con criterios para el debido proceso de egreso, a fin de generar las alertas correspondientes a las áreas técnicas responsables de los servicios para que desde allí, se realice la verificación correspondiente de la información y, de confirmarse, se implemente el procedimiento y el debido proceso para el egreso de las y los beneficiarios.</t>
  </si>
  <si>
    <t>Se recomienda incluir la trazabilidad de las firmas en el lineamiento técnico</t>
  </si>
  <si>
    <t>Elaborar el Documento de resultados de la evaluación del servicio de apoyos económicos para la juventud</t>
  </si>
  <si>
    <t>Avance en la elaboración del documento de resultados de evaluación al servicio apoyos económicos para la juventud</t>
  </si>
  <si>
    <t>(documento de resultados de evaluación al servicio apoyos económicos para la juventud elaborados / documento e resultados  de evaluación al servicio apoyos económicos para la juventud programados)*100%</t>
  </si>
  <si>
    <t>Documento metodológico de evaluación del servicio apoyos economicos para la juventud</t>
  </si>
  <si>
    <t>En relación con la elaboración del “Documento de resultados de la evaluación del servicio de apoyos económicos para la juventud” se presentaron retrasos, debido a la rotación de colaboradores(as) al interior del grupo de investigaciones entre los meses de julio a septiembre de 2022, llevando a la reorganización del equipo, con el fin de atender los diferentes compromisos planeados y las nuevas solicitudes correspondientes a la dinámica de la Entidad.</t>
  </si>
  <si>
    <t>No se reporta avance cuantitativo para esta acción, por lo cual se enviarán las alertas respectivas para su cumplimiento.</t>
  </si>
  <si>
    <t>Documento de resultados evaluación del servicio de apoyos económicos para la juventud</t>
  </si>
  <si>
    <t>Se culminó el documento de resultados prueba piloto de la evaluación del programa de apoyos económicos para la juventud, denominado parceros por Bogotá. Teniendo en cuenta que la Subdirección para la Juventud con acompañamiento de la Dirección de Análisis y Diseño Estratégico (DADE) consolidó una propuesta de instrumentos para abordar los módulos de la ruta pedagógica, los cuales surtieron un proceso de prueba piloto como un primer paso a la preparación de la evaluación integral del programa. En este sentido, el documento de investigación presenta los resultados de la prueba piloto donde se identifican los cambios conductuales y cognitivos de los participantes, su percepción sobre el programa y proyecto de vida, así como visibiliza las fortalezas y oportunidades de mejora del programa. Para ello, implementó una metodología mixta que combina técnicas cuantitativas y cualitativas basadas en encuestas digitales y grupos focales.</t>
  </si>
  <si>
    <t>Subsanado por el área. Se recomienda incluir la trazabilidad de las firmas en el documento</t>
  </si>
  <si>
    <t>Elaborar el documento propuesta de actualización de indice de pobreza multidimensional</t>
  </si>
  <si>
    <t>Avance en la elaboración del documento de actualización de indice de pobreza multidimensional</t>
  </si>
  <si>
    <t>(documento propuesta de actualización Indice de Pobreza Multidimensional elaborados / documento propuesta de actualización Indice de Pobreza Multidimensional programados)*100%</t>
  </si>
  <si>
    <t>Documento preliminar propuesta de actualización Indice de Pobreza Multidimensional</t>
  </si>
  <si>
    <t>En relación con la elaboración del “Documento propuesta de actualización del índice de pobreza multidimensional” se presentaron retrasos, debido a la rotación de colaboradores(as) al interior del grupo de investigaciones entre los meses de julio a septiembre de 2022, llevando a la reorganización del equipo, con el fin de atender los diferentes compromisos planeados y las nuevas solicitudes correspondientes a la dinámica de la Entidad.</t>
  </si>
  <si>
    <t>Documento final propuesta de actualización Indice de Pobreza Multidimensional</t>
  </si>
  <si>
    <t>Se culminó el documento propuesta de actualización del índice de pobreza multidimensional. En este se resalta que la medición de la pobreza multidimensional representa retos significativos entre los cuales se destaca, la actualización-revisión de las dimensiones e indicadores incluidos en el Índice, así como la inclusión y medición de nuevas dimensiones vinculadas con las capacidades humanas que proporcionen más elementos y herramientas para conocer las condiciones de vida de los hogares, dimensiones que no fueron consideradas inicialmente, pero que han ido tomando relevancia dada las necesidades humanas y lo que se requiere para su satisfacción de acuerdo con las particularidades de cada contexto. Por lo tanto, la selección de dimensiones como la selección de indicadores están atadas al propósito de la medida, el espacio de medición y la unidad de identificación.
Teniendo en cuenta lo anterior y a partir de la perspectiva de “dimensiones faltantes de la pobreza multidimensional”, para el caso del IPM Bogotá se propone actualizar su estructura en dos vías: la inclusión de nuevas variables a las dimensiones actuales e incluir una nueva dimensión.</t>
  </si>
  <si>
    <t>Realizar el Informe semestral de alertas identificadas sobre la ejecución de los planes de acción de las políticas públicas que lidera o en las participa la SDIS</t>
  </si>
  <si>
    <t>Informes de alertas identificadas sobre la ejecución de los planes de acción de las políticas públicas que lidera o en las participa la SDIS, elaborados</t>
  </si>
  <si>
    <t>Número de Informes de alertas sobre la ejecución de los planes de acción de las políticas públicas elaborados</t>
  </si>
  <si>
    <t>Un informe con las alertas identificadas sobre la ejecución de los planes de acción de las políticas públicas que lidera o participa la SDIS</t>
  </si>
  <si>
    <t>Durante el segundo trimestre 2022 se realizó el análisis de los planes de acción de las políticas públicas que lidera o en las que participa la SDIS a través del seguimiento al  cumplimiento de metas de aciones y productos y del avance en la ejecución presupuestal con corte a 31 de marzo de la presente vigencia. Del mismo modo, se remitó el informe a los directivos líderes de meta para que tomen las decisiones a las que haya lugar.</t>
  </si>
  <si>
    <t>Se recomienda incluir la trazabilidad de firmas de quien elabora, revisa y aprueba. Adicionalmente, estas firmas deben gestionarse por una herramienta diferente a AZ Digital. 13/07/2022 Se ajusta la evidencia conforme a las observaciones.</t>
  </si>
  <si>
    <t xml:space="preserve">Durante el tercer trimestre de 2022 se realizó el reporte de seguimiento a las acciones de mejora de la Direccion de Análisis y Diseño Estratégico, Subdirección de Diseño, Evaluación y Sistematización y Subdirección de Investigación e Información, con corte a 05 de septiembre de 2022, en el que se indicó las acciones con cumplimiento a la fecha de las tres dependencias, con sus correspondientes soportes. </t>
  </si>
  <si>
    <t>En el segundo semestre se realizó el informe de seguimiento a la ejecución de los planes de acción de las políticas públicas que lidera o en las que participa la Secretaría Distrital de Integración Social con los datos a corte del 30 de junio de 2022, identificando por política pública, el producto, la entidad o área responsable según corresponda y su cumplimiento de acuerdo con la categorización de la Secretaría Distrital de Planeación en alto, medio y bajo. Este documento se remitió a los directivos para su información y la definición de acciones que consideren necesarias.</t>
  </si>
  <si>
    <t>4. Adelantar un proceso de modernización y mejora del desempeño institucional, garantizando la transparencia, integridad y seguimiento y control, que incluya el rediseño de la estructura organizacional, la reestructuración del proceso de contratación y el desarrollo de una estrategia de retroalimentación y evaluación de la entidad en territorio</t>
  </si>
  <si>
    <t>Elaborar el reporte de seguimiento al Sistema de gestión de
continuidad del negocio</t>
  </si>
  <si>
    <t xml:space="preserve">Porcentaje de avance en el seguimiento a la implementación del Sistema de Gestión de Continuidad de Negocio </t>
  </si>
  <si>
    <t>(Número de reportes de seguimiento al plan de continuidad del negocio elaborados / Número de reportes de seguimiento al plan de continuidad del negocio programados) *100</t>
  </si>
  <si>
    <t>Matriz de Plan de Continuidad del Negocio elaborada</t>
  </si>
  <si>
    <t>Durante el primer semestre de 2022 se realizó la revisión documental y normativa lo que llevó a realizar ajustes en la construcción de los componentes del Sistema de Gestión de Continuidad de Negocio y manejo de crisis, y para ello se planteó la actualización del Informe de Análisis al Impacto al negocio -BIA, el plan de continuidad y la construcción de los planes de continuidad por dependencia.</t>
  </si>
  <si>
    <t>Reporte de seguimiento a la implementacion del Sistema de gestión de continuidad del negocio</t>
  </si>
  <si>
    <t>En la vigencia 2022 se realizó la implementación del Sistema de Gestión de Continuidad del Negocio en el marco del estándar de la Norma Técnica de Calidad 5722 de 2012, iniciando por la actualización de los documentos que componen el sistema, debido a que no se contaba con la identificación de los riesgos de interrupción en la entidad. Esto significó el rediseño del Plan de Continuidad del Negocio, actualización del Informe de análisis del impacto al negocio BIA y sus cinco (5) documentos anexos que componen el Sistema de Gestión de Continuidad de Negocio, esto se formalizó a la Subdirección de Diseño, Evaluación y Sistematización a través del memorando I2022041825 con fecha 06/12/2022.</t>
  </si>
  <si>
    <t>No se asocia a metas 2020-2025</t>
  </si>
  <si>
    <t xml:space="preserve">Control Interno </t>
  </si>
  <si>
    <t>Auditoria y control</t>
  </si>
  <si>
    <t>Realizar los reportes de seguimiento a la implementacion de planes de mejoramiento a cargo de la Dirección de Análisis y Diseño Estratégico y sus subdirecciones técnicas</t>
  </si>
  <si>
    <t>Reportes de seguimiento a planes de mejoramiento a cargo de la DADE y sus subdirecciones tecnicas, elaborados</t>
  </si>
  <si>
    <t>Numero de reportes de planes de mejoramiento a cargo de la DADE y sus subdirecciones tecnicas realizados</t>
  </si>
  <si>
    <t>Reporte de seguimiento de las acciones de mejora a cargo de la DADE y sus subdirecciones tecnicas, con sus respectivas evidencias</t>
  </si>
  <si>
    <t xml:space="preserve">Durante el primer trimestre de 2022 se realizó el reporte de seguimiento a las acciones de mejora de la Direccion de Análisis y Diseño Estratégico, Subdirección de Diseño, Evaluación y Sistematización y Subdirección de Investigación e Información, en el que se indicó las acciones con cumplimiento a la fecha de las tres dependencias, con sus correspondientes soportes. </t>
  </si>
  <si>
    <t xml:space="preserve">Durante el segundo trimestre de 2022 se realizó el reporte de seguimiento a las acciones de mejora de la Direccion de Análisis y Diseño Estratégico, Subdirección de Diseño, Evaluación y Sistematización y Subdirección de Investigación e Información, con corte a 14 de junio de 2022, en el que se indicó las acciones con cumplimiento a la fecha de las tres dependencias, con sus correspondientes soportes. </t>
  </si>
  <si>
    <t>Durante el cuarto trimestre de 2022 se realizó el reporte de seguimiento a las acciones de mejora de la Direccion de Análisis y Diseño Estratégico, Subdirección de Diseño, Evaluación y Sistematización y Subdirección de Investigación e Información, con corte a 30 de noviembre de 2022, en el que se indicó las acciones con cumplimiento a la fecha de las tres dependencias, con sus correspondientes soportes, los cuales se adjuntan como evidencia de cumplimiento de este producto.</t>
  </si>
  <si>
    <t>Elaborar el reporte de divulgación de las recomendaciones generadas por la Veeduría Distrital</t>
  </si>
  <si>
    <t>Porcentaje de informes de recomendaciones de la Veeduría Distrital divulgados a los responsables</t>
  </si>
  <si>
    <t>(Número de informes de recomendaciones de la Veeduría Distrital divulgados a los responsables / Número de informes de recomendaciones de la Veeduría Distrital recibidos) *100</t>
  </si>
  <si>
    <t xml:space="preserve">Reporte de divulgaciones a los responsables por correo electronico de las recomendaciones de los informes de la Veeduria Distrital </t>
  </si>
  <si>
    <t>Durante el segundo trimestre de 2022 se realizó la divulgación del informe de la veeduria cuyo tema fue "“La pobreza, la feminización de la pobreza y la movilidad social en Bogotá, una apuesta estratégica del PDD 2020-2024: análisis y recomendaciones” por parte del Despacho a todas las áreas de la entidad.  Así mismo, la dade realizó la respectiva gestión en su competencia.</t>
  </si>
  <si>
    <t>Durante el cuarto trimestre de 2022 se realizo el reporte de divulgación de las recomendaciones generadas por la Veeduría Distrital por parte del despacho a las áreas de la entidad cuyo tema correspondió a "La pobreza, la feminización de la pobreza y la movilidad social en Bogotá, una apuesta estratégica del Plan Distrital de Desarrollo 2020-2024: análisis y recomendaciones". Por lo anterior, desde la Dirección de Análisis y Diseño Estratégico se enviaron los insumos correspondientes a la pregunta dos de acuerdo con sus competencias.</t>
  </si>
  <si>
    <t>Elaborar el informe semestral de alertas identificadas sobre la ejecución de los planes: Plan de Ajuste y sostenibilidad de MIPG, Plan de Participacion Ciudadana, Plan Anticorrupción y de Atencion al Ciudadano, Plan Estrategico de Tecnologias de la Informacion, Plan de Seguridad y Privacidad de la Informacion, Plan de Preservacion Digital a Largo plazo</t>
  </si>
  <si>
    <t>Informes de alertas identificadas sobre la ejecución de los planes Plan de Ajuste y sostenibilidad de MIPG, Plan de Participacion Ciudadana, Plan Anticorrupción y de Atencion al Ciudadano, Plan Estrategico de Tecnologias de la Informacion, Plan de Seguridad y Privacidad de la Informacion, Plan de Preservacion Digital a Largo plazo, elaborados</t>
  </si>
  <si>
    <t>Número de Informes de alertas sobre la ejecución de los planes Plan de Ajuste y sostenibilidad de MIPG, Plan de Participacion Ciudadana, Plan Anticorrupción y de Atencion al Ciudadano, Plan Estrategico de Tecnologias de la Informacion, Plan de Seguridad y Privacidad de la Informacion, Plan de Preservacion Digital a Largo plazo</t>
  </si>
  <si>
    <t>Un informe con las alertas identificadas sobre la ejecución de los planes Plan de Ajuste y sostenibilidad de MIPG, Plan de Participacion Ciudadana, Plan Anticorrupción y de Atencion al Ciudadano, Plan Estrategico de Tecnologias de la Informacion, Plan de Seguridad y Privacidad de la Informacion, Plan de Preservacion Digital a Largo plazo</t>
  </si>
  <si>
    <t>Se realiza y presenta un informe semestral con las alertas identificadas sobre la ejecución de los planes Plan de Ajuste y sostenibilidad de MIPG, Plan de Participacion Ciudadana, Plan Anticorrupción y de Atencion al Ciudadano, Plan Estrategico de Tecnologias de la Informacion, Plan de Seguridad y Privacidad de la Informacion, Plan de Preservacion Digital a Largo plazo.</t>
  </si>
  <si>
    <t>Se realizó y presentó el informe de segundo semestre con las alertas identificadas sobre la ejecución de los planes Plan de Ajuste y sostenibilidad de MIPG (corte 30 de septiembre), Plan de Participacion Ciudadana (corte 30 de septiembre), Plan Anticorrupción y de Atencion al Ciudadano (corte 30 de agosto), Plan Estrategico de Tecnologias de la Informacion (corte 30 de septiembre), Plan de Seguridad y Privacidad de la Informacion (corte 30 de septiembre), Plan de Preservacion Digital a Largo plazo (corte 30 de septiembre).</t>
  </si>
  <si>
    <t>01. Un diagnóstico sobre las capacidades físicas, tecnológicas, administrativas y operativas para cada una de las entidades que componen el sector de integración social.  02. Formular un plan de trabajo de cada una de las entidades que componen el sector integración social que contenga las acciones dirigidas a fortalecer las necesidades identificadas en los diagnósticos, 03. Cumplir el 100% de las actividades programadas en los planes de trabajo definidos.</t>
  </si>
  <si>
    <t xml:space="preserve">40.Diseñar e implementar una  solución tecnológica que facilite  la participación de la ciudadanía en la gestión y oferta  institucional_x000D_
</t>
  </si>
  <si>
    <t>Cumplir con las metas del proyecto de inversión 7741</t>
  </si>
  <si>
    <t>% de numero de metas cumplidas con el avance programado para el trimestre</t>
  </si>
  <si>
    <t>(No. Metas cumplidas / No. metas programadas en el trimestre)*100%</t>
  </si>
  <si>
    <t>Reportes SPI del trimestre</t>
  </si>
  <si>
    <t>Reporta equipo analistas SDES</t>
  </si>
  <si>
    <t>El equipo de analistas de la Subdirección de Diseño, Evaluación y Sistematización, reporta un cumplimiento del 100% de acuerdo con lo programado para el trimestre</t>
  </si>
  <si>
    <t>Acción eliminada del Plan</t>
  </si>
  <si>
    <t>Cumplir con las metas del Plan de Ajuste y Sostenibilidad MIPG: Políticas Planeación Institucional, Racionalización de Trámites, Gestión de Información Estadística, Gestión del Conocimiento</t>
  </si>
  <si>
    <t>porcentaje de cumplimiento de las metas del Plan de Ajuste y Sostenibilidad MIPG Políticas: Planeación Institucional, Racionalización de Trámites, Gestión de Información Estadística, Gestión del Conocimiento de acuerdo con lo programado con corte al periodo reportado</t>
  </si>
  <si>
    <t>(No. Metas cumplidas de acuerdo con lo programado en el trimestre / No. metas programadas en el trimestre)*100</t>
  </si>
  <si>
    <t>Seguimiento Plan de Ajuste MIPG del Trimestre - Carpeta de evidencias del Plan</t>
  </si>
  <si>
    <t>El plan de ajuste y sostenibilidad MIPG reporta un cumplimiento del 100% para las políticas de: Gestión del Conocimiento, Planeación Institucional, Gestión de información estadísitica y Racionalización de trámites</t>
  </si>
  <si>
    <t>El plan de ajuste y sostenibilidad MIPG reporta el siguiente cumplimiento: Planeación Institucional 100%, Racionalización de Trámites 50%, Gestión de Información Estadística 100%, Gestión del Conocimiento 100%</t>
  </si>
  <si>
    <t>El plan de ajuste y sostenibilidad MIPG reporta el siguiente cumplimiento: Planeación Institucional 100%, Gestión de Información Estadística 100%, Gestión del Conocimiento 100%.</t>
  </si>
  <si>
    <t>Meta cumplida al 97%</t>
  </si>
  <si>
    <t>Rezago en cumplimiento de los productos del Plan de Ajuste y Sostenibilidad MIPG para las políticas que lidera la dependencia</t>
  </si>
  <si>
    <t>02. Formular un plan de trabajo de cada una de las entidades que componen el sector integración social que contenga las acciones dirigidas a fortalecer las necesidades identificadas en los diagnósticos. 3. Cumplir el 100% de las actividades programadas en</t>
  </si>
  <si>
    <t>Plan de Austeridad _x000D_
Plan Institucional de Gestión Ambiental PIGA</t>
  </si>
  <si>
    <t>Realizar los informes de resultados de implementación del Plan Institucional de Gestión Ambiental - PIGA, de la Secretaría Distrital de Integración Social</t>
  </si>
  <si>
    <t>Informes de implementación del plan de acción PIGA 2022 elaborados.</t>
  </si>
  <si>
    <t>N° de Informes de implementación del plan de acción PIGA 2022 elaborados / N° de Informes de implementación del plan de acción PIGA 2022 programados</t>
  </si>
  <si>
    <t>Informe de implementación del plan de acción PIGA 2022 I Semestre.</t>
  </si>
  <si>
    <t xml:space="preserve">En cumplimento a la Resolución 242 de 2014 “Por la cual se adoptan los lineamientos para la formulación, concertación, implementación, evaluación, control y seguimiento del Plan Institucional de Gestión Ambiental –PIGA” se establece para las entidades publicas, la creación y aprobación de un plan de acción anual el cual deberá contener las actividades necesarias para el logro de los objetivos establecidos en los programas de gestión ambiental del PIGA.
La entidad aprobó su Plan de Acción para la vigencia 2022, este fue construido para para minimizar, mitigar y/o compensar los impactos ambientales significativos y dar cumplimiento a la normativa aplicable y cuenta con un total de 56 actividades a desarrollar.
Producto de este plan se remite como cumplimiento de la actividad planteada, el informe de resultados de la implementación porcentual de las actividades PIGA 2022, teniendo los siguientes porcentajes de cumplimiento por programa:
•	Programa de Uso Eficiente del Agua. (42.12%)
•	Programa de Uso Eficiente de la Energía. (48.04%)
•	Programa de Gestión Integral de Residuos. (48.7%)
•	Programa de Consumo Sostenible. (47.5%)
•	Programa de Implementación de Prácticas Sostenibles. (21.8%)
•	Promedio de cumplimento del plan de acción PIGA I Semestre (41.63%)
</t>
  </si>
  <si>
    <t>Informe de implementación del plan de acción PIGA 2022 II Semestre.</t>
  </si>
  <si>
    <t>"Dando cumplimiento a la acción numero 13 “Realizar los informes de resultados de implementación del Plan Institucional de Gestión Ambiental - PIGA, de la Secretaría Distrital de Integración Social” y a la Resolución 242 de 2014 “Por la cual se adoptan los lineamientos para la formulación, concertación, implementación, evaluación, control y seguimiento del Plan Institucional de Gestión Ambiental –PIGA” la SDIS estableció la creación y aprobación del plan de acción anual 2022, el cual contiene las actividades necesarias para el logro de los objetivos establecidos en los programas de gestión ambiental del PIGA de la SIDS.
El Plan de Acción Anual del PIGA de la SDIS para la vigencia 2022, fue construido para para minimizar, mitigar y/o compensar los impactos ambientales significativos y dar cumplimiento a la normativa aplicable y cuenta con un total de 57 actividades las cuales se cumplieron en su totalidad al 100%, gracias las acciones y actividades establecidas y desarrolladas desde la Dirección de Gestión Corporativa – Equipo de Gestión Ambiental con el apoyo de las diferentes dependencias, subdirecciones locales y unidades operativas de la SDIS.
Producto de este plan se remite como cumplimiento de la actividad planteada, el informe de resultados de la implementación porcentual de las actividades PIGA 2022, teniendo los siguientes porcentajes de cumplimiento por programa:
• Programa de Uso Eficiente del Agua. (100%)
• Programa de Uso Eficiente de la Energía. (100%)
• Programa de Gestión Integral de Residuos. (100%)
• Programa de Consumo Sostenible. (100%)
• Programa de Implementación de Prácticas Sostenibles. (100%)
• Cumplimento del plan de acción PIGA 2022 (100%)"</t>
  </si>
  <si>
    <t xml:space="preserve">35.Garantizar la eficiencia y la eficacia  ambiental, logística, operativa y de gestión documental de la entidad, para la  oportuna prestación de los servicios  sociales incluyendo componentes que demanden la reformulación de los programas._x000D_
</t>
  </si>
  <si>
    <t>Elaborar las actas de las Sesiones de acuerdo a lo reglamentado por la resolución de conformación  el Comité de Contratación.</t>
  </si>
  <si>
    <t>Sesiones de comité de contratación desarrollados</t>
  </si>
  <si>
    <t>(N° de sesiones  de comité de contratación desarrolladas / N° sesiones  de comité de contratación   programadas para la vigencia  2021) * 100</t>
  </si>
  <si>
    <t>1 acta por mes (enero ,febrero, marzo)</t>
  </si>
  <si>
    <t>Se han desarrollado las reunioes de acuerdo a lo definido en el indicador, 1 para cada mes, se reportan 3 actas de los meses Enero, Febrero  y Marzo 2022.</t>
  </si>
  <si>
    <t>1 acta por mes (abril, mayo, junio)</t>
  </si>
  <si>
    <t>Se han desarrollado las reuniones de Comité de Contratación de acuerdo a lo definido en el indicador, 1 acta por mes de reporte, se reportan los meses de abril. Mayo y junio.</t>
  </si>
  <si>
    <t>1 acta por mes (julio, agosto, septiembre)</t>
  </si>
  <si>
    <t xml:space="preserve">Se han desarrollado las reuniones del Comité de Contratación de acuerdo con lo establecido en el indicador, se reporta acta N° 42  del 19 de julio de 2022, acta N° 50 del 10 de agosto de 2022 y acta N°53del 02 de Septiembre de 2022 </t>
  </si>
  <si>
    <t>1 acta por mes (octubre, noviembre, diciembre)</t>
  </si>
  <si>
    <t>Se han desarrollado las reuniones del Comité de Contratación de acuerdo con lo establecido en el indicador, se reporta acta N° 62  del 12 de octubre de 2022, acta N° 69 del 17 de noviembre de 2022 y acta N°72 del 02 de diciembre de 2022</t>
  </si>
  <si>
    <t>Cumplir con las metas del Plan de Ajuste y Sostenibilidad MIPG para las Políticas Fortalecimiento organizacional y Componente ambiental</t>
  </si>
  <si>
    <t>Nivel porcentual de cumplimiento de las metas del Plan de Ajuste y Sostenibilidad MIPG Políticas: Fortalecimiento organizacional y Componente ambiental</t>
  </si>
  <si>
    <t>El plan de ajuste y sostenibilidad MIPG reporta un cumplimiento del 100% para el componente ambiental y 100% para la política de fortalecimiento institucional</t>
  </si>
  <si>
    <t>El plan de ajuste y sostenibilidad MIPG reporta el siguiente cumplimiento: Fortalecimiento Institucional 100%, Componente ambiental 100%</t>
  </si>
  <si>
    <t>El plan de ajuste y sostenibilidad MIPG reporta el siguiente cumplimiento: Fortalecimiento Institucional 100%, Componente ambiental 50%, sin embargo como en el periodo anterior presentó sobreejecución este producto, se evidencia que con este porcentaje se cumple el 100% de la meta programada para la vigencia. Por lo tanto, se entenderá como un cumplimiento al 100% de la política</t>
  </si>
  <si>
    <t>El plan de ajuste y sostenibilidad MIPG reporta el siguiente cumplimiento: Fortalecimiento Institucional 100%</t>
  </si>
  <si>
    <t>Cumplir con las metas del proyecto de inversión 7748</t>
  </si>
  <si>
    <t xml:space="preserve">Las alertas se generarán desde el equipo de analistas </t>
  </si>
  <si>
    <t>Cumplir con las metas del proyecto de inversión 7565</t>
  </si>
  <si>
    <t xml:space="preserve">11. Beneficiar el 100% de personas programadas con la entrega de apoyos alimentarios mediante bonos canjeables por alimentos y apoyos en especie._x000D_
</t>
  </si>
  <si>
    <t>Realizar la formulación del Plan de Nutrición y abastecimiento de la SDIS</t>
  </si>
  <si>
    <t>Plan de Nutrición y Abastecimiento formulado</t>
  </si>
  <si>
    <t>Avance porcentual en la formulación del Plan de Nutrición y abastecimiento de la SDIS</t>
  </si>
  <si>
    <t xml:space="preserve">Documento del Plan de Nutrición y Abastecimiento </t>
  </si>
  <si>
    <t>Durante el primer trimestre 2022 se elaboró el documento programado bajo la denominación "Plan Institucional de Nutrición y Abastecimiento - PINA". Dicho documento se construyó con las áreas transversales de la Dirección de Nutrición y Abastecimiento y las subdirecciones técnicas de Abastecimiento y Nutrición. Se diseñó formato para la elaboración del Plan Operativo, el cual facilitará la implementación y seguimiento del PINA.</t>
  </si>
  <si>
    <t>Elaborar del Plan de compras relacionado con alimentos de la
SDIS el cual es equivalente al Plan Anual de Adquisiciones PAA</t>
  </si>
  <si>
    <t>Plan de compras relacionado con alimentos de la SDIS el cual es equivalente al Plan Anual de Adquisiciones PAA</t>
  </si>
  <si>
    <t>Avance porcentual en la elaboración del Plan de compras relacionado con alimentos de la SDIS el cual es equivalente al Plan Anual de Adquisiciones PAA</t>
  </si>
  <si>
    <t>Documento del Plan de compras relacionado con alimentos elaborado</t>
  </si>
  <si>
    <t>La Dirección de Nutrición y Abastecimiento cuenta con un Plan de Compras de Alimentos de la SDIS, que corresponde al Plan Anual de Adquisiciones PAA para cada vigencia. Según lo estipulado en el artículo 3 del Decreto 1510 de 2013, compilado en el Decreto 1082 de 2015, “Plan Anual de Adquisiciones es el plan general de compras al que se refiere el artículo 74 de la Ley 1474 de 2011 y el plan de compras al que se refiere la Ley Anual de Presupuesto.</t>
  </si>
  <si>
    <t>Se recomienda incluir la trazabilidad de firmas de quien elabora, revisa y aprueba. Adicionalmente, estas firmas deben gestionarse por una herramienta diferente a AZ Digital</t>
  </si>
  <si>
    <t>Cumplir con las metas del proyecto de inversión 7745</t>
  </si>
  <si>
    <t>SDIS el cual es equivalente al Plan Anual de Adquisiciones PAA</t>
  </si>
  <si>
    <t>18. Implementar los planes de acción de las políticas públicas del distrito</t>
  </si>
  <si>
    <t>7564 - Mejoramiento de la capacidad de respuesta institucional de las comisarías de familia en Bogotá
7752 - Contribución a la protección de los derechos de las familias especialmente de sus integrantes afectados por la violencia intrafamiliar en la ciudad de Bogotá
7756 - Compromiso social por la diversidad en Bogotá
7771 - Fortalecimiento de las oportunidades de  inclusión de las personas con discapacidad y sus familias, cuidadores-as en Bogotá</t>
  </si>
  <si>
    <t>Todas las metas relacionadas con los proyectos de inversión 7564, 7752, 7756 y 771</t>
  </si>
  <si>
    <t>Realizar el seguimiento a la implementación de las políticas públicas competencia de las Subdirecciones adscritas a la Dirección</t>
  </si>
  <si>
    <t>Informes de seguimiento a la implementación de las políticas públicas competencia de las Subdirecciones adscritas a la Dirección</t>
  </si>
  <si>
    <t>Número de informes de seguimiento elaborados</t>
  </si>
  <si>
    <t>Informe de seguimiento a la implementación de las políticas públicas competencia de las Subdirecciones adscritas a la Dirección</t>
  </si>
  <si>
    <t>Se consolida un informe de seguimiento a la implementación de las Politicas Publicas en donde se plasma la puesta de la Dirección evidenciando las acciones desarrolladas en el marco de  la articulación de las tres politicas publicas en sinergia con cada una de las subdirecciones.</t>
  </si>
  <si>
    <t>se remite Informe de seguimiento a la implementación de las políticas públicas competencia de las Subdirecciones adscritas a la Dirección</t>
  </si>
  <si>
    <t>Elaborar el informe de gestión del fortalecimiento de alta gobernanza y sus mecanismos articuladores para la implementación de las políticas públicas y servicios de las Subdirecciones adscritas a la Dirección</t>
  </si>
  <si>
    <t>Informes de gestión de fortalecimiento y articulación para la implementación de las políticas públicas y servicios de las Subdirecciones adscritas a la Dirección</t>
  </si>
  <si>
    <t>Número de informes de gestión elaborados</t>
  </si>
  <si>
    <t>Informes de gestión de fortalecimiento y articulación para la implementación de las políticas públicas y servicios de las Subdirecciones adscritas a la Dirección del primer semestre de 2022</t>
  </si>
  <si>
    <t>Se consolida un informe que evidencia la puesta de la Dirección a partir de la alta gobernanza que permite avanzar en acciones desentralizadas buscando el desarrollo de apuestas colectivas que territorialicen acciones que permitan la prevalencia de derechos de las familias en su diversidad , los sectores LGBTI y la población con Discapacidad.</t>
  </si>
  <si>
    <t>Informes de gestión de fortalecimiento y articulación para la implementación de las políticas públicas y servicios de las Subdirecciones adscritas a la Dirección del segundo semestre de 2022</t>
  </si>
  <si>
    <t>se remite Informes de gestión de fortalecimiento y articulación para la implementación de las políticas públicas y servicios de las Subdirecciones adscritas a la Dirección del segundo semestre de 2022</t>
  </si>
  <si>
    <t>Realizar el seguimiento contractual a los procesos a cargo de la Dirección para la Inclusión y las Familias</t>
  </si>
  <si>
    <t>Informes de seguimiento contractual a los procesos a cargo de la DIF</t>
  </si>
  <si>
    <t>Número de informes de seguimiento elaborado</t>
  </si>
  <si>
    <t>Informe de seguimiento correspondiente al primer semestre de 2022</t>
  </si>
  <si>
    <t>Se consolida un informe de seguimeitno contractual que evidencia el avance y la ejecución de los contratos celebrados por cada una de las subdirecciones que se encuentran adscritas a cargo de la DIF.</t>
  </si>
  <si>
    <t>Informe de seguimiento correspondiente al segundo semestre de 2022</t>
  </si>
  <si>
    <t>se remite Informe de seguimiento correspondiente al segundo semestre de 2022</t>
  </si>
  <si>
    <t>7744 - Generación de oportunidades para el desarrollo integral de la niñez y la adolescencia en Bogotá. 7770 - Compromiso con el envejecimiento activo y una Bogotá cuidadora e incluyente. 7771 - Fortalecimiento de las oportunidades de inclusión de las personas con discapacidad y sus familias, cuidadores/as en Bogotá. 7757 - Implementación de estrategias y servicios integrales para el abordaje del fenómeno de habitabilidad en calle en Bogotá D.C. 7564 - Mejoramiento de la capacidad de respuesta institucional de las comisarías de familia en Bogotá. 7740 - Generación "Jóvenes con derechos en Bogotá". 7752 - Contribución a la protección de los derechos de las familias especialmente de sus integrantes afectados por la violencia intrafamiliar en la ciudad de Bogotá. 7756 - Compromiso social por la diversidad en Bogotá. 7753 - Prevención de la maternidad y paternidad temprana en Bogotá.</t>
  </si>
  <si>
    <t>Todas las metas relacionadas con los proyectos 7744,7740,7564, 7770, 7756 y 7771</t>
  </si>
  <si>
    <t>Elaborar los informes de implementación y seguimiento de las políticas públicas poblacionales competencia de la SDIS</t>
  </si>
  <si>
    <t xml:space="preserve">
Un informe de implementación y seguimiento de cada política pública liderada por la SDIS de la vigencia anterior.</t>
  </si>
  <si>
    <t>Un informe de implementación y seguimiento de cada política pública liderada por la SDIS de la vigencia anterior.</t>
  </si>
  <si>
    <t>Informes de seguimiento de los planes de acción de las 6 políticas publicas lideradas por la SDIS</t>
  </si>
  <si>
    <t>Se realiza seguimiento a los planes de acción de las 6 Políticas Públicas, lideradas por la SDIS.</t>
  </si>
  <si>
    <t>Todas las metas relacionadas con los proyectos de inversión 7744, 7740, 7753, 7564, 7752,  7770, 7757, 7756, 7771</t>
  </si>
  <si>
    <t>Elaborar los informes de seguimiento a las acciones afirmativas en el marco de la implementación del artículo 66 del PDD por un nuevo contrato social y ambiental para la Bogotá del S.XXI</t>
  </si>
  <si>
    <t>Informes de seguimiento a PIAA de los grupos étnicos elaborados</t>
  </si>
  <si>
    <t>No. informes de seguimiento PIAA GE elaborados</t>
  </si>
  <si>
    <t>informes de seguimiento correspondientes al primer trimestre mes vencido</t>
  </si>
  <si>
    <t>Se hizo la consolidación del IV reporte trimestral de seguimiento 2021, de los planes de accion de la  Politica Publica de Mujeres y Equidad de Género y  al Plan de Accion de la Politica Publica de Actividades Sexuales Pagadas y la matriz unificada deporte de concertación del Plan de Igualdad de Oportunidades para la Equidad de Género y la Estrategia de Transversalización de Género del cuarto trimestre de 2021 . Iguamente se esta consolidando el I reporte de seguimiento a los planes de accion de las mismas politicas para la vigencia 2022.</t>
  </si>
  <si>
    <t>informe de seguimiento correspondiente al segundo trimestre mes vencido</t>
  </si>
  <si>
    <t xml:space="preserve"> Envío a la Subdirección de Asuntos Étnicos-SAE de la Secretaría Distrital de Gobierno de los reportes correspondientes al primer trimestre 2022.  El reporte correspondiente al segundo trimestre 2022 se encuentra en proceso de elaboración y consolidación. </t>
  </si>
  <si>
    <t>informe de seguimiento correspondiente al tercer trimestre mes vencido</t>
  </si>
  <si>
    <t xml:space="preserve">Se entregan los reportes de las acciones afirmativas para grupos étnicos correspondiente al segundo trimestre 2022. La Subdirección de Asuntos Étnicos de la Secretaría Distrital de Gobierno se encuentra en la actualidad trabajando en una metodología de subsanación de los mismos y una vez surtido este proceso solicitar los reportes correspondientes al tercer trimestre 2022. </t>
  </si>
  <si>
    <t>Se recomienda incluir la trazabilidad de firmas de quien elabora, revisa y aprueba el informe.</t>
  </si>
  <si>
    <t>informe de seguimiento correspondiente al cuarto  trimestre mes vencido.</t>
  </si>
  <si>
    <t xml:space="preserve">Envio a la Subdirección Asuntos  Etnicos SAE de la Secretaria Distrital de Gobierno de los reportes del plan integral de acciones afirmativas para grupos etnicos, correspondientes al III trimestre y el informe cualitativo, reporte trimestral vencido acumulado. El reporte correspondiente al IV trimestre y el informe cualitativo esta en proceso de elaboración y consolidación.
</t>
  </si>
  <si>
    <t>13. 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
16. Implementar una estrategia móvil de abordaje en calle dirigida a ciudadanos y ciudadanas habitantes de calle acorde al contexto social y sanitario de la emergencia.
17. Incrementar en 825 cupos la atención integral de ciudadanas y ciudadanos habitantes de calle en los servicios sociales que tiene la Secretaría Distrital de Integración Social dispuestos para su atención, que considere los impactos sociales y sanitarios de la emergencia.
73. Reducir la maternidad y paternidad temprana en mujeres menores o iguales a 19 años, así como la violencia sexual contra niñas y mujeres jóvenes, fortaleciendo capacidades de niñas, niños, adolescentes, jóvenes y sus familias sobre derechos sexuales y derechos reproductivos</t>
  </si>
  <si>
    <t>Para este producto no se asocian metas 2020 -2024 teniendo en cuenta que las subdirecciones técnicas de la Dirección Poblacional son quienes tienen a cargo las  políticas públicas y proyecto de inversión y la acción realizada a cargo de la Dirección Poblacional consiste en la elaboración de informes que den cuenta de la gestión</t>
  </si>
  <si>
    <t>Realizar el reporte de seguimiento a las acciones intrasectoriales para el seguimiento de las políticas públicas de Mujer y Equidad de Género, de Atención a Víctimas del Conflicto Armado Interno, de Actividades Sexuales Pagas y de Prevención y Atención del Consumo de Sustancias Psicoactivas.</t>
  </si>
  <si>
    <t>Reportes de seguimiento a políticas públicas diferenciales acompañadas por la SDIS elaborados</t>
  </si>
  <si>
    <t>No. reportes de seguimiento elaborados</t>
  </si>
  <si>
    <t>informes de seguimiento (uno por cada política Mujer y Equidad de Género, de Atención a Víctimas del Conflicto Armado Interno, de Actividades Sexuales Pagas.</t>
  </si>
  <si>
    <t>Se hizo la consolidación del IV reporte trimestral de seguimiento 2021, de los planes de accion de la  Politica Publica de Mujeres y Equidad de Género y  al Plan de Accion de la Politica Publica de Actividades Sexuales Pagadas y la matriz unificada deporte de concertación del Plan de Igualdad de Oportunidades para la Equidad de Género y la Estrategia de Transversalización de Género del cuarto trimestre de 2021 . Iguamente se esta consolidando el I reporte de seguimiento a los planes de accion de las mismas politicas para la vigencia 2022.
Así mismo, se entrega informe 1 de la política pública de victimas del conflicto armado y el excel del seguimiento PAD 2021, este informe corresponde a la vigencia anterior conforme los plazos de reporte por parte de la entidad rectora ( Alta consejería de Paz, Víctimas y Reconciliación.</t>
  </si>
  <si>
    <t>Se recomienda unificar el documento descrito en las evidencias, teniendo en cuenta la evidencia registrada en la programación.</t>
  </si>
  <si>
    <t xml:space="preserve">Reportes de seguimiento:  Uno por cada política Mujer y Equidad de Género, de Atención a Víctimas del Conflicto Armado Interno, de Actividades Sexuales Pagas y de Prevención   Atención del Consumo de Sustancias Psicoactivas. </t>
  </si>
  <si>
    <t xml:space="preserve">Se entrega el 2o informe de avance de la política de víctimas del conflicto armado, se acompaña del reporte PAD I trimestre 2022, dado que la entidad se encuentra preparando el informe de seguimiento del II trimestre. Se entrega en este 2do informe, el I reporte de seguimiento 2022 a las matrices planes de accion de la PPMYEG y la PPASP, en este momento esta en proceso de elaboración y consolidación del II reporte trimestral de las dos politicas. Adicionalmente, se entrega informe de la política de prevención y atención al consumo de sustancias psicoactivas. </t>
  </si>
  <si>
    <t>Reportes de seguimiento: Uno por cada política Mujer y Equidad de Género, de Atención a Víctimas del Conflicto Armado Interno, de Actividades Sexuales Pagas.</t>
  </si>
  <si>
    <t>Se entrega 3o INFORME PP ATENCIÓN VÍCTIMAS DEL CONFLICTO ARMADO. Se entrega en este tercer trimestre el II reporte de seguimiento 2022 a las matrices de los planes de accion de la PPMYEG y PPASP, asi tambein el I reporte de la matriz unificada de la ETG -PIOEG en este momento esta en proceso de elaboración del III reporte trimestral de las politicas.</t>
  </si>
  <si>
    <t>Se recomienda ajustar el número del informe de Atención a víctimas de conflicto ya que en el documento aparece "informe No. 2" y en la descripción cualitativa se relaciona como 3er informe.</t>
  </si>
  <si>
    <t>Reportes de seguimiento: Un por cada política Mujer y Equidad de Género, de Atención a Víctimas del Conflicto Armado Interno, de Actividades Sexuales Pagas y de Prevención y Prevención y Atención del Consumo de Sustancias Psicoactivas.</t>
  </si>
  <si>
    <t>Se entrega la matriz de seguimiento PAD Ene 01 - Sep. 30 2022 y el 4o informe de PP de Atención a Víctimas del Conflicto Armado. El seguimiento se realiza trimestre vencido acumulado, por lo tanto el reporte del 4o Trimestre 2022 se encuentra en elaboración.  Se hace entrega del informe de seguimiento de la implementación del Plan de Acción de la Política Publica de Prevención y Atención del Consumo de Sustancias Psicoactivas-SDIS, correspondiente al segundo semestre (julio a diciembre) vigencia 2022.
Se hace entrega del informe de seguimiento del cuarto trimestre de la vigencia 2022 de la Política Publica de Actividades Sexuales Pagadas, el cual busca contribuir a la transformación de las condiciones políticas, culturales, sociales y económicas que restringen el goce efectivo de derechos de las personas que realizan actividades sexuales pagadas en el Distrito Capital.
Envio a lla SDMujer del reporte de III trimestre del plan de accion de la Politica Pública de Mujeres y Equidad de Género PPMYEG trimestre vencido acumulado, se informa que el  reporte de seguimiento del IV trimestre se encuentra en proceso de elaboración y consolidación.</t>
  </si>
  <si>
    <t xml:space="preserve">todas las metas relacionadas con los proyectos de inversión de la Dirección Poblacional .  </t>
  </si>
  <si>
    <t>Elaborar el informe de seguimiento a la implementación del Sistema Distrital de Cuidado en los servicios sociales en las áreas adscritas a la Dirección Poblacional</t>
  </si>
  <si>
    <t>informes de seguimiento a la implementación de los servicios sociales y el Sistema Distrital de Cuidado</t>
  </si>
  <si>
    <t>No. informes de seguimiento elaborados</t>
  </si>
  <si>
    <t>Informe trimestral de seguimiento que da cuenta de la implementación de los servicios sociales y el Sistema Distrital de Cuidado</t>
  </si>
  <si>
    <t>Se realiza entrega del informe trimestral de seguimiento que da cuenta de la implementación de los servicios sociales y el sistema distrital de cuidado</t>
  </si>
  <si>
    <t>Se hace entrega del Informe Técnico del Diseño e Implementación Metodológico de los diálogos entre pares diferenciales con enfoque poblacional, diferencial y de género en el marco del Sistema de Cuidado, liderado por la Dirección Poblacional, con corte a diciembre de 2022.</t>
  </si>
  <si>
    <t xml:space="preserve">Articular los espacios de la Mesa Técnica Gestión Integral Social en el marco de las apuestas institucionales y el PDD para la transformación de los servicios sociales </t>
  </si>
  <si>
    <t xml:space="preserve">Porcentaje de actas elaboradas en la mesa técnica gestión integral social elaboradas </t>
  </si>
  <si>
    <t>(No. Actas por sesión elaboradas /No. sesiones programadas para el periodo)*100</t>
  </si>
  <si>
    <t xml:space="preserve">Actas elaboradas de acuerdo con las sesiones realizadas </t>
  </si>
  <si>
    <t xml:space="preserve">En el trimestre se realizaron 4 pre mesas técnicas; el 24 de enero, 22 febrero, 4  y 17 de marzo. </t>
  </si>
  <si>
    <t>En el trimestre se realizaron 3 mesas Gis; el 5 de mayo y 14 y 17 de junio.</t>
  </si>
  <si>
    <t xml:space="preserve">Se realizan 7 sesiones de mesa GIS en el trimestre y se cargan las actas correspondientes </t>
  </si>
  <si>
    <t>Se recomienda verificar las actas que corresponden al trimestre ya que se incluyeron 3 actas del mes de junio y 5 actas del: 06,13,21 y 27 de julio y 23 de agosto.</t>
  </si>
  <si>
    <t xml:space="preserve">Se adjuntan 4 actas que corresponden a las realizadas en el último trimestre de la Mesa Técnica Operativa para la Gestión Integral Social - GIS -. Sin embargo, es importante precisar que las actas 12 y 13 están en proceso de comentarios de parte de los integrantes por lo que aún no está oficializada. </t>
  </si>
  <si>
    <t>Realizar los informes de seguimiento contractual a los procesos a cargo de la Dirección Poblacional</t>
  </si>
  <si>
    <t>Informes de seguimiento contractual a los procesos a cargo de la Dirección Poblacional   elaborados</t>
  </si>
  <si>
    <t>informe de seguimiento correspondiente al primer semestre de 2022</t>
  </si>
  <si>
    <t>Se entrega informe de seguimiento primer trimestre de seguimiento contractual</t>
  </si>
  <si>
    <t>informe de seguimiento correspondiente al segundo semestre de 2022</t>
  </si>
  <si>
    <t>Se hace entrega del Informe de Seguimiento contractual a los procesos a cargo de la Dirección Poblacional, correspondiente al segundo semestre julio a diciembre de la vigencia 2022.</t>
  </si>
  <si>
    <t xml:space="preserve">02. Formular un plan de trabajo de cada una de las entidades que componen el sector integración social que contenga las acciones dirigidas a fortalecer las necesidades identificadas en los diagnósticos. 3. Cumplir el 100% de las actividades programadas en los planes de trabajo definidos. 1. Un diagnóstico sobre las capacidades físicas, tecnológicas, administrativas y operativas para cada una de las entidades que componen el sector de integración social.  </t>
  </si>
  <si>
    <t>Gestión del sistema integrado - SIG</t>
  </si>
  <si>
    <t>Elaborar el Informe de actividades de implementación  del sistema de gestión en el marco del proceso Prestación de Servicios Sociales para la Inclusión Social</t>
  </si>
  <si>
    <t>Informes implementación del sistema de gestión elaborados</t>
  </si>
  <si>
    <t>N° de informes de implementación del sistema de gestión elaborados</t>
  </si>
  <si>
    <t xml:space="preserve">
Informe de implementación del sistema de gestión</t>
  </si>
  <si>
    <t>Se realiza informe avances más relevantes de la implementación del Sistema de 
Gestión del proceso Prestación de Servicios Sociales para la Inclusión Social, del primer trimester de la vigencia 2022, donde se muestran avances en los ítems de riesgos de gestión y corrupción, indicadores, control de documentos y otros.</t>
  </si>
  <si>
    <t>Se realiza informe avances más relevantes de la implementación del Sistema de Gestión del Proceso Prestación de Servicios Sociales para la Inclusión Social del segundo trimestre de la vigencia 2022, donde se muestran avances en los ítems de riesgos de gestión y corrupción, indicadores, control de documentos y otros.</t>
  </si>
  <si>
    <t xml:space="preserve">Se realiza informe de avances más relevantes de la implementación del Sistema de Gestión del Proceso Prestación de Servicios Sociales para la Inclusión Social del tercer trimestre de la vigencia 2022, donde se muestran avances en los ítems de riesgos de gestión y corrupción, indicadores, control de documentos, entre otros. </t>
  </si>
  <si>
    <t>Se realiza informe de avances más relevantes de la implementación del Sistema de Gestión del Proceso de Prestación de Servicios Sociales para la Inclusión Social correspondiente al cuarto trimestre de la vigencia 2022, donde se muestran avances en los ítems de riesgos de gestión/interrupción, corrupción, indicadores, control de documentos y otros.</t>
  </si>
  <si>
    <t>Elaborar los informes del Diseño e implementación de los contenidos desarrollados en la escuela territorial  de formación en enfoque territorial para servidores y contratistas de la SDIS</t>
  </si>
  <si>
    <t>Informes del diseño y la implementación de los contenidos desarrollados en la escuela territorial.</t>
  </si>
  <si>
    <t>No. de informes del diseño y la implementación de los contenidos desarrollados en  escuela territorial elaborados</t>
  </si>
  <si>
    <t>Informe semestral del diseño y la implementación de los contenidos desarrollados en  escuela territorial</t>
  </si>
  <si>
    <t xml:space="preserve">Durante el primer semestre se desarrollaron cuatro (4) sesiones sincrónicas y asincrónicas de Nuestra Escuela Territorial, dentro de los temas socializados se presentó la línea Técnica de la Estrategia Territorial Integral Social - ETIS 2022: eje estructural lectura de realidades y respuestas transectoriales e integradoras. La Dirección para la Inclusión y las Familias.  Atención a la población migrante, retornados y refugiados en Bogotá. Avances en la implementación del Sistema Distrital de Cuidado. 
El promedio de asistentes fue de 596 servidores/as, contratistas y colaboradores de la entidad, lo que evidencia el impacto que tiene el proceso en la entidad.   </t>
  </si>
  <si>
    <t>Se realiza informe semestral (segundo semestre 2022) de lo diseñado e implementado con respecto a los contenidos desarrollados en la escuela territorial, donde la escuela brindo al talento humano orientaciones, estratégicas, técnicas y operativas en lo referente al abordaje territorial, se socializó los avances, retos y mecanismos de implementación de nuestras políticas públicas sociales.
Más de 2.000 servidoras, servidores y colaboradores participaron en las nueve (9) sesiones, el 90% de los asistentes hacen parte de las Subdirecciones Locales, 300 personas completaron el 70% del proceso y se certificaron, lo que evidencia el impacto que tiene la escuela como mecanismo para fortalecer la gestión de conocimiento y la mejora continua.</t>
  </si>
  <si>
    <t xml:space="preserve">Elaborar los informes de acompañamiento a las subdirecciones locales </t>
  </si>
  <si>
    <t>Informes de acompañamiento a las subdirecciones locales</t>
  </si>
  <si>
    <t>No. De informes de acompañamiento a las SLIS elaborados</t>
  </si>
  <si>
    <t>Informe de acompañamiento a las SLIS</t>
  </si>
  <si>
    <t>Se realiza informe de acompañamiento a las localidades en el marco de la prestación de servicios sociales, realizando cuatro encuentros con los referentes locales de planeación, se efectuaron cuatro visitas a localidades y una serie de reuniones con DADE y las subdirecciones técnicas para adelantar sinergias con el fin de promover la mejora continua en la prestación de servicios sociales. También, se realiza un ejercicio de revisión y ajuste al instructivo de planeación operativa el cual se modificará y tendrá como nombre instructivo de seguimiento y autocontrol, INS-071 a la prestación de servicios sociale, con sus dos formatos asociados FOR-PSS-439 Y FOR-PSS-440.</t>
  </si>
  <si>
    <t>Se realiza informe de seguimiento semestral (segundo semestre 2022) del acompañamiento a la SLIS, cuyo objetivo es orientar el seguimiento y el autocontrol de la prestación de los servicios sociales, modalidades y estrategias de la Secretaría Distrital de Integración Social, con el fin de promover la mejora continua en la prestación de los servicios sociales y la toma de decisiones por parte de la administración.</t>
  </si>
  <si>
    <t xml:space="preserve">Realizar los informes ejecutivos de actividades realizadas por el area juridica de la Dirección Territorial relacionado con las activiades a desarrollar. </t>
  </si>
  <si>
    <t xml:space="preserve">Informes ejecutivos de actividades elaborados </t>
  </si>
  <si>
    <t>No. de informes de reporte de actividades realizadas por el área jurídicas elaborados/No. de informes de reporte de actividades realizadas por el área jurídicas programados</t>
  </si>
  <si>
    <t>Informe de actividades realizadas por el area juridica.</t>
  </si>
  <si>
    <t>Se realiza informe ejecutivo del primer trimestre de la vigencia 2022, que da cuenta a las actividades realizadas desde el área jurídica de la Dirección Territorial</t>
  </si>
  <si>
    <t>Se recomienda ajustar el nombre del informe de acuerdo con el nombre de la evidencia programada e incluir la trazabilidad de firmas de elaboró, revisó y aprobóe recomienda ajustar el nombre del informe e incluir la trazabilidad de firmas de elaboró, revisó y aprobó</t>
  </si>
  <si>
    <t>Se realiza informe ejecutivo del segundo trimestre de la vigencia 2022, que da cuenta a las actividades realizadas desde el área jurídica de la Dirección Territorial.</t>
  </si>
  <si>
    <t>Se realiza informe ejecutivo del tercer trimestre de la vigencia 2022, que da cuenta a las actividades realizadas desde el área jurídica de la Dirección Territorial.</t>
  </si>
  <si>
    <t>Se realiza informe ejecutivo del cuarto trimestre de la vigencia 2022, que da cuenta a las actividades realizadas desde el área jurídica de la Dirección Territorial</t>
  </si>
  <si>
    <t>Realizar el informe Ejecutivo de actividades realizadas por el área financiera de la Dirección Territorial</t>
  </si>
  <si>
    <t>No. de informes de reporte de actividades realizadas por el área financiera elaborados</t>
  </si>
  <si>
    <t>Informe de actividades realizadas por el areá financiera.</t>
  </si>
  <si>
    <t>Se realiza informe ejecutivo del primer trimestre de la vigencia 2022, que da cuenta a las actividades realizadas desde el área financiera de la Dirección Territorial</t>
  </si>
  <si>
    <t xml:space="preserve">Informe de actividades realizadas por el areá fiannciera. </t>
  </si>
  <si>
    <t xml:space="preserve">Se realiza informe ejecutivo del segundo trimestre de la vigencia 2022, que da cuenta a las actividades realizadas desde el área financiera de la Dirección Territorial. </t>
  </si>
  <si>
    <t>Se realiza informe ejecutivo del tercer trimestre de la vigencia 2022, que da cuenta a las actividades realizadas desde el área financiera de la Dirección Territorial.</t>
  </si>
  <si>
    <t>Se realiza informe ejecutivo del cuarto trimestre de la vigencia 2022, que da cuenta a las actividades realizadas desde el área financiera de la Dirección Territorial.</t>
  </si>
  <si>
    <t>Cumplir con las metas del proyecto de inversión 7735</t>
  </si>
  <si>
    <t>Cumplir con las metas del proyecto de inversión 7730</t>
  </si>
  <si>
    <t>Cumplir con las metas del proyecto de inversión 7749</t>
  </si>
  <si>
    <t>Cumplir con las metas del proyecto de inversión 7768</t>
  </si>
  <si>
    <t>Realizar el reporte de la gestión de divulgación de la información institucional de la entidad en el marco de la Política de Comunicaciones</t>
  </si>
  <si>
    <t>Documento con reporte de avance de las actividades de divulgación de la información definidas para la vigencia en le marco de la política de comunicaciones</t>
  </si>
  <si>
    <t>Número de documentos con reporte de la gestión de las actividades de divulgación de la información realizadas en el marco de la política de comunicaciones</t>
  </si>
  <si>
    <t>Un reporte de avance de la realización de las actividades de divulgación de la información definidas para la vigencia en le marco de la política de comunicaciones correspondientes al primer trimestre</t>
  </si>
  <si>
    <t xml:space="preserve">Se elaborá  el reporte de avances y actividades realizadas durante el primer trimestre de  en el marco de la Politica de Comunicaciones. </t>
  </si>
  <si>
    <t>Un reporte de avance de la realización de las actividades de divulgación de la información definidas para la vigencia en le marco de la política de comunicaciones correspondiente al segundo  trimestre</t>
  </si>
  <si>
    <t xml:space="preserve">Se elaborá  el reporte de avances acumulativos  sobre las  actividades realizadas por la oficina   en el marco de la Politica de Comunicaciones. </t>
  </si>
  <si>
    <t>Un reporte de avance de la realización de las actividades de divulgación de la información definidas para la vigencia en le marco de la política de comunicaciones correspondiente al tercer  trimestre</t>
  </si>
  <si>
    <t xml:space="preserve">Se elaborá  informe de avances acumulativos sobre las  actividades realizadas por la oficina en el marco de la Politica de Comunicaciones. </t>
  </si>
  <si>
    <t>Un reporte de gestión de la realización de las actividades de divulgación de la información definidas para la vigencia en le marco de la política de comunicaciones correspondiente al cuarto trimestre</t>
  </si>
  <si>
    <t xml:space="preserve">Se aporta el informe de avances acumulados  durante la vigencia 2022  sobre las  actividades estratégicas  realizadas por la oficina Asesora de Comunicaciones. </t>
  </si>
  <si>
    <t>Elaborar el Plan de Comunicaciones elaborado e implementado para la vigencia</t>
  </si>
  <si>
    <t>Porcentaje de cumplimiento del Plan de Comunicaciones</t>
  </si>
  <si>
    <t>(Número de actividades programadas en el plan para el trimestre / Número de actividades cumplidas de acuerdo con lo programado) *100</t>
  </si>
  <si>
    <t>Plan de Comunicaciones elaborado
Seguimiento trimestral al cumplimiento del Plan de Comunicaciones</t>
  </si>
  <si>
    <t>Se formuló el Plan de Comunicaciones 2022 con base en los objetivos, líneas de acción e indicadores contenidos en la Política Institucional de Comunicaciones aprobada en 2021</t>
  </si>
  <si>
    <t>Seguimiento trimestral al cumplimiento del Plan de Comunicaciones</t>
  </si>
  <si>
    <t>Se realizá seguimiento al Plan de Comunicaciones 2022 con base en los objetivos, líneas de acción e indicadores contenidos en la Política Institucional de Comunicaciones durante  el segundo trimestre</t>
  </si>
  <si>
    <t>Se validó el cumplimiento de la acción de acuerdo con el indicador formulado, no se generan más observaciones</t>
  </si>
  <si>
    <t xml:space="preserve">Se realiza el seguimiento al Plan de Comunicaciones 2022 con base en los objetivos, periodicidad, líneas de acción, e indicadores contenidos en la política institucional de comunicaciones tercer trimestre. </t>
  </si>
  <si>
    <t>Se realizá seguimiento al Plan de Comunicaciones 2022 con base en los objetivos, líneas de acción e indicadores contenidos en la Política Institucional de Comunicaciones durante  el cuarto trimestre</t>
  </si>
  <si>
    <t>Meta cumplida al 98%</t>
  </si>
  <si>
    <t>Rezago en cumplimiento del Plan de Comunicaciones del II trimestre</t>
  </si>
  <si>
    <t>Dar respuesta y/o traslado a las denuncias recibidas, dentro de los terminos establecidos en el marco del procedimiento del deber de denuncia</t>
  </si>
  <si>
    <t>Porcentaje de respuestas y/o traslados a las denuncias recibidas, dentro de los terminos establecidos en el marco del procedimiento del deber de denuncia</t>
  </si>
  <si>
    <t>(No de respuesta y/o traslados de denuncias/ No de denuncias recibidas en la Oficina Asesora Jurídica)*100</t>
  </si>
  <si>
    <t>Respuesta y/o traslado de las denuncias en el periodo</t>
  </si>
  <si>
    <t>Para el periodo objeto de reporte se recibieron 152 denuncias y fueron respondidas 161, de las cuales la mayoría corresponde a situaciones presentadas en Jardines Infantiles, Centros Crecer y Centros Amar</t>
  </si>
  <si>
    <t>Se recomienda determinar el porcentaje de cumplimiento de la actividad teniendo en cuenta que el indicador (No de respuesta y/o traslados de denuncias/ No de denuncias recibidas en la Oficina Asesora Jurídica)*100</t>
  </si>
  <si>
    <t>Para el periodo objeto de reporte se recibieron 314 denuncias y fueron respondidas 238, de las cuales la mayoría corresponde a situaciones presentadas en Jardines Infantiles, Centros Crecer y Centros Amar. Así las cosas, se debe tener en cuenta que: i) las 238 denuncias atendidas
dentro del periodo objeto de reporte, fueron contestadas dentro de dicho término; y
ii) los 76 trámites pendientes por resolver ingresaron en las dos últimas semanas del
mes de junio de 2022, por lo que estos serán atendidos en término dentro del mes de
julio de 2022, por ende se da el cumplimiento del 100% en el trimestre</t>
  </si>
  <si>
    <t>Se validó el cumplimiento de la acción de acuerdo con el indicador formulado. 21/07/2021 validado con el área</t>
  </si>
  <si>
    <t>Para el periodo objeto de reporte se recibieron 340 denuncias y fueron respondidas 325,  de las
cuales la mayoría corresponde a situaciones presentadas en las Unidades Operativas de los Jardines Infantiles, Centros Crecer y Centros Amar. 
Así las cosas, se debe tener en cuenta que: i) de las 340 denuncias, unas eran seguimientos que se habían reportado en meses o periodos anteriores y el caso aún sigue abierto y las otras, fueron activaciones de ruta que ingresaron dentro del mismo trimestre, la cuales, fueron contestadas dentro de un término razonable y oportuno, y ii) los 15 trámites pendientes por resolver ingresaron en las dos últimas semanas del mes de septiembre de 2022, por lo que serán atendidos dentro del siguiente periodo, dando cumplimiento del 100% en el trimestre.</t>
  </si>
  <si>
    <t xml:space="preserve">En este cuarto trimestre objeto de reporte, la Oficina Jurídica desde el Procedimiento Deber de Denuncia, se reportaron 326 casos y/o denuncias por parte de las unidades operativas o subdirectores locales, dentro de las cuales, fueron tramitadas 339 a través de memorandos de seguimiento.
Así las cosas, se debe tener en cuenta que: i) de las 326 denuncias y/o casos reportados, 36 llegaron entre el 22 y 30 de diciembre del año 2022, las cuales quedaron pendientes por resolver teniendo en cuenta que las Unidades Operativas se encontraban cerradas, por lo que serán atendidos dentro del mes de enero del año en curso. 
Ahora bien, ii) de las 339 respuestas tramitadas, 290 corresponden a seguimientos de este este trimestre y las 49 sobrantes, corresponden a casos de meses anteriores que venían de rezago. Con esta información cuantitativa, la Oficina Jurídica evidencia el cumplimiento del 100% en el trimestre. 
</t>
  </si>
  <si>
    <t>Elaborar las certificaciones de las conciliaciones judiciales y extrajudiciales</t>
  </si>
  <si>
    <t>Porcentaje de certificaciones de conciliaciones judiciales y extrajudiciales presentadas ante el Comité de Conciliación</t>
  </si>
  <si>
    <t>(No. de certificaciones de conciliación judicial y extrajudicial/ No. de casos de estudio de conciliaciones judiciales y extrajudiciales)*100</t>
  </si>
  <si>
    <t>Certificiones de conciliación judicial y extrajudicial en el periodo</t>
  </si>
  <si>
    <t>En el primer trimestre del 2022, la Oficina Asesora Jurídica elaboro 27 certificaciones de conciliación. 8 Certificaciones de Conciliación Extrajudicial y 19 Certificaciones de Conciliación Judicial</t>
  </si>
  <si>
    <t>Se recomienda ajustar el nombre de la evidencia teniendo en cuenta el nombre de la evidencia programada.</t>
  </si>
  <si>
    <t xml:space="preserve">En el segundo trimestre del 2022, la Oficina Asesora Jurídica elaboro 46 certificaciones de conciliación.
La anterior cifra corresponde a:
- Certificaciones de Conciliación Extrajudicial: 10 Certificaciones
- Certificaciones de Conciliación Judicial: 36 Certificaciones
</t>
  </si>
  <si>
    <t xml:space="preserve">En el tercer trimestre del 2022, la Oficina Asesora Jurídica elaboro 39 certificaciones de conciliación.
La anterior cifra corresponde a:
- Certificaciones de Conciliación Extrajudicial: 20 Certificaciones
- Certificaciones de Conciliación Judicial: 19 Certificaciones
</t>
  </si>
  <si>
    <t xml:space="preserve">En el cuarto trimestre del 2022, la Oficina Jurídica elaboro 45 certificaciones de conciliación.
La anterior cifra corresponde a:
- Certificaciones de Conciliación Extrajudicial: 15 Certificaciones
- Certificaciones de Conciliación Judicial: 30 Certificaciones
</t>
  </si>
  <si>
    <t xml:space="preserve">Dar respuesta de las acciones tutela recibidas en la Oficina Asesora Jurídica, dentro de los terminos establecidos </t>
  </si>
  <si>
    <t>Porcentaje de respuestas a las tutelas recibidas en la Oficina Asesora Jurídica</t>
  </si>
  <si>
    <t>(No de tutelas contestadas / No de tutelas recibidas en las cuales la Oficina Asesora Jurídica sea accionada o vinculada)*100</t>
  </si>
  <si>
    <t>Respuesta a las tutelas contestadas en el periodo</t>
  </si>
  <si>
    <t>Durante el primer trimestre del presente año en curso, la Oficina Asesora Jurídica dio contestación a doscientas treinta (230) acciones de tutela que fueron las notificadas en el correo de notificacionesjudiciales@sdis.gov.co (Se contestaron las tutelas recibidas)</t>
  </si>
  <si>
    <t>En el segundo trimestre del año en curso, la Oficina Asesora Jurídica dio contestación a doscientas veintiún (221) acciones de tutela que fueron las notificadas en el correo notificacionesjudicialessdis.gov.co (Se contestaron las tutelas recibidas).</t>
  </si>
  <si>
    <t>En el tercer trimestre del año en curso, la Oficina Asesora Jurídica dio contestación a doscientas cuarenta y uno (241) acciones de tutela que fueron las notificadas en el correo notificacionesjudicialessdis.gov.co (Se contestaron las tutelas recibidas).</t>
  </si>
  <si>
    <t>Durante el cuarto trimestre del presente año en curso, la Oficina Jurídica dio contestación a las ciento setenta y seis (176) acciones de tutela, que fueron notificadas al correo notificacionesjudicialessdis.gov.co (Se conestaron las tutelas recibidas)</t>
  </si>
  <si>
    <t>Mejora normativa 
Defensa Jurídica</t>
  </si>
  <si>
    <t>Cumplir con las metas del Plan de Ajuste y Sostenibilidad MIPG: Políticas Mejora Normativa y Defensa Jurídica</t>
  </si>
  <si>
    <t>Nivel porcentual de cumplimiento de las metas del Plan de Ajuste y Sostenibilidad MIPG Políticas: Mejora Normativa y Defensa Jurídica</t>
  </si>
  <si>
    <t>(No. Metas cumplidas de acuerdo con lo programado en el trimestre / No. metas programadas en el trimestre) *100</t>
  </si>
  <si>
    <t>Evidencias del Plan de Ajuste MIPG del Trimestre</t>
  </si>
  <si>
    <t>El plan de ajuste y sostenibilidad MIPG reporta el siguiente cumplimiento: Defensa Jurídica 100%, Mejora normativa 100%</t>
  </si>
  <si>
    <t xml:space="preserve">Elaborar el informe de Procesos Disciplinarios gestionados en la dependencia
</t>
  </si>
  <si>
    <t>Informe de procesos disciplinarios gestionados por la dependencia elaborados</t>
  </si>
  <si>
    <t>Número de informes de procesos disciplinarios elaborados</t>
  </si>
  <si>
    <t>Informe de gestión datos tomados de la base de datos general de la OAD, donde refleja el estado, instruccion y cantidad de procesos vigentes en la Dependencia</t>
  </si>
  <si>
    <t xml:space="preserve">Se entrega informe correspondiente a los procesos gestionados en el primer trimestre de la presente vigencia de los </t>
  </si>
  <si>
    <t>Se recomienda ajustar la fecha del informe</t>
  </si>
  <si>
    <t>Se entrega informe de Gestión correspondiente al segundo trimestre vigencia 2022, de los procesos gestionados por la Oficina de Asuntos Disciplinarios.</t>
  </si>
  <si>
    <t>Se entrega informe de Gestión correspondiente al tercer trimestre vigencia 2022, de los procesos gestionados por la Oficina de Asuntos Disciplinarios.</t>
  </si>
  <si>
    <t>Se entrega informe de Gestión correspondiente al cuarto trimestre vigencia 2022, de los procesos gestionados por la Oficina de Control Disciplinario Interno.</t>
  </si>
  <si>
    <t>Realizar jornadas de sensibilización dirigidas a servidores públicos para la prevención de faltas disciplinarias</t>
  </si>
  <si>
    <t>Número de jornadas de sensibilización para prevención de faltas disciplinarias</t>
  </si>
  <si>
    <t>Se toma el número de jornadas de sensibilización para prevención de faltas disciplinarias realizadas, que corresponde tres en cada trimestre para el cumplimiento del producto en la vigencia</t>
  </si>
  <si>
    <t>Actas de reunión y/o listados de asistencia de las jornadas de sensibilización, en el período a reportar.</t>
  </si>
  <si>
    <t xml:space="preserve">Se realizaron dentro del primer trimestre 5 jornadas de sensibilizacion sobre el Régimen Disciplinario </t>
  </si>
  <si>
    <t>Se evidencia un cumplimiento en la acción/actividad superior al 100%, por lo cual se recomienda que, si se identifica en el primer mes del trimestre que se realizarán más actividades de las programadas, solicitar el ajuste de la programación para reportar al 100% el cumplimiento del trimestre.</t>
  </si>
  <si>
    <t>Se realizaron dentro del segundo trimestre 3 jornadas de sensiblización sobre Régimen Disciplinario correspondiente a la presente meta.</t>
  </si>
  <si>
    <t>Se realizaron dentro del tercer trimestre las 3 jornadas de sensibilización sobre Régimen Disciplinario correspondiente a la presente meta.</t>
  </si>
  <si>
    <t>Se recomienda registrar la trazabilidad de las firmas de quien elabora, revisa y aprueba en las actas. Se verifica con el área y no se generan observaciones adicionales</t>
  </si>
  <si>
    <t>Se realizaron dentro del cuarto trimestre las 3 jornadas de sensibilización sobre Régimen Disciplinario correspondiente a la presente meta, adicionalmente se adjuntaron los soportes de asistencia en el drive compartido.</t>
  </si>
  <si>
    <t>Ejecutar el Plan Anual de Auditoría aprobado</t>
  </si>
  <si>
    <t>Porcentaje de cumplimiento del Plan Anual de Auditoría.</t>
  </si>
  <si>
    <t>(N° de actividades ejecutadas/ N° de actividades programadas para la vigencia)*100</t>
  </si>
  <si>
    <t>Registro de ejecución del total de las actividades programadas para el trimestre con soportes.</t>
  </si>
  <si>
    <t>Se realizaron 96 actividades establecidas en el Plan Anual de Auditoría, cumpliendo al 100% lo programado para el trimestre.</t>
  </si>
  <si>
    <t>Se realizaron 150 actividades establecidas en el Plan Anual de Auditoría, cumpliendo al 100% lo programado para el trimestre.</t>
  </si>
  <si>
    <t>Se realizaron 136 actividades establecidas en el Plan Anual de Auditoría, cumpliendo al 100% lo programado para el trimestre.</t>
  </si>
  <si>
    <t xml:space="preserve"> Se realizaron 125 actividades establecidas en el Plan Anual de Auditorías, cumpliendo al 100% lo programado para el trimestre. </t>
  </si>
  <si>
    <t>Elaborar el informe de actividades de implementación  del sistema de gestión en la dependencia Slis Barrios Unidos - Teusaquillo</t>
  </si>
  <si>
    <t>Informes de implementación del sistema de gestión elaborados Barrios Unidos - Teusaquillo</t>
  </si>
  <si>
    <t>Informe semestral de implementación del sistema de gestión</t>
  </si>
  <si>
    <t>Se realiza informe avances más relevantes de la implementación del Sistema de la SLIS Barrios Unidos-Teusaquillo del primer semestre de la vigencia 2022, donde se muestran avances en los ítems de riesgos de gestión y corrupción, indicadores, control de documentos y otros.</t>
  </si>
  <si>
    <t>Se realiza informe de los avances más relevantes de la implementación del Sistema de Gestión de la SLIS Barrios Unidos Teusaquillo del segundo semestre de la vigencia 2022, donde se muestran avances en los ítems de riesgos de gestión y corrupcción, control de documentos y otros.</t>
  </si>
  <si>
    <t>Elaborar el informe de implementación de la ETIS en la Subdirección Local Barrios Unidos - Teusaquillo</t>
  </si>
  <si>
    <t>Informes de implementación de la ETIS elaborados  Barrios Unidos - Teusaquillo</t>
  </si>
  <si>
    <t>N° de informes de implementación de la ETIS elaborados</t>
  </si>
  <si>
    <t>Informe semestral de implementación del modelo ETIS</t>
  </si>
  <si>
    <t>Se realiza informe de implementación de la ETIS en la Subdirección Local Barrios Unidos - Teusaquillo, correspondiente al primer semestre de 2022.</t>
  </si>
  <si>
    <t>Se realiza informe de implementación de la ETIS en la Subdirección Local Barrios Unidos - Teusaquillo, correspondiente al segundo semestre de la vigencia 2022.</t>
  </si>
  <si>
    <t>Elaborar el informe de actividades de implementación  del sistema de gestión en la dependencia Slis Bosa</t>
  </si>
  <si>
    <t>Informes de implementación del sistema de gestión elaborados Bosa</t>
  </si>
  <si>
    <t>Se realiza informe avances más relevantes de la implementación del Sistema de la SLIS Bosa del primer semestre de la vigencia 2022, donde se muestran avances en los ítems de riesgos de gestión y corrupción, indicadores, control de documentos y otros.</t>
  </si>
  <si>
    <t>Se realiza informe de los avances más relevantes de la implementación del Sistema de Gestión de la SLIS Bosa del segundo semestre de la vigencia 2022, donde se muestran avances en los ítems de riesgos de gestión y corrupcción, control de documentos y otros.</t>
  </si>
  <si>
    <t>Elaborar el informe de implementación de la ETIS en la Subdirección Local Bosa</t>
  </si>
  <si>
    <t>Informes de implementación de la ETIS elaborados  Bosa</t>
  </si>
  <si>
    <t>Se realiza informe de implementación de la ETIS en la Subdirección Local Bosa, correspondiente al primer semestre de 2022.</t>
  </si>
  <si>
    <t>Se realiza informe de implementación de la ETIS en la Subdirección Local Bosa, correspondiente al segundo semestre de la vigencia 2022.</t>
  </si>
  <si>
    <t>Elaborar el informe de actividades de implementación  del sistema de gestión en la dependencia Slis Chapinero</t>
  </si>
  <si>
    <t>Informes de implementación del sistema de gestión elaborados Chapinero</t>
  </si>
  <si>
    <t> Se realiza informe avances más relevantes de la implementación del Sistema de la SLIS Chapinero del primer semestre de la vigencia 2022, donde se muestran avances en los ítems de riesgos de gestión y corrupción, indicadores, control de documentos y otros.</t>
  </si>
  <si>
    <t>Se realiza informe de los avances más relevantes de la implementación del Sistema de Gestión de la SLIS Chapinero del segundo semestre de la vigencia 2022, donde se muestran avances en los ítems de riesgos de gestión y corrupcción, control de documentos y otros.</t>
  </si>
  <si>
    <t>Elaborar el informe de implementación de la ETIS en la Subdirección Local Chapinero</t>
  </si>
  <si>
    <t>Informes de implementación de la ETIS elaborados Chapinero</t>
  </si>
  <si>
    <t> Se realiza informe de implementación de la ETIS en la Subdirección Local de Chapinero, correspondiente al primer semestre de 2022.</t>
  </si>
  <si>
    <t>Se realiza informe de implementación de la ETIS en la Subdirección Local Chapinero, correspondiente al segundo semestre de la vigencia 2022.</t>
  </si>
  <si>
    <t>Elaborar el informe de actividades de implementación  del sistema de gestión en la dependencia Slis Ciudad Bolívar</t>
  </si>
  <si>
    <t xml:space="preserve">Informes de implementación del sistema de gestión elaborados  Ciudad Bolívar </t>
  </si>
  <si>
    <t> Se realiza informe avances más relevantes de la implementación del Sistema de la SLIS Ciudad Bolívar del primer semestre de la vigencia 2022, donde se muestran avances en los ítems de riesgos de gestión y corrupción, indicadores, control de documentos y otros.</t>
  </si>
  <si>
    <t>Se realiza informe de los avances más relevantes de la implementación del Sistema de Gestión de la SLIS Ciudad Bolívar del segundo semestre de la vigencia 2022, donde se muestran avances en los ítems de riesgos de gestión y corrupcción, control de documentos y otros.</t>
  </si>
  <si>
    <t>Elaborar el informe de implementación de la ETIS en la Subdirección Local Ciudad Bolívar</t>
  </si>
  <si>
    <t>Informes de implementación de la ETIS elaborados  Ciudad Bolívar</t>
  </si>
  <si>
    <t> Se realiza informe de implementación de la ETIS en la Subdirección Local Ciudad Bolívar, correspondiente al primer semestre de 2022.</t>
  </si>
  <si>
    <t>Se realiza informe de implementación de la ETIS en la Subdirección Local Ciudad Bolívar, correspondiente al segundo semestre de la vigencia 2022.</t>
  </si>
  <si>
    <t>Elaborar el informe de actividades de implementación  del sistema de gestión en la dependencia Slis Engativá</t>
  </si>
  <si>
    <t>Informes de implementación del sistema de gestión elaborados  Engativá</t>
  </si>
  <si>
    <t> Se realiza informe avances más relevantes de la implementación del Sistema de la SLIS Engativá del primer semestre de la vigencia 2022, donde se muestran avances en los ítems de riesgos de gestión y corrupción, indicadores, control de documentos y otros.</t>
  </si>
  <si>
    <t>Se realiza informe de los avances más relevantes de la implementación del Sistema de Gestión de la SLIS Engativá del segundo semestre de la vigencia 2022, donde se muestran avances en los ítems de riesgos de gestión y corrupcción, control de documentos y otros.</t>
  </si>
  <si>
    <t>Elaborar el informe de implementación de la ETIS en la Subdirección Local Engativá</t>
  </si>
  <si>
    <t>Informes de implementación de la ETIS elaborados  Engativá</t>
  </si>
  <si>
    <t> Se realiza informe de implementación de la ETIS en la Subdirección de Engativá, correspondiente al primer semestre de 2022.</t>
  </si>
  <si>
    <t>Se realiza informe de implementación de la ETIS en la Subdirección Local Engativá, correspondiente al segundo semestre de la vigencia 2022.</t>
  </si>
  <si>
    <t>Elaborar el informe de actividades de implementación  del sistema de gestión en la dependencia Slis Fontibón</t>
  </si>
  <si>
    <t>Informes de implementación del sistema de gestión elaborados Fontibón</t>
  </si>
  <si>
    <t> Se realiza informe avances más relevantes de la implementación del Sistema de la SLIS Fontibón del primer semestre de la vigencia 2022, donde se muestran avances en los ítems de riesgos de gestión y corrupción, indicadores, control de documentos y otros.</t>
  </si>
  <si>
    <t>Se realiza informe de los avances más relevantes de la implementación del Sistema de Gestión de la SLIS Fontibón del segundo semestre de la vigencia 2022, donde se muestran avances en los ítems de riesgos de gestión y corrupcción, control de documentos y otros.</t>
  </si>
  <si>
    <t>Elaborar el informe de implementación de la ETIS en la Subdirección Local Fontibón</t>
  </si>
  <si>
    <t>Informes de implementación de la ETIS elaborados  Fontibón</t>
  </si>
  <si>
    <t> Se realiza informe de implementación de la ETIS en la Subdirección Local de Fontibón, correspondiente al primer semestre de 2022.</t>
  </si>
  <si>
    <t>Se realiza informe de implementación de la ETIS en la Subdirección Local Fontibón, correspondiente al segundo semestre de la vigencia 2022.</t>
  </si>
  <si>
    <t>Elaborar el informe de actividades de implementación  del sistema de gestión en la dependencia Slis Kennedy</t>
  </si>
  <si>
    <t>Informes de implementación del sistema de gestión elaborados Kennedy</t>
  </si>
  <si>
    <t> Se realiza informe avances más relevantes de la implementación del Sistema de la SLIS Kennedy del primer semestre de la vigencia 2022, donde se muestran avances en los ítems de riesgos de gestión y corrupción, indicadores, control de documentos y otros.</t>
  </si>
  <si>
    <t>Se realiza informe de los avances más relevantes de la implementación del Sistema de Gestión de la SLIS Kennedy del segundo semestre de la vigencia 2022, donde se muestran avances en los ítems de riesgos de gestión y corrupcción, control de documentos y otros.</t>
  </si>
  <si>
    <t>Elaborar el informe de implementación de la ETIS en la Subdirección Local Kennedy</t>
  </si>
  <si>
    <t>Informes de implementación de la ETIS elaborados Kennedy</t>
  </si>
  <si>
    <t> Se realiza informe de implementación de la ETIS en la Subdirección Local de Kennedy, correspondiente al primer semestre de 2022.</t>
  </si>
  <si>
    <t>Se realiza informe de implementación de la ETIS en la Subdirección Local Kennedy, correspondiente al segundo semestre de la vigencia 2022.</t>
  </si>
  <si>
    <t>Elaborar el informe de actividades de implementación  del sistema de gestión en la dependencia Slis Mártires</t>
  </si>
  <si>
    <t>Informes de implementación del sistema de gestión elaborados Mártires</t>
  </si>
  <si>
    <t> Se realiza informe avances más relevantes de la implementación del Sistema de la SLIS Los Mártires del primer semestre de la vigencia 2022, donde se muestran avances en los ítems de riesgos de gestión y corrupción, indicadores, control de documentos y otros.</t>
  </si>
  <si>
    <t>Se realiza informe de los avances más relevantes de la implementación del Sistema de Gestión de la SLIS Los Mártires del segundo semestre de la vigencia 2022, donde se muestran avances en los ítems de riesgos de gestión y corrupcción, control de documentos y otros.</t>
  </si>
  <si>
    <t>Elaborar el informe de implementación de la ETIS en la Subdirección Local Los Mártires</t>
  </si>
  <si>
    <t>Informes de implementación de la ETIS elaborados Mártires</t>
  </si>
  <si>
    <t> Se realiza informe de implementación de la ETIS en la Subdirección Local de Los Mártires, correspondiente al primer semestre de 2022.</t>
  </si>
  <si>
    <t>Se realiza informe de implementación de la ETIS en la Subdirección Local Los Mártires, correspondiente al segundo semestre de la vigencia 2022.</t>
  </si>
  <si>
    <t>Elaborar el informe de actividades de implementación  del sistema de gestión en la dependencia Slis Puente Aranda - Antonio Nariño</t>
  </si>
  <si>
    <t xml:space="preserve">Informes de implementación del sistema de gestión elaborados Puente Aranda - Antonio Nariño </t>
  </si>
  <si>
    <t> Se realiza informe avances más relevantes de la implementación del Sistema de la SLIS Puente Aranda - Antonio Nariño del primer semestre de la vigencia 2022, donde se muestran avances en los ítems de riesgos de gestión y corrupción, indicadores, control de documentos y otros.</t>
  </si>
  <si>
    <t>Se realiza informe de los avances más relevantes de la implementación del Sistema de Gestión de la SLIS Puente Aranda - Antonio Nariño del segundo semestre de la vigencia 2022, donde se muestran avances en los ítems de riesgos de gestión y corrupcción, control de documentos y otros.</t>
  </si>
  <si>
    <t>Elaborar el informe de implementación de la ETIS en la Subdirección Local Puente Aranda - Antonio Nariño</t>
  </si>
  <si>
    <t xml:space="preserve">Informes de implementación de la ETIS elaborados Puente Aranda - Antonio Nariño </t>
  </si>
  <si>
    <t> Se realiza informe de implementación de la ETIS en la Subdirección Local de Puente Aranda - Antonio Nariño, correspondiente al primer semestre de 2022.</t>
  </si>
  <si>
    <t>Se realiza informe de implementación de la ETIS en la Subdirección Local Puente Aranda - Antonio Nariño, correspondiente al segundo semestre de la vigencia 2022.</t>
  </si>
  <si>
    <t>Elaborar el informe de actividades de implementación  del sistema de gestión en la dependencia Slis Rafael Uribe Uribe</t>
  </si>
  <si>
    <t>Informes de implementación del sistema de gestión elaborados  Rafael Uribe Uribe</t>
  </si>
  <si>
    <t> Se realiza informe avances más relevantes de la implementación del Sistema de la SLIS Rafael Uribe Uribe del primer semestre de la vigencia 2022, donde se muestran avances en los ítems de riesgos de gestión y corrupción, indicadores, control de documentos y otros.</t>
  </si>
  <si>
    <t>Se realiza informe de los avances más relevantes de la implementación del Sistema de Gestión de la SLIS Rafael Uribe Uribe del segundo semestre de la vigencia 2022, donde se muestran avances en los ítems de riesgos de gestión y corrupcción, control de documentos y otros.</t>
  </si>
  <si>
    <t>Elaborar el informe de implementación de la ETIS en la Subdirección Local Rafael Uribe Uribe</t>
  </si>
  <si>
    <t>Informes de implementación de la ETIS elaborados Rafael Uribe Uribe</t>
  </si>
  <si>
    <t> Se realiza informe de implementación de la ETIS en la Subdirección Local de Rafael Uribe Uribe, correspondiente al primer semestre de 2022.</t>
  </si>
  <si>
    <t>Se realiza informe de implementación de la ETIS en la Subdirección Local Rafael Uribe Uribe, correspondiente al segundo semestre de la vigencia 2022.</t>
  </si>
  <si>
    <t>Elaborar el informe de actividades de implementación  del sistema de gestión en la dependencia Slis San Cristobal</t>
  </si>
  <si>
    <t>Informes de implementación del sistema de gestión elaborados  San Cristóbal</t>
  </si>
  <si>
    <t> Se realiza informe avances más relevantes de la implementación del Sistema de la SLIS San Cristóbal del primer semestre de la vigencia 2022, donde se muestran avances en los ítems de riesgos de gestión y corrupción, indicadores, control de documentos y otros.</t>
  </si>
  <si>
    <t>Se realiza informe de los avances más relevantes de la implementación del Sistema de Gestión de la SLIS San Cristóbal del segundo semestre de la vigencia 2022, donde se muestran avances en los ítems de riesgos de gestión y corrupcción, control de documentos y otros.</t>
  </si>
  <si>
    <t>Elaborar el informe de implementación de la ETIS en la Subdirección Local San Cristobal</t>
  </si>
  <si>
    <t>Informes de implementación de la ETIS elaborados San Cristóbal</t>
  </si>
  <si>
    <t> Se realiza informe de implementación de la ETIS en la Subdirección Local de San Cristobal, correspondiente al primer semestre de 2022.</t>
  </si>
  <si>
    <t>Se realiza informe de implementación de la ETIS en la Subdirección Local San Cristóbal, correspondiente al segundo semestre de la vigencia 2022.</t>
  </si>
  <si>
    <t>Elaborar el informe de actividades de implementación  del sistema de gestión en la dependencia Slis Santa Fe</t>
  </si>
  <si>
    <t>Informes de implementación del sistema de gestión elaborados Santa Fe Candelaria</t>
  </si>
  <si>
    <t>Se realiza informe avances más relevantes de la implementación del Sistema de la SLIS Santa Fe - Candelaria del primer semestre de la vigencia 2022, donde se muestran avances en los ítems de riesgos de gestión y corrupción, indicadores, control de documentos y otros.</t>
  </si>
  <si>
    <t>Se realiza informe de los avances más relevantes de la implementación del Sistema de Gestión de la SLIS Santa Fe - Candelaria del segundo semestre de la vigencia 2022, donde se muestran avances en los ítems de riesgos de gestión y corrupcción, control de documentos y otros.</t>
  </si>
  <si>
    <t>Elaborar el informe de implementación de la ETIS en la Subdirección Local Santa Fe - Candelaria</t>
  </si>
  <si>
    <t>Informes de implementación de la ETIS elaborados Santafé  - La Candelaria</t>
  </si>
  <si>
    <t> Se realiza informe de implementación de la ETIS en la Subdirección Local de Santa Fe -Candelaria, correspondiente al primer semestre de 2022.</t>
  </si>
  <si>
    <t>Se realiza informe de implementación de la ETIS en la Subdirección Local Santa Fe Candelaria, correspondiente al segundo semestre de la vigencia 2022.</t>
  </si>
  <si>
    <t>Elaborar el informe de actividades de implementación  del sistema de gestión en la dependencia Slis Suba</t>
  </si>
  <si>
    <t>Informes de implementación del sistema de gestión elaborados  Suba</t>
  </si>
  <si>
    <t> Se realiza informe avances más relevantes de la implementación del Sistema de la SLIS Suba del primer semestre de la vigencia 2022, donde se muestran avances en los ítems de riesgos de gestión y corrupción, indicadores, control de documentos y otros.</t>
  </si>
  <si>
    <t>Se realiza informe de los avances más relevantes de la implementación del Sistema de Gestión de la SLIS Suba del segundo semestre de la vigencia 2022, donde se muestran avances en los ítems de riesgos de gestión y corrupcción, control de documentos y otros.</t>
  </si>
  <si>
    <t>Elaborar el informe de implementación de la ETIS en la Subdirección Local Suba</t>
  </si>
  <si>
    <t>Informes de implementación de la ETIS elaborados Suba</t>
  </si>
  <si>
    <t> Se realiza informe de implementación de la ETIS en la Subdirección Local de Suba, correspondiente al primer semestre de 2022.</t>
  </si>
  <si>
    <t>Se realiza informe de implementación de la ETIS en la Subdirección Local Suba, correspondiente al segundo semestre de la vigencia 2022.</t>
  </si>
  <si>
    <t>Elaborar el informe de actividades de implementación  del sistema de gestión en la dependencia Slis Tunjuelito</t>
  </si>
  <si>
    <t>Informes de implementación del sistema de gestión elaborados Tunjuelito</t>
  </si>
  <si>
    <t>Se realiza informe avances más relevantes de la implementación del Sistema de la SLIS Tunjuelito del primer semestre de la vigencia 2022, donde se muestran avances en los ítems de riesgos de gestión y corrupción, indicadores, control de documentos y otros.</t>
  </si>
  <si>
    <t>Se realiza informe de los avances más relevantes de la implementación del Sistema de Gestión de la SLIS Tunjuelito del segundo semestre de la vigencia 2022, donde se muestran avances en los ítems de riesgos de gestión y corrupcción, control de documentos y otros.</t>
  </si>
  <si>
    <t>Elaborar el informe de implementación de la ETIS en la Subdirección Local Tunjuelito</t>
  </si>
  <si>
    <t>Informes de implementación de la ETIS elaborados Tunjuelito</t>
  </si>
  <si>
    <t>Se realiza informe de implementación de la ETIS en la Subdirección Local de Tunjuelito, correspondiente al primer semestre de 2022.</t>
  </si>
  <si>
    <t>Se realiza informe de implementación de la ETIS en la Subdirección Local Tunjuelito, correspondiente al segundo semestre de la vigencia 2022.</t>
  </si>
  <si>
    <t>Elaborar el informe de actividades de implementación  del sistema de gestión en la dependencia Slis Usaquén</t>
  </si>
  <si>
    <t>Informes de implementación del sistema de gestión elaborados  Usaquen</t>
  </si>
  <si>
    <t> Se realiza informe avances más relevantes de la implementación del Sistema de la SLIS Usaquén del primer semestre de la vigencia 2022, donde se muestran avances en los ítems de riesgos de gestión y corrupción, indicadores, control de documentos y otros.</t>
  </si>
  <si>
    <t>Se realiza informe de los avances más relevantes de la implementación del Sistema de Gestión de la SLIS Usaquén del segundo semestre de la vigencia 2022, donde se muestran avances en los ítems de riesgos de gestión y corrupcción, control de documentos y otros.</t>
  </si>
  <si>
    <t>Elaborar el informe de implementación de la ETIS en la Subdirección Local Usaquén</t>
  </si>
  <si>
    <t>Informes de implementación de la ETIS elaborados Usaquén</t>
  </si>
  <si>
    <t> Se realiza informe de implementación de la ETIS en la Subdirección Local de Usaquén, correspondiente al primer semestre de 2022.</t>
  </si>
  <si>
    <t>Se realiza informe de implementación de la ETIS en la Subdirección Local Usaquén, correspondiente al segundo semestre de la vigencia 2022.</t>
  </si>
  <si>
    <t>Elaborar el informe de actividades de implementación  del sistema de gestión en la dependencia Slis Usme-Sumapaz</t>
  </si>
  <si>
    <t>Informes de implementación del sistema de gestión elaborados Usme - Sumapaz</t>
  </si>
  <si>
    <t> Se realiza informe avances más relevantes de la implementación del Sistema de la SLIS Usme -Sumapaz del primer semestre de la vigencia 2022, donde se muestran avances en los ítems de riesgos de gestión y corrupción, indicadores, control de documentos y otros.</t>
  </si>
  <si>
    <t>Se realiza informe de los avances más relevantes de la implementación del Sistema de Gestión de la SLIS Usme Sumapaz del segundo semestre de la vigencia 2022, donde se muestran avances en los ítems de riesgos de gestión y corrupcción, control de documentos y otros.</t>
  </si>
  <si>
    <t>Elaborar el informe de implementación de la ETIS en la Subdirección Local Usme - Sumapaz</t>
  </si>
  <si>
    <t>Informes de implementación de la ETIS elaborados Usme - Sumapaz</t>
  </si>
  <si>
    <t> Se realiza informe de implementación de la ETIS en la Subdirección Local de Usme - Sumapaz, correspondiente al primer semestre de 2022.</t>
  </si>
  <si>
    <t>Se realiza informe de implementación de la ETIS en la Subdirección Local Usme Sumapaz, correspondiente al segundo semestre de la vigencia 2022.</t>
  </si>
  <si>
    <t xml:space="preserve">Elaborar el informe de avance de implementación de las actividades establecidas en el mapa de ruta del Plan Institucional de Archivos </t>
  </si>
  <si>
    <t>Cumplimiento en la elaboración del informe de avance de los objetivos del PINAR</t>
  </si>
  <si>
    <t>Informe de avance de las actividades implementadas del Plan Institucional de Archivos</t>
  </si>
  <si>
    <t>Se anexa como avance el informe del primer trimestre</t>
  </si>
  <si>
    <t>Informe parcial de avance de los objetivos del PINAR</t>
  </si>
  <si>
    <t xml:space="preserve">Se anexa como avance el informe del segundo trimestre en el cual se reportan los avances para los objetivos específico que tuvieron avances en el periódo así:
Objetivo 1: Se realizaron sesiones para coordinar la realización de soluciones, implementaciones e integraciones en AZDigital para los procesos de gestión documental de la Entidad. 
Objetivo 2: se realizaron los ajustes a los instrumentos archivísticos de las fechas extremas, volumetría documental y análisis de series y subseries conforme al Decreto Distrital 149 de 2012, de acuerdo con el concepto técnico recibido el 28 de enero de 2022 por parte del Archivo de Bogotá. Luego de realizar los respectivos ajustes, el día 26 de abril de 2022 se radica la tabla de retención documental con sus anexos, del periodo 2012 a 2014 en las instalaciones del Archivo de Bogotá con número de radicado 1-2022-13055 y número de salida S2022044904.
Objetivo 3: a identificación topográfica con descripción de contenido de las unidades de conservación como parte de la estrategia para el levantamiento del inventario documental, en total se realizaron 46.796 registros durante dicho periodo.
Objetivo 4: Se realizó la creación de 3 documentos 2 procedimientos y un instructivo los cuales se socializaron en las mesas operativas realizadas con los referentes documentales.
Objetivo 6: fueron identificados fondos acumulados Fondo Rotatorio del departamento de Administrativo de Bienestar Social FONDABS y Secretaría Distrital de Integración Social SDIS. fue radicada la historia institucional de cada uno de los fondos y sus anexos (línea de tiempo, periodización, organigramas, normograma y cuadro evolutivo) para su revisión por parte del Archivo Distrital de Bogotá.
Objetivo 9: Implementación del Programa Monitoreo y Control de Condiciones Ambientales y adquisición Equipos Semiindustriales para medición y monitoreo de condiciones medio ambientales para la conservación de archivos de la SDIS, Configuración e instalación en el Archivo Central y de las Subdirecciones Locales, con corte a 30 de junio de 2022 de las 16 Subdirecciones locales, se tiene en trámite de asignación 10 equipos. Con la información recolectada, se encuentra en elaboración el cronograma de visitas para socialización, aprobación e inicio de visitas de instalación. 
Objetivo 10: sobre el seguimiento a la organización de los archivos de gestión, se han realizado 16 seguimientos a la organización documental en el nivel central.
Objetivo 11: Durante el segundo trimestre del 2022 se realizó la legalización de 528 metros lineales correspondientes a 6 transferencias documentales primarias.
Objetivo 12: Se continuó con la elaboración de la matriz para la versión preliminar de la Tabla de Valoración Documental para el fondo acumulado de la Secretaría Distrital de Integración Social periodo 2006-2012.
Objetivo 13: En el Segundo Trimestre de la vigencia 2022 no se celebraron contratos con proveedores, de los insumos que se adquieren como unidades de conservación (Carpetas, Ganchos y Cajas X200), o obstante, se cuenta con presupuesto para la adquisición de los Insumos de Archivo y se trabajó en los documentos para el proceso contractual para suplir las necesidades de los Archivos de la Entidad así:
- Carpetas y Ganchos: $300.000.000
- Cajas X200: $120.000.000 
Objetivo 14:  se continuó en la consolidación y diligenciamiento del instrumento Registro Especial de Archivos de Derechos Humanos - READH. </t>
  </si>
  <si>
    <t>Se recomienda incluir la trazabilidad de firmas de quien elabora, revisa y aprueba. Adicionalmente, estas firmas deben gestionarse por una herramienta diferente a AZ Digital. 18/07/2022 se ajusta por parte del área por lo cual no se generan más observaciones.</t>
  </si>
  <si>
    <t>Se avanzó en la elaboración del informe anual del Plan Institucional de Archivos - PINAR logrando visibilizar las actividades desarrolladas por el equipo del SIGA para cada uno de los objetivos establecidos en el instrumento archivístico.</t>
  </si>
  <si>
    <t>Informe final de avance de los objetivos del PINAR</t>
  </si>
  <si>
    <t>Se presenta informe final de avance de la implementación de los objetivos del PINAR.</t>
  </si>
  <si>
    <t>Subsanado por el área. Se recomienda la trazabilidad de firmas de quien elabora, revisa y aprueba.</t>
  </si>
  <si>
    <t>7749 - Fortalecimiento de la gestión institucional y desarrollo integral del talento humano en Bogotá</t>
  </si>
  <si>
    <t>Elaborar el informe de avance de los programas del Plan de Conservación Documental</t>
  </si>
  <si>
    <t>Cumplimiento en la elaboración de los informes de avance de las actividades implementadas de los programas de conservación documental</t>
  </si>
  <si>
    <t>Informe de avance de las actividades implementadas de los programas de conservación documental</t>
  </si>
  <si>
    <t xml:space="preserve">Se anexa como avance el informe del segundo trimestre donde se reporta la Implementación del Programa Monitoreo y Control de Condiciones Ambientales y adquisición Equipos Semindustriales para medición y monitoreo de condiciones medio ambientales para la conservación de archivos de la SDIS, Configuración e instalación en el Archivo Central y de las Subdirecciones Locales, con corte a 30 de junio de 2022 de las 16 Subdirecciones locales, se tiene en trámite de asignación 10 equipos. Con la información recolectada, se encuentra en elaboración el cronograma de visitas para socialización, aprobación e inicio de visitas de instalación. </t>
  </si>
  <si>
    <t>Se presenta el informe de avance de la implementación del programa de monitoreo y control de condiciones medio ambientales el cual está establecido en el Sistema Integrado de Conservación - SIC.</t>
  </si>
  <si>
    <t>Se presenta informe final de avance de la implementación de los programas del plan de conservación documental de conformidad con lo formulado en el Sistema Integrado de Conservación de la Entidad.</t>
  </si>
  <si>
    <t>Realizar el seguimiento y gestión de requerimientos derivados de las alertas tempranas recibidas en los servicios logísticos</t>
  </si>
  <si>
    <t>Diligenciamiento de los formatos de seguimiento y gestión en los servicios logísticos con la información obtenida de la atención oportuna de requerimientos recibidos de las unidades operativas y administrativas de la SDIS.</t>
  </si>
  <si>
    <t xml:space="preserve">(Número de formatos de seguimientos y gestión diligenciados en el periodo / visitas de seguimientos programados para el periodo)*100
</t>
  </si>
  <si>
    <t>Actas de seguimiento y gestión de las alertas tempranas recibidas en los servicios logísticos</t>
  </si>
  <si>
    <t>Durante e periodo el proceso de gestión logística programó 52 seguimientos, los cuales fueron gestionados en su totalidad</t>
  </si>
  <si>
    <t xml:space="preserve">Se recomienda determinar el porcentaje de cumplimiento de la actividad teniendo en cuenta que el indicador (Número de actas de seguimientos y gestión realizadas en el periodo /  visitas de seguimientos programadas para el periodo)*100
25/04/2022 Ajustado por el área </t>
  </si>
  <si>
    <t>Formatos de seguimiento y gestión diligenciados en el periodo</t>
  </si>
  <si>
    <t>Durante e periodo el proceso de gestión logística programó 76 seguimientos, los cuales fueron gestionados en su totalidad. Como evidencia se adjuntan formatos de seguimiento</t>
  </si>
  <si>
    <t>Durante el III trimestre de la vigencia 2022,  se recibieron requerimientos por parte de las diferentes unidades operativas y subdirecciones locales con referencia a los servicios de vigilancia, transporte, servicios generales y manipulación de alimentos, los cuales fueron gestionados en un 100% de forma eficiente en el transcurso del periodo.</t>
  </si>
  <si>
    <t>Durante el IV trimestre de la vigencia 2022,  se recibieron requerimientos por parte de las diferentes unidades operativas y subdirecciones locales con referencia a los servicios de vigilancia, transporte, servicios generales, fotocopiado, papelería y manipulación de alimentos, los cuales fueron gestionados en un 100% de forma eficiente en el transcurso del periodo.</t>
  </si>
  <si>
    <t>Realizar el seguimiento a la gestión de  implementación de la herramienta informatica para la atención de requerimientos en los servicios logísticos</t>
  </si>
  <si>
    <t>Cumplimiento en la elaboración de los informes de gestión de implementación de la herramienta Aranda web para la atención de requerimientos en los servicios logísticos</t>
  </si>
  <si>
    <t>Informes de gestión de implementación de la herramienta Aranda web para la atención de requerimientos en los servicios logísticos</t>
  </si>
  <si>
    <t>Informe de gestión de la herramienta Aranda web para la atención de requerimientos en los servicios logísticos</t>
  </si>
  <si>
    <t>El Proceso de gestión logística junto a la Subdirección de Investigación e Información adelantaron las gestiones necesarias para dar inicio a la implementación de la herramienta aranda web, para la atención de requerimietos en los servicios de transporte y vigilancia, implementación que se encuentra en curso. Como evidencia se anexa informe de gestión de la implementación de la herramienta</t>
  </si>
  <si>
    <t>El Proceso de gestión logística junto a la Subdirección de Investigación e Información adelantaron las gestiones necesarias para dar inicio a la implementación de la herramienta aranda web, para la atención de requerimietos en los servicios de transporte y vigilancia. Como conclusión se determinó no continuar con la implementación de la herramienta y se espera actualizar el PAII en el mes de julio con las herramientas escogidas para dar continuidad a esta actividad Como evidencia se anexa informe de gestión de la implementación de la herramienta</t>
  </si>
  <si>
    <t>Durante el III trimestre de la vigencia 2022,  se registró la información de los avances de la atención de los requerimientos realizados por las unidades operativas.
NOTA: Si bien el Plan de acción institucional presento un ajuste en el nombre de la actividad, no se modificó el nombre del indicador ni las evidencias, por lo cual se va a solicitar el ajuste pertinente en el siguiente reporte.</t>
  </si>
  <si>
    <t>Se recomienda incluir la trazabilidad de las firmas de quien elabora, revisa y aprueba</t>
  </si>
  <si>
    <t>Durante el IV trimestre de la vigencia 2022,  se registró la información de los avances de la atención de los requerimientos realizados por las unidades operativas.
NOTA: Si bien el Plan de acción institucional presento un ajuste en el nombre de la actividad, no se modificó el nombre del indicador ni las evidencias, por lo cual se va a solicitar el ajuste pertinente en la siguiente vigencia.</t>
  </si>
  <si>
    <t xml:space="preserve">Realizar pruebas representativas de inventarios realizadas </t>
  </si>
  <si>
    <t>Cumplimiento actas de seguimiento de las pruebas representativas de inventarios realizadas</t>
  </si>
  <si>
    <t>(Actas de seguimiento pruebas representativas realizadas / Actas de seguimiento de pruebas representativas programadas en el periodo) * 100</t>
  </si>
  <si>
    <t>Actas de pruebas representativas realizadas</t>
  </si>
  <si>
    <t>Durante el periodo fueron realizadas por parte de los funcionarios y contratistas de la SDIS las pruebas representativas correspondiente a lo establecido en la normatividad vigente, obteniendo como resultado un total de 11.175 bienes plenamente identificados. Como evidencia se anexan 4 actas con las pruebas representativas discriminadas por dependencia coherente con 4 actas programadas para la vigencia</t>
  </si>
  <si>
    <t>Durante el periodo fueron realizadas por parte de los funcionarios y contratistas de la SDIS las pruebas representativas correspondiente a lo establecido en la normatividad vigente, obteniendo como resultado un total de 4418 bienes plenamente identificados. Como evidencia se anexan 4 actas con las pruebas representativas discriminadas por dependencia coherente con 4 actas programadas para la vigencia</t>
  </si>
  <si>
    <t>Durante el III trimestre de la vigencia 2022, el grupo de almacén e inventarios consolidó y remitió  entrega pruebas representativas, cumpliendo con el 100%.</t>
  </si>
  <si>
    <t>Se recomienda describir cuantas sesiones se realizaron y adicionalmente tramitar la firma de todas las actas ya que se encuentran algunas sin firmas. Adicionalmente, es necesario tener en cuenta que la evidencia quedó registrada como actas de pruebas representativas realizadas, por lo cual se sugiere incluir las actas únicamente, ya que se encuentran cargados unos formatos de pruebas.</t>
  </si>
  <si>
    <t>Durante el IV trimestre de la vigencia 2022, el grupo de almacén e inventarios consolidó y remitió  entrega pruebas representativas, cumpliendo con el 100%.</t>
  </si>
  <si>
    <t>Cumplir con las metas del Plan de Ajuste y Sostenibilidad MIPG para las Políticas Gestión Documental y Gestión Presupuestal</t>
  </si>
  <si>
    <t>Nivel porcentual de cumplimiento de las metas del Plan de Ajuste y Sostenibilidad MIPG Políticas: Gestión Documental y Gestión Presupuestal</t>
  </si>
  <si>
    <t>El plan de ajuste y sostenibilidad MIPG reporta un cumplimiento del 100% para la política de gestión presupuestal</t>
  </si>
  <si>
    <t>El plan de ajuste y sostenibilidad MIPG reporta el siguiente cumplimiento: Gestión documental 100%, Gestión presupuestal 100%</t>
  </si>
  <si>
    <t>El plan de ajuste y sostenibilidad MIPG reporta el siguiente cumplimiento: Gestión presupuestal 100%</t>
  </si>
  <si>
    <t>Elaborar el Informe trimestral de implementación y seguimiento del Plan de abastecimiento alimentario nutricional</t>
  </si>
  <si>
    <t>Informe trimestral de implementación y seguimiento al Plan de Nutrición y Abastecimiento de la SDIS</t>
  </si>
  <si>
    <t>(Número de informes de implementación y seguimiento al Plan de Nutrición y abastecimiento de la SDIS elaborados / Número de informes programados) *100</t>
  </si>
  <si>
    <t>Se diseñó el Plan Operativo para la vigencia 2022, para la Implementación y evaluación periódica del Plan Institucional de Nutrición y Abastecimiento – PINA, en conjunto con la Dirección de Nutrición y Abastecimiento y la Subdirección de Nutrición, planteando 14 actividades o acciones que contaron con el respectivo seguimiento a corte de junio 30 de 2022.</t>
  </si>
  <si>
    <t>Teniendo en cuenta que el Plan Institucional de Nutrición y Abastecimiento PINA, es un documento que no ha surtido todo el trámite para su oficialización en la Entidad, incluida la aprobación del Comité de Gestión Institucional, no se considera procedente reportar el avance en su implementación. Adicionalmente, en auditoría interna 2022, se recibió observación por parte de la OCI frente al manejo de documentos no controlados, argumentando que "el uso indebido de los documentos controlados, podría conducir a potenciales procesos de índole administrativo y desviaciones a lo reglamentado por el Sistema de Gestión de la entidad.". Por lo anterior, se reporta en cero el avance para el tercer trimestre 2022 y se solicita que se elimine este producto del PAII 2022 para el reporte del IV trimestre.</t>
  </si>
  <si>
    <t>Se recomienda gestionar la solicitud de modificación en la programación del IV trimestre del Plan de Acción de acuerdo con lo establecido en el procedimiento antes del 31 de octubre de 2022, posterior a esta fecha no se podrán realizar modificaciones al PAII.</t>
  </si>
  <si>
    <t>Elaborar el informe trimestral de seguimiento al Plan de Compras equivalente al Plan Anual de Adquisiciones PAA de la SDIS.</t>
  </si>
  <si>
    <t>Informe trimestral de implementación y seguimiento al Plan de Compras equivalente al Plan Anual de Adquisiciones PAA de la SDIS.</t>
  </si>
  <si>
    <t>(Número de informes de implementación y seguimiento al plan de Compras equivalente al Plan Anual de Adquisiciones PAA de la SDIS. / Número de informes programados )*100</t>
  </si>
  <si>
    <t>Se presenta informe trimestral de implementación del Plan de compras relacionado con alimentos o Plan Anual de Adquisiciones, con el respectivo seguimiento a corte de septiembre 30 de 2022.</t>
  </si>
  <si>
    <t>Se encuentra pendiente cargar la evidencia en la carpeta compartida</t>
  </si>
  <si>
    <t>Se elaboró el informe trimestral de implementación del plan de compras, equivalente al Plan Anual de Adquisiciones para las operaciones de suministro de apoyos alimentarios en la Secretaría Distrital de Integración Social, con el respectivo seguimiento del último trimestre de la vigencia 2022</t>
  </si>
  <si>
    <t>Subsanado por el área. Se recomienda la trazabilidad de firmas de quien elabora, revisa y aprueba</t>
  </si>
  <si>
    <t>11. Ajustar los servicios sociales para reducir la pobreza femenina, focalizar y prestar los servicios sociales en los territorios que contribuyan a la reducción de la feminización de la pobreza.</t>
  </si>
  <si>
    <t>Publicar el Plan Anual de Adquisiciones 2022 en el Servicio Electrónico de Contratación Pública-SECOP</t>
  </si>
  <si>
    <t xml:space="preserve">Plan Anual de Adquisiciones </t>
  </si>
  <si>
    <t>N° de publicaciones del plan anual de Adquisiciones  aprobados  para la vigencia 2022 publicado en el SECOP</t>
  </si>
  <si>
    <t>Publicación del Plan Anual de Adquisiciones en el SECOP</t>
  </si>
  <si>
    <t xml:space="preserve">La Subdirección de Contratación para el primer trimestre de la vigencia 2022 y de acuerdo con las diferentes solicitudes de las áreas técnicas ha realizado 08 modificaciones al Plan Anual de Adquisiciones en la plataforma transaccional SECOP II.  </t>
  </si>
  <si>
    <t>Cumplir con las metas del Plan de Ajuste y Sostenibilidad MIPG para la Política Compras y Contratación</t>
  </si>
  <si>
    <t>Nivel porcentual de cumplimiento de las metas del Plan de Ajuste y Sostenibilidad MIPG Políticas: Compras y Contratación</t>
  </si>
  <si>
    <t>El plan de ajuste y sostenibilidad MIPG reporta un cumplimiento del 100% para la política de compras y contratación</t>
  </si>
  <si>
    <t>El plan de ajuste y sostenibilidad MIPG reporta el siguiente cumplimiento: compras y contratación 100%</t>
  </si>
  <si>
    <t>No se asocia a metas 2020-2026</t>
  </si>
  <si>
    <t>Elaborar los reportes de seguimiento a la implementacion del Plan de Ajuste y Sostenibilidad MIPG 2022</t>
  </si>
  <si>
    <t>Reportes de seguimiento al avance del Plan de ajuste y sostenibilidad MIPG, elaborados</t>
  </si>
  <si>
    <t>Número de reportes de seguimiento al avance al Plan de ajuste y sostenibilidad MIPG elaborados</t>
  </si>
  <si>
    <t>Reporte de seguimiento al avance del Plan de ajuste y sostenibilidad MIPG 2021 corte cuarto trimestre 2021.</t>
  </si>
  <si>
    <t xml:space="preserve">En el mes de enero de 2022 se consolidaron los resultados del Plan de Ajuste y Sostenibilidad del Modelo Integrado de Planeación y Gestión con corte al IV Trimestre de 2021, los cuales fueron socializados en la sesión de Comité Institucional Gestión y Desempeño del 22 de febrero de 2022. </t>
  </si>
  <si>
    <t>Reporte de seguimiento al avance del Plan de ajuste y sostenibilidad MIPG 2021 corte primer trimestre 2022.</t>
  </si>
  <si>
    <t>En el mes de abril de 2022 se consolidaron los resultados del Plan de Ajuste y Sostenibilidad del Modelo Integrado de Planeación y Gestión con corte al I Trimestre de 2022, los cuales fueron socializados en la sesión de Comité Institucional Gestión y Desempeño del 11 de mayo de 2022 de acuerdo con el Acta No.07 de 2022.</t>
  </si>
  <si>
    <t>Reporte de seguimiento al avance del Plan de ajuste y sostenibilidad MIPG 2021 corte segundo trimestre 2022.</t>
  </si>
  <si>
    <t>En el mes de julio de 2022 se consolidaron los resultados del Plan de Ajuste y Sostenibilidad del Modelo Integrado de Planeación y Gestión con corte al II Trimestre de 2022, los cuales fueron socializados en la sesión de Comité Institucional Gestión y Desempeño del 25 de julio  de 2022 de acuerdo con el Acta No.17 de 2022.</t>
  </si>
  <si>
    <t>Reporte de seguimiento al avance del Plan de ajuste y sostenibilidad MIPG 2021 corte tercer trimestre 2022.</t>
  </si>
  <si>
    <t>En el mes de octubre de 2022 se consolidaron los resultados del Plan de Ajuste y Sostenibilidad del Modelo Integrado de Planeación y Gestión con corte al III Trimestre de 2022, los cuales fueron socializados en la sesión de Comité Institucional Gestión y Desempeño del 31 de octubre de 2022 de acuerdo con el Acta No. 30 de 2022.</t>
  </si>
  <si>
    <t>No se asocia a metas 2020-2027</t>
  </si>
  <si>
    <t xml:space="preserve">Elaborar las cartas de gestión y alertas de los procesos institucionales en el marco del sistema de gestión </t>
  </si>
  <si>
    <t>cartas de gestión y alerta a los procesos institucionales enviadas</t>
  </si>
  <si>
    <t>(Número de cartas de gestión y alerta a los procesos institucionales enviadas / Número de procesos institucionales vigentes en el periodo)*100</t>
  </si>
  <si>
    <t>Correos electrónicos de envío con las cartas de gestión y alertas por proceso, correspondientes al cuarto trimestre 2021</t>
  </si>
  <si>
    <t>Durante el primer trimestre de 2022 se elaboraron las 20 cartas de gestión y alerta de los procesos del Sistema de Gestión correspondientes al mismo número de procesos, en las cuales se presentaron los avances y alertas relacionados con los componentes de documentos, indicadores y riesgos, con corte a 31 de diciembre de 2021. Estas cartas fueron remitidas a los 14 líderes de proceso, mediante correo electrónico de la Subdirección de Diseño, Evaluación y Sistematización.</t>
  </si>
  <si>
    <t>Reporte de correo electrónicos de envío con las cartas de gestión y alertas por proceso, correspondientes al primer trimestre 2022</t>
  </si>
  <si>
    <t>Durante el segundo trimestre de 2022 se elaboraron las 20 cartas de gestión y alerta de los procesos del Sistema de Gestión correspondientes al mismo número de procesos, en las cuales se presentaron los avances y alertas relacionados con los componentes de documentos, indicadores y riesgos, con corte a 31 de marzo de 2022. Estas cartas fueron remitidas a los 14 líderes de proceso, mediante memorandos y correo electrónico del Subdirector de Diseño, Evaluación y Sistematización.</t>
  </si>
  <si>
    <t>Reporte de correo electrónicos de envío con las cartas de gestión y alertas por proceso, correspondientes al segundo trimestre 2022</t>
  </si>
  <si>
    <t>Durante el tercer trimestre de 2022 se elaboraron las 20 cartas de gestión y alerta de los procesos institucionales, correspondientes al mismo número de procesos vigentes, en las cuales se presentaron los avances y alertas relacionados con los componentes de documentos, indicadores y riesgos, con corte a 30 de junio de 2022. Estas cartas fueron remitidas a los 14 líderes y gestores de proceso, mediante memorandos y correo electrónico del Subdirector de Diseño, Evaluación y Sistematización.</t>
  </si>
  <si>
    <t>Reporte de correo electrónicos de envío con las cartas de gestión y alertas por proceso, correspondientes al tercer trimestre 2022</t>
  </si>
  <si>
    <t>Durante el cuarto trimestre de 2022 se elaboraron las 20 cartas de gestión y alerta de los procesos institucionales, correspondientes al mismo número de procesos vigentes, en las cuales se presentaron los avances y alertas relacionados con los componentes de documentos, indicadores y riesgos, con corte a 30 de septiembre de 2022. Estas cartas fueron remitidas a los 14 líderes y gestores de proceso, mediante memorandos y correo electrónico del Subdirector de Diseño, Evaluación y Sistematización.</t>
  </si>
  <si>
    <t>No se asocia a metas 2020-2028</t>
  </si>
  <si>
    <t>Plan de Estrategia de participación</t>
  </si>
  <si>
    <t>Realizar los reportes de seguimiento a la implementacion del Plan de Participación ciudadana 2022</t>
  </si>
  <si>
    <t>Reportes de seguimiento al avance del Plan de participación ciudadana, realizados</t>
  </si>
  <si>
    <t>Número de reportes de seguimiento al avance del Plan de Participación Ciudadana realizados</t>
  </si>
  <si>
    <t>Reporte de seguimiento al avance del Plan de Participación Ciudadana corte cuarto trimestre 2021.</t>
  </si>
  <si>
    <t xml:space="preserve">Durante el primer trimestre de 2022 se elaboró y publicó en la página web institucional el informe de avance del Plan Institucional de Participación Ciudadana con corte a diciembre de 2021, el cual puede ser consultado en https://www.integracionsocial.gov.co/index.php/noticias/ultimas-noticias/4363  </t>
  </si>
  <si>
    <t>Reporte de seguimiento al avance del Plan de Participación Ciudadana corte primer trimestre 2022.</t>
  </si>
  <si>
    <t xml:space="preserve">Durante el segundo trimestre de 2022 desde el equipo de participación ciudadana de la SDES se realizó el seguimiento al plan de participación ciudadana con corte a 31 de marzo de 2022 </t>
  </si>
  <si>
    <t>Reporte de seguimiento al avance del Plan de Participación Ciudadana corte segundo trimestre 2022.</t>
  </si>
  <si>
    <t xml:space="preserve">Durante el tercer trimestre de 2022 desde el equipo de participación ciudadana de la SDES se realizó el seguimiento al plan de participación ciudadana con corte a 30 de junio de 2022 </t>
  </si>
  <si>
    <t>Reporte de seguimiento al avance del Plan de Participación Ciudadana corte tercer trimestre 2021.</t>
  </si>
  <si>
    <t> Durante el cuatro trimestre de 2022 se realizó el informe de avance del Plan Institucional de Participación Ciudadana con corte a septiembre de 2022 el cual fue elaborado y consolidado en los archivos “2022 Informe seguimiento trimestre 3 Cronograma PIPC” y “2022.09.30 Cronograma de actividades participación ciudadana SDIS – PIPC” que se adjuntan como evidencia.</t>
  </si>
  <si>
    <t>No se asocia a metas 2020-2029</t>
  </si>
  <si>
    <t xml:space="preserve">Elaborar el reporte de acompañamiento a las dependencias en la formulación de planes de mejoramiento </t>
  </si>
  <si>
    <t>Porcentaje de solicitudes de acompañamiento a la formulación de planes de mejoramiento atendidas</t>
  </si>
  <si>
    <t>(Número de solicitudes de acompañamiento a la formulación de los planes de mejoramiento atendidas/ Numero de solicitudes de acompañamiento a la formulación de planes de mejoramiento realizadas por las dependencias) * 100</t>
  </si>
  <si>
    <t xml:space="preserve">Reporte de atencion a las solicitudes de acompañamiento a las dependencias en la formulación de planes de mejoramiento </t>
  </si>
  <si>
    <t xml:space="preserve">Durante el primer trimestre de 2022 se atendió la totalidad de solicitudes (3) de acompañamiento técnico a las dependencias de la Secretaría que lo han requerido, relacionado con la formulación y modificación de planes de mejoramiento derivados de auditorías internas o externas, lo cual ha permitido evaluar y aprobar o negar las solicitudes de modificación realizadas, conforme al procedimiento vigente.  </t>
  </si>
  <si>
    <t xml:space="preserve">Durante el segundo trimestre de 2022 se atendió la totalidad de las veinte (20) solicitudes de acompañamiento técnico a las dependencias de la Secretaría que lo han requerido, relacionado con la formulación o modificación de planes de mejoramiento derivados de auditorías internas o externas, lo cual ha permitido evaluar y aprobar o negar las solicitudes de modificación realizadas, conforme al procedimiento vigente. </t>
  </si>
  <si>
    <t>Durante el tercer trimestre de 2022 se atendió la totalidad de las diecisiete (17) solicitudes de asesoría metodológica de las dependencias de la Secretaría que lo han requerido, relacionado con la formulación o modificación de planes de mejoramiento derivados de auditorías internas o externas, lo cual ha permitido evaluar y aprobar o negar las solicitudes de modificación realizadas, conforme al procedimiento vigente.</t>
  </si>
  <si>
    <t>Durante el cuarto trimestre de 2022 se atendió la totalidad de las veintiocho (28) solicitudes de asesoría metodológica de las dependencias de la Secretaría que lo han requerido, relacionado con la formulación o modificación de planes de mejoramiento derivados de auditorías internas o externas, lo cual ha permitido en la etapa de formulación de planes de mejora, acompañar a la totalidad de las dependencias que lo han requerido y en la etapa de modificaciones, evaluar y dar visto bueno metodológico o negar las solicitudes de modificación realizadas, conforme al procedimiento vigente.</t>
  </si>
  <si>
    <t>37. Aumentar en un 43% la inspección y  vigilancia en los servicios y programas  prestados por la Secretaría Distrital de Integración Social que cuentan con estándares de calidad.</t>
  </si>
  <si>
    <t>Elaborar los documentos de Anexos técnicos de estándares de servicios sociales elaborados o actualizados</t>
  </si>
  <si>
    <t xml:space="preserve">Suma </t>
  </si>
  <si>
    <t>Anexos técnicos de estándares de servicios sociales elaborados o actualizados</t>
  </si>
  <si>
    <t>Numero de anexos técnicos de servicios sociales elaborados o actualizados, con visto bueno por parte  de la Subdirección Técnica respectiva</t>
  </si>
  <si>
    <t>Con corte a marzo del 2022 se logra aprobación de los estándares de calidad para el servicio Inclusión integral para personas con discapacidad, sus cuidadores-as y sus familias (modalidades: Centros crecer, Centros Avanzar, Integrarte interno e Integrarte externo) por parte de la Directora y Subdirectora de Discapacidad.</t>
  </si>
  <si>
    <t>Documento de Anexo técnico de servicio social con visto bueno de la Subdirección técnica respectiva</t>
  </si>
  <si>
    <t xml:space="preserve">Con corte a 30 de junio se logra aprobación de los estándares de calidad para el servicio inclusión integral para personas con discapacidad, sus cuidadores-as y sus familias (modalidades: Centros Crecer, Centros Avanzar, Integrarte Interno e Integrarte externo) por parte de la Directora y Subdirectora de Discapacidad. 
Adicionalmente se avanzó en la actualización de los estándares de calidad de los siguientes servicios sociales:
•	Servicio Centros Proteger, se desarrollaron las mesas técnicas de trabajo, de las cuales se generó como producto el documento anexo técnico de estándares preliminar. Se encuentra pendiente revisión técnica del documento a nivel general y presentación de la propuesta a la Subdirección Técnica.
•	Servicio Gestión del Riesgo, se desarrollan las mesas de trabajo y se cuenta con propuesta para los grupos e estándares de Gestión Administrativa y Talento Humano. Se encuentra en desarrollo la formulación para los grupos de estándares de Atención, Ambientes adecuados y seguros. </t>
  </si>
  <si>
    <t xml:space="preserve">Con corte a 31 de diciembre de 2022 se implementó la metodología institucional para la formulación, implementación y verificación de estándares de calidad para los servicios sociales, logrando lo siguiente:	
* Actualización de los estándares de calidad para el servicio Centros Proteger, los cuales fueron aprobados por la Subdirección para la familia. </t>
  </si>
  <si>
    <t>Realizar el reporte de respuesta a solicitudes de información del sistema de información misional</t>
  </si>
  <si>
    <t>Porcentaje de solicitudes de información del sistema de información misional gestionadas oportunamente</t>
  </si>
  <si>
    <t>(Número de solicitudes de información del sistema de información misional gestionadas oportunamente /Numero de solicitudes de información del sistema de información misional recibidas al día 15 del mes de corte)  *100</t>
  </si>
  <si>
    <t>Reporte de oportunidad en la atencion de solicitudes de información del sistema de información misional corte 15 de marzo</t>
  </si>
  <si>
    <t xml:space="preserve">En el periodo comprendido entre el 1 de enero al 15 de marzo de 2022 se recibieron 412 solicitudes de información del sistema de información misional, de las cuales 8 se reportaron en estado “Cancelado” en la herramienta Aranda web debido a que correspondían a solicitudes inviables o por solicitud del usuario, quedando 404 casos activos. De estas solicitudes, 401 fueron solucionadas con corte a 31 de marzo de 2022 y 3 quedaron en proceso por parte del equipo de Gestion de la Información Misional debido a la complejidad y necesidad de un mayor tiempo para completar el producto solicitado. Por lo anterior, el porcentaje de solicitudes recibidas el periodo entre el 1 de enero al 15 de marzo de 2022 y atendidas oportunamente fue de 99.25%. </t>
  </si>
  <si>
    <t>Reporte de oportunidad en la atencion de solicitudes de información del sistema de información misional corte 15 de junio</t>
  </si>
  <si>
    <t>En el periodo comprendido entre el 1 de enero al 15 de junio de 2022 se recibieron 968 solicitudes de información del sistema de información misional, de las cuales 30 se reportaron en estado “Cancelado” en la herramienta Aranda web debido a que correspondían a solicitudes inviables o canceladas por solicitud del usuario, quedando 938 casos activos que fueron solucionados en su totalidad al corte a 30 de junio de 2022. 
Por lo anterior, el porcentaje de solicitudes atendidas al corte del 30 de junio de 2022 y que fueron registradas entre el 1 de enero al 15 de junio de 2022, fue del 100%.
El detalle de las solicitudes de gestión de información misional y geográfica se encuentra en el archivo en Excel “Reporte oportunidad atencion solicitudes informacion misional 01 ENE a 15 JUN 2022.xlsx”</t>
  </si>
  <si>
    <t>Reporte de oportunidad en la atencion de solicitudes de información del sistema de información misional corte 15 de septiembre</t>
  </si>
  <si>
    <t>En el periodo comprendido entre el 1 de enero al 15 de septiembre de 2022 se recibieron 1.466 solicitudes de información del sistema de información misional, de las cuales 43 se reportaron en estado “Cancelado” en la herramienta Aranda web debido a que correspondían a solicitudes inviables o canceladas por solicitud del usuario, quedando 1.423 casos activos que fueron solucionados en su totalidad al corte a 30 de septiembre de 2022. 
Por lo anterior, el porcentaje de solicitudes atendidas al corte del 30 de septiembre de 2022 y que fueron registradas entre el 1 de enero al 15 de septiembre de 2022, fue del 100%.
El detalle de las solicitudes de gestión de información misional y geográfica se encuentra en el archivo en Excel “Reporte oportunidad atencion solicitudes informacion misional 01 ENE a 15 SEPT 2022.xlsx"</t>
  </si>
  <si>
    <t>Reporte de oportunidad en la atencion de solicitudes de información del sistema de información misional corte 15 de diciembre</t>
  </si>
  <si>
    <t>En el periodo comprendido entre el 1 de enero al 15 de diciembre de 2022 se recibieron 2.047 solicitudes de información del sistema de información misional, de las cuales 55 se reportaron en estado “Cancelado” en la herramienta Aranda web, debido a que correspondían a solicitudes inviables o canceladas por solicitud del usuario, quedando 1.992 casos activos que fueron solucionados en su totalidad al corte a 31 de diciembre de 2022. 
Por lo anterior, el porcentaje de solicitudes atendidas al corte del 31 de septiembre de 2022 y que fueron registradas entre el 1 de enero al 15 de diciembre de 2022, fue del 100%.
El detalle de las solicitudes de gestión de información misional y geográfica se encuentra en el archivo en Excel “Reporte oportunidad atencion solicitudes informacion misional 01 ENE a 15 DIC 2022.xlsx"</t>
  </si>
  <si>
    <t>No se asocia a metas 2020-2030</t>
  </si>
  <si>
    <t>Consolidar los reportes mensuales de Seguimiento al modulo Plan anual de adquisiciones (PAA) del aplicativo ERP SEVEN</t>
  </si>
  <si>
    <t>Reportes de seguimiento al Plan Anual de Adquisiciones elaborados</t>
  </si>
  <si>
    <t>Número de reportes mensuales de seguimiento al módulo Plan Anual de Adquisiciones en el aplicativo ERP SEVEN elaborados</t>
  </si>
  <si>
    <t>Reportes mensuales de seguimiento al Plan Anual de Adquisiciones en el aplicativo ERP SEVEN primer trimestre 2022</t>
  </si>
  <si>
    <t xml:space="preserve">Durante el primer trimestre de 2022 se generaron 3 reportes de ejecución presupuestal de la Entidad de recursos de funcionamiento y de inversión, a través de la generación de los reportes de ejecución de recursos de reserva presupuestal y de vigencia (Certificados de disponibilidad presupuestal, Certificados de registro presupuestal) en los sistemas ERP SEVEN de la Secretaría y BOGDATA de la Secretaría Distrital de Hacienda. </t>
  </si>
  <si>
    <t>Reportes mensuales de seguimiento al Plan Anual de Adquisiciones en el aplicativo ERP SEVEN corte segundo trimestre 2022</t>
  </si>
  <si>
    <t xml:space="preserve">Durante el segundo trimestre de 2022 se generaron 3 reportes de ejecución presupuestal de la Entidad de recursos de funcionamiento y de inversión, a través de la generación de los reportes de ejecución de recursos de reserva presupuestal y de vigencia (Certificados de disponibilidad presupuestal, Certificados de registro presupuestal, Plan Anual de Adquisiciones) en los sistemas ERP SEVEN de la Secretaría Distrital de Integración Social y BOGDATA de la Secretaría Distrital de Hacienda. </t>
  </si>
  <si>
    <t>Reportes mensuales de seguimiento al Plan Anual de Adquisiciones en el aplicativo ERP SEVEN tercer  trimestre 2022</t>
  </si>
  <si>
    <t xml:space="preserve">Durante el tercer trimestre de 2022 se generaron 3 reportes de ejecución presupuestal de la Entidad de recursos de funcionamiento y de inversión, a través de la generación de los reportes de ejecución de recursos de reserva presupuestal y de vigencia (Certificados de disponibilidad presupuestal, Certificados de registro presupuestal, Plan Anual de Adquisiciones) en los sistemas ERP SEVEN de la Secretaría Distrital de Integración Social y BOGDATA de la Secretaría Distrital de Hacienda. </t>
  </si>
  <si>
    <t>Reportes mensuales de seguimiento al Plan Anual de Adquisiciones en el aplicativo ERP SEVEN corte cuarto trimestre 2022</t>
  </si>
  <si>
    <t xml:space="preserve">Durante el cuarto trimestre de 2022 se generaron 3 reportes de ejecución presupuestal de la Entidad de recursos de funcionamiento y de inversión, a través de la generación de los reportes de ejecución de recursos de reserva presupuestal y de vigencia (Certificados de disponibilidad presupuestal, Certificados de registro presupuestal, Plan Anual de Adquisiciones) en los sistemas ERP SEVEN de la Secretaría Distrital de Integración Social y BOGDATA de la Secretaría Distrital de Hacienda. </t>
  </si>
  <si>
    <t>No se asocia a metas 2020-2031</t>
  </si>
  <si>
    <t xml:space="preserve">Elaborar los informes de Seguimiento a la implementación de los proyectos de inversión </t>
  </si>
  <si>
    <t>Reportes de seguimiento a la implementación de los proyectos de inversión elaborados</t>
  </si>
  <si>
    <t xml:space="preserve">Número de reportes de seguimiento a la implementación de los proyectos de inversión </t>
  </si>
  <si>
    <t xml:space="preserve">Reportes de seguimiento a la implementacion de los proyectos de inversion corte diciembre 2021 y febrero 2022 </t>
  </si>
  <si>
    <t xml:space="preserve">Durante el primer trimestre de 2022 se elaboraron dos reportes de seguimiento a la implementacion de los 18 proyectos de inversion de la Entidad, el primero en enero de 2022 correspondiente al periodo enero diciembre 2021 y el segundo en el mes de marezo de 2022, correspondiente al seguimiento de enero a  Febrero 2022. Este seguimiento se realizo a traves de la verificación de la información suministrada en los reportes SPI, realizando la  retroalimentación a través de correos electrónicos o mediante reuniones con los profesionales delegados de cada área técnica. </t>
  </si>
  <si>
    <t xml:space="preserve">Reportes de seguimiento a la implementacion de los proyectos de inversion corte mayo 2022 </t>
  </si>
  <si>
    <t>Durante el segundo trimestre de 2022 se elaboraron tres (3) reportes de seguimiento a la implementacion de los 18 proyectos de inversion de la Entidad, el primero en abril de 2022 correspondiente al periodo enero marzo 2021, el segundo en el mes de mayo de 2022, correspondiente al seguimiento de enero a  abril 2022 y el tercero realizado en el mes de junio correspondiente al periodo de enero a mayo. Este seguimiento se realizo a traves de la verificación de la información suministrada en los reportes SPI, realizando la  retroalimentación a través de correos electrónicos o mediante reuniones con los profesionales delegados de cada área técnica.</t>
  </si>
  <si>
    <t xml:space="preserve">Reportes de seguimiento a la implementacion de los proyectos de inversion corte agosto 2022 </t>
  </si>
  <si>
    <t xml:space="preserve">Durante el tercer trimestre de 2022 se elaboraron tres reportes de seguimiento a la implementacion de los 18 proyectos de inversión de la Entidad correspondientes a los siguientes periodos: enero a junio, enero a julio y enero a agosto de 2022. Este seguimiento se realizó a través de la verificación de la información suministrada en los reportes SPI, realizando la  retroalimentación a través de correos electrónicos o mediante reuniones con los profesionales delegados de cada área técnica. </t>
  </si>
  <si>
    <t xml:space="preserve">Reportes de seguimiento a la implementacion de los proyectos de inversion corte noviembre 2022 </t>
  </si>
  <si>
    <t xml:space="preserve"> Durante el cuarto trimestre de 2022 se elaboraron tres reportes de seguimiento a la implementacion de los 18 proyectos de inversión de la Entidad correspondientes a los siguientes periodos: enero a septiembre, enero a octubre y enero a noviembre de 2022. Este seguimiento se realizó a través de la verificación de la información suministrada en los reportes SPI, realizando la  retroalimentación a través de correos electrónicos o mediante reuniones con los profesionales delegados de cada área técnica. </t>
  </si>
  <si>
    <t>No se asocia a metas 2020-2032</t>
  </si>
  <si>
    <t xml:space="preserve">Elaborar las cartas de alertas y recomendaciones a los proyectos de inversión </t>
  </si>
  <si>
    <t>Cartas de gestión y alerta a los proyectos de inversion enviadas</t>
  </si>
  <si>
    <t>(Número de cartas de gestión y alerta a los proyectos de inversion enviadas / Número de proyectos de inversion )*100</t>
  </si>
  <si>
    <t>Memorandos de envio con las cartas de alerta y recomendaciones a los proyectos de inversion, del cuarto trimestre 2021</t>
  </si>
  <si>
    <t>Se realiza balance de la ejecuciòn fisica y presupuestal de los proyectos con cierre vigencia 2021 y se remite memorando a las àreas tècnicas que implementan los 17 proyectos de inversiòn con el fin de presentar recomendaciones generales para la optimizaciòn de la ejecuciòn de la vigencia 2022. No se emite carta para el proyecto 7741 toda vez que es desde la Dirección de Analisis y Diseño estratégico, desde donde se emite las recomendaciones para la vigencia 2022.</t>
  </si>
  <si>
    <t>Memorandos de envio con las cartas de alerta y recomendaciones a los proyectos de inversion, del primer trimestre 2022</t>
  </si>
  <si>
    <t>Se realiza balance de la ejecuciòn fisica y presupuestal de los proyectos para los peridos de enero a marzo, enero a abril y enero a mayo y se remite memorando a las áreas técnicas que implementan los 18 proyectos de inversión con el fin de presentar recomendaciones generales para la optimización de la ejecución de la vigencia 2022.</t>
  </si>
  <si>
    <t>Memorandos de envio con las cartas de alerta y recomendaciones a los proyectos de inversion, del segundo trimestre 2022</t>
  </si>
  <si>
    <t>En el marco del seguimiento a proyectos, se realiza balance de la ejecución fisica y presupuestal de los proyectos para los periodos de enero a junio, enero a julio y enero a agosto y se remite memorando a las áreas técnicas que implementan los 18 proyectos de inversión con el fin de presentar recomendaciones generales para la optimización de la ejecución de la vigencia 2022.</t>
  </si>
  <si>
    <t>Memorandos de envio con las cartas de alerta y recomendaciones a los proyectos de inversion, del tercer trimestre 2022</t>
  </si>
  <si>
    <t>En el marco del seguimiento a proyectos, se realiza balance de la ejecución fisica y presupuestal de los proyectos para los periodos de enero a septiembre, enero a octubre y enero a noviembre y se remite memorando a las áreas técnicas que implementan los 18 proyectos de inversión con el fin de presentar recomendaciones generales para la optimización de la ejecución de la vigencia 2022.</t>
  </si>
  <si>
    <t>Meta cumplida al 99%</t>
  </si>
  <si>
    <t>No se asocia a metas 2020-2033</t>
  </si>
  <si>
    <t>7741. Fortalecimiento De La Gestión De La Información Y El Conocimiento Con  Enfoque Participativo Y Territorial</t>
  </si>
  <si>
    <t>Plan anticorrupción y de atención al ciudadano</t>
  </si>
  <si>
    <t>Hacer reporte del seguimiento a la implementacion del Plan de Anticorrupción y de Atención al ciudadano 2022</t>
  </si>
  <si>
    <t>Reportes de seguimiento al avance del Plan Anticorrupcion y de Atencion al Ciudadano, elaborados</t>
  </si>
  <si>
    <t>Número de reportes de seguimiento al avance del Plan Anticorrupcion y de Atencion al Ciudadano</t>
  </si>
  <si>
    <t>Reporte de seguimiento al avance del Plan Anticorrupcion y de Atencion al Ciudadano corte diciembre 2021.</t>
  </si>
  <si>
    <t>en el primer trimestre de 2022 se realizó el seguimiento a las actividades de cada uno de los seis componentes del Plan anticorrupción y atención a la ciuadanía con fecha de corte 31 de diciembre  de 2021. Se envió dicho reporte de seguimiento a la Oficina de Control Interno para su respectiva evaluación, presentando el el PAAC un avance del 96.8% a diciembre de 2021.</t>
  </si>
  <si>
    <t>Reporte de seguimiento al avance del Plan Anticorrupcion y de Atencion al Ciudadano corte abril 2022.</t>
  </si>
  <si>
    <t>En el segundo trimestre se realiza el seguimiento a las actividades de cada uno de los seis componentes del Plan anticorrupción, correspondiente a la fecha de corte abril  30 de 2022. Este reporte se envió a la oficina de control interno en donde se evaluó su porcentaje de cumplimiento obteniendo un 38% de avance a la fecha de corte.  Este seguimiento se publicó en la págian Web de la entidad link: https://www.integracionsocial.gov.co/index.php/regimen-legal/transparencia/transparencia-plan-de-lucha-contra-la-corrupcion</t>
  </si>
  <si>
    <t>Reporte de seguimiento al avance del Plan Anticorrupcion y de Atencion al Ciudadano corte agosto 2022.</t>
  </si>
  <si>
    <t>En el tercer trimestre se realiza el seguimiento a las actividades de cada uno de los seis componentes del Plan anticorrupción, correspondiente a la fecha de corte agosto  30 de 2022. Este reporte se envió a la oficina de control interno en donde se evaluó su porcentaje de cumplimiento obteniendo un 56% de avance a la fecha de corte.  Este seguimiento se publicó en la página Web de la entidad link: https://www.integracionsocial.gov.co/index.php/regimen-legal/transparencia/transparencia-plan-de-lucha-contra-la-corrupcion</t>
  </si>
  <si>
    <t>Cumplir con las metas del Plan de Ajuste y Sostenibilidad MIPG: Políticas Seguimiento y Evaluación, Participación Ciudadana, Control Interno, Gestión presupuestal</t>
  </si>
  <si>
    <t>porcentaje de cumplimiento de las metas del Plan de Ajuste y Sostenibilidad MIPG Políticas: Seguimiento y Evaluación, Participación Ciudadana, Control Interno, Gestión Presupuestal de acuerdo con lo programado con corte al periodo reportado</t>
  </si>
  <si>
    <t xml:space="preserve">El plan de ajuste y sostenibilidad MIPG reporta un cumplimiento del 100% para la política de gestión presupuestal y un 0% para participación ciudadana </t>
  </si>
  <si>
    <t>El plan de ajuste y sostenibilidad MIPG reporta el siguiente cumplimiento: Seguimiento y Evaluación 100%, Participación Ciudadana 100%, Control Interno 100%, Gestión Presupuestal 100%</t>
  </si>
  <si>
    <t>El plan de ajuste y sostenibilidad MIPG reporta el siguiente cumplimiento: Gestión Presupuestal 100%</t>
  </si>
  <si>
    <t>Meta cumplida al 88%</t>
  </si>
  <si>
    <t>36. Implementar el 100% del plan de acción de la política pública de gestión  integral del talento humano en la  prestación de los servicios sociales con  énfasis en los componentes de trabajo  decente y digno garantizando las  condiciones de protección y</t>
  </si>
  <si>
    <t>Formular y publicar el Plan Estratégico de Talento Humano</t>
  </si>
  <si>
    <t>Porcentaje de avance en el Plan Estratégico de Talento Humano Formulado y Publicado</t>
  </si>
  <si>
    <t>Plan Estratégico de Talento Humano Formulados y Publicados</t>
  </si>
  <si>
    <t>En el periodo objeto de reporte fue completada esta actividad, ya que fue formulado el Plan Estrategico de Talento Humano y publicado.
El link de publicación es el siguiente: https://www.integracionsocial.gov.co/images/_docs/2022/gestion/220131_Resolucion_0182_de_2022_Plan_Estrategico_de_TH.pdf
https://www.integracionsocial.gov.co/images/_docs/2022/gestion/220125_PLAN_ESTRATEGICO_DE_TH_2022.pdf</t>
  </si>
  <si>
    <t>Borrador del plan para revisión y observaciones</t>
  </si>
  <si>
    <t>Esta actividad fue ejecutada en un 100% en el primer trimestre de 2022</t>
  </si>
  <si>
    <t>Plan estratégico aprobado y publicado</t>
  </si>
  <si>
    <t>Realizar el  Seguimiento a la ejeucción del Plan de vacantes</t>
  </si>
  <si>
    <t>Porcentaje de ejecución Plan anual de Vacantes</t>
  </si>
  <si>
    <t>(N° de actividades ejecutadas en el periodo/N° actividades programadas para el periodo reportado)*100</t>
  </si>
  <si>
    <t xml:space="preserve"> - Plan Formulado
 - Cronograma de actividades con fechas programadas
- Soportes que den cuenta de las actividades ejecutadas</t>
  </si>
  <si>
    <t>Durante el periodo se formuló el Plan Estratégico de Talento Humano, el cual a su vez incluye el Plan anual de vacantes y Provisión de Empleo de la vigencia 2022. Este plan fue adoptado oficialmente a través de la Resolución N°182 de 31 de enero de 2022. Lo anterior se puede verificar en los siguientes links:
1. https://www.integracionsocial.gov.co/images/_docs/2022/gestion/220131_Resolucion_0182_de_2022_Plan_Estrategico_de_TH.pdf
2. https://www.integracionsocial.gov.co/images/_docs/2022/gestion/220131_PLAN_DE_VACANTES_Y_PROVISION_DE_EMPLEO_2022.pdf
De acuerdo con lo establecido en el cronograma de actividades, del Plan de Vacantes y provisión de empleo, para este trimestre se encontraban programadas 3 actividades, las cuales fueron cumplidas al 100% así:
6.1. Nombrar los elegibles de la convoctoria distrito IV: Durante el periodo entre Enero a Marzo se realizaron 383 posesiones.
6.2. Hacer uso de las listas de elegibles para las vacantes nuevas: Durante el trimestre se hicieron oficialmente tres solicitudes a la Comisión Nacional del Servicio Civil, para hacer uso de lista de elegibles y cubrir así empleos similares o equivalentes que quedaron en vacancia. Así mismo, Durante el periodo, se realizaron 11 nombramientos producto del uso de lista de elegibles, previa autorización de la CNSC.
7.1. Rediseño Institucional: Se formuló un plan de trabajo con el fin de hacer un diagnóstico y medición de cargas de trabajo en la subdirección para las familias, incluyendo todas las comisarías de familia. a la fecha se ha cumplido con el cronograma de trabajo formulado."</t>
  </si>
  <si>
    <t xml:space="preserve"> - Cronograma de actividades con fechas programadas
- Soportes que den cuenta de las actividades ejecutadas</t>
  </si>
  <si>
    <t>"Durante el primer trimestre se formuló el Plan Estratégico de Talento Humano, el cual a su vez incluye el Plan anual de vacantes y Provisión de Empleo de la vigencia 2022. Este plan fue adoptado oficialmente a través de la Resolución N°182 de 31 de enero de 2022. Lo anterior se puede verificar en los siguientes links:
1. https://www.integracionsocial.gov.co/images/_docs/2022/gestion/220131_Resolucion_0182_de_2022_Plan_Estrategico_de_TH.pdf
2. https://www.integracionsocial.gov.co/images/_docs/2022/gestion/220131_PLAN_DE_VACANTES_Y_PROVISION_DE_EMPLEO_2022.pdf
De acuerdo con lo establecido en el cronograma de actividades, del Plan de Vacantes y provisión de empleo, para este trimestre se encontraban programadas 4 actividades, las cuales fueron cumplidas al 100% así:
Respecto de la Actividad 6.1. y 6.2 Se informa que durante el mes de abril, mayo y junio se posesionaron 16 elegibles de la convocatoria Distrito 4, debido a solicitud previa de prórroga. Adicionalmente, la SDIS recibió oficio de la CNSC con radicado 2022RS020557 del 31 de marzo de 2022, donde autorizó cubrir diez (10) vacantes declaradas desiertas del concurso de ascenso de la Convocatoria Distrito 4, con uso de listas de la misma convocatoria de modalidad abierto , de los cuales se posesionaron 9 y se presentó 1 derogatoria. Respecto de la Convocatoria 818 de 2018, durante el periodo se poesionaron 2 elegibles por uso de listas por derogatorias. La SDIS solicitó a la CNSC autorización de uso de listas de vacantes definitivas surgidas con posterioridad mediante oficio con radicado S2022037139 y S2022037041 de fecha 07 de abril de 2022, de la convocatoria 818 de 2018 y Distrito 4 respectivamente, en este sentido, la SDIS recibió oficio de la CNSC con radicado 2022RS052930 del trece (13) de junio de 2022, autorizando el uso de lista de elegibles para 52 empleos denominados mismos empleos  Se anexa como evidencia tablas de excel con información de los posesionados y oficios de autorización de la CNSC para uso de listas de la convocatoria Distrito 4 y 818, asi como los oficios mencionados.
Con relación a la actividad 6.3, se informa que durante el período, se realizón la actualización de base de datos,  con la correspondiente ubicación de las vacantes y elaboración de estudios de requisitos de los servidores del nivel técnico con NBC educación para encargo del empleo Profesional Universitario 219-01,  de servidores del nivel profesional para encargo del empleo Profesional Universitario 219-16 y de los servidores con NBC derecho y afines para encargo del empleo Profesional Especializado 222-21. Se realizó la gestión para la elaboración de la circular para los encargos referidos. Se anexan las fichas de cada empleo y las dos circulares proyectadas.
7.1. Rediseño Institucional: Se dio continuidad del plan de trabajo con el fin de hacer un diagnóstico y medición de cargas de trabajo en la subdirección para las familias, incluyendo todas las comisarías de familia. a la fecha se ha cumplido con el cronograma de trabajo formulado, el cual se evidencia en el informe adjunto"</t>
  </si>
  <si>
    <t>Durante el primer trimestre de 2022 se formuló el Plan Estratégico de Talento Humano, el cual a su vez incluye el Plan anual de vacantes y Provisión de Empleo de la vigencia 2022. Este plan fue adoptado oficialmente a través de la Resolución N°182 de 31 de enero de 2022. Lo anterior se puede verificar en los siguientes links:
1. https://www.integracionsocial.gov.co/images/_docs/2022/gestion/220131_Resolucion_0182_de_2022_Plan_Estrategico_de_TH.pdf
2. https://www.integracionsocial.gov.co/images/_docs/2022/gestion/220131_PLAN_DE_VACANTES_Y_PROVISION_DE_EMPLEO_2022.pdf
De acuerdo con lo establecido en el cronograma de actividades, del Plan de Vacantes y provisión de empleo, para este trimestre se encontraban programadas 4 actividades, las cuales fueron cumplidas al 100% así:
Respecto de la Actividad 6.1 y 6.2:  Se realizo la posesión de 45 servidores por uso de listas convocatoria Distrito 4 y 19 posesionados de la Convocatoria 818 de 2018. (archivo Excel Listado elegibles posesionados)
La CNSC como respuesta a la solicitud de la SDIS para hacer uso de listas de elegibles, envió oficio con radicado 2022RS052930 del trece (13) de junio de 2022, donde autoriza el uso de lista de elegibles para 52 empleos de diversas OPEC, denominados mismos empleos; de igual manera a través del aplicativo SIMO 4.0, la CNSC realizó autorizaciones para proveer 6 vacantes con uso de listas como consecuencia de resolución de exclusión, derogatorias o renuncias de los elegibles. Asi las cosas, en el tercer trimestre se han posesionado 45 elegibles.
Adicionalmente la SDIS recibió oficio de la CNSC con radicado 2022RS100072 de fecha 15 de septiembre de 2022 con la autorización para proveer tres (3) vacantes declaradas desiertas en el empleo identificado con el código OPEC Nro. 137532 denominado Comisario de Familia, Código 202, Grado 28, con el código OPEC Nro. 150816, que se encuentra en proceso de firmas y revisión del acto administrativo de nombramiento. Con relación a la convocatoria 818, se posesionaron 19 elegibles por autorización de uso de listas de la CNSC mediante los siguientes oficios: Radicado 2022RS069516 de 07 de julio de 2022 para nombramiento de 24 elegibles; Radicado 2022RS070739 de 12 de julio de 2022 para nombramiento de 4 elegibles; Radicado 2022RS078340 del 29 de julio de 2022 para nombramiento de 24 elegibles, Radicado 2022RS095551 de 02 de septiembre de 2022 para nombramiento de 5 elegibles. Adicionalmente, oficio con Radicado 2022RS104127 del 22 de septiembre de 2022 para nombramiento de 1 elegible, con resolución en trámite. Se anexa como evidencia el consolidado de los elegibles posesionados y los oficios de la CNSC mencionados.
Con relación a la actividad 6.3, se informa que durante el período se finalizo el proceso de encargos para empleo Profesional Universitario 219-01, Profesional Universitario 219-16 y 1 Profesional Especializado 222-21, se publican los estudios definitivos para los empleos: Profesional Universitario 219-01, Profesional Universitario 219-16 y 1 Profesional Especializado 222-21, se realiza la audiencia de aceptación de encargo y adjudicación de plazas, publicación del documento “Acta de Audiencia”, así como del acto administrativo de nombramiento en encargo y se cita para posesión. (Esta informacion puede ser consultada en el siguiente link:
https://www.integracionsocial.gov.co/index.php/gestion/talento-humano
Por otra parte se adelanto el proceso de encargos Fase 2 para cubrir 25 empleos del empleo Profesional Universitario 219-01, que no fueron posible proveer en la fase 1, con fundamento en la circular divulgada en la fase1, realizando la actualización de base de datos con los servidores que superaron el período de prueba, elaboración de estudios de requisitos de los servidores que cumplen los criterios, publicación de estudios definitivos, realización de audiencia de aceptación del encargo y adjudicación de plazas, con el acta correspondiente, divulgación del acto administrativo y citación a posesión. Las evidencias se encuentran publicadas en la página de la SDIS en el link:
https://www.integracionsocial.gov.co/index.php/gestion/talento-humano
Con respecto a la actividad 6.5. se avanzó en la ejecución de la primera fase consistente en la Estructuración y planeación del ejercicio mediante la conformación del equipo técnico de la SGDTH que en conjunto con el equipo DADE gestionaran la formulación del Estudió Técnico de Rediseño, tal como se evidencia en el informe del mes de agosto de 2022 el cual se adjunta en PDF</t>
  </si>
  <si>
    <t>Durante el primer trimestre de 2022 se formuló el Plan Estratégico de Talento Humano, el cual a su vez incluye el Plan anual de vacantes y Provisión de Empleo de la vigencia 2022. Este plan fue adoptado oficialmente a través de la Resolución N°182 de 31 de enero de 2022. Lo anterior se puede verificar en los siguientes links:
1. https://www.integracionsocial.gov.co/images/_docs/2022/gestion/220131_Resolucion_0182_de_2022_Plan_Estrategico_de_TH.pdf
2. https://www.integracionsocial.gov.co/images/_docs/2022/gestion/220131_PLAN_DE_VACANTES_Y_PROVISION_DE_EMPLEO_2022.pdf
De acuerdo con lo establecido en el cronograma de actividades, del Plan de Vacantes y provisión de empleo, para este trimestre se encontraban programadas 4 actividades, las cuales fueron cumplidas al 100% así:
Actividad 6.1 y 6.2: 21 posesionados por uso de listas convocatoria Distrito 4 y 19 posesionados de la Convocatoria 818 de 2018
La CNSC como respuesta a la solicitud de la SDIS para hacer uso de listas de elegibles, envió oficio con radicado 2022RS111214 del once (11) de octubre de 2022, donde autoriza el uso de lista de elegibles para 4 vacantes del empleo Instructor, Código 313, Grado 14, de la OPEC 137568 de la convocatoria Distrito 4.
Con relación a la convocatoria 818, la SDIS recibió oficio con  2022RS113701 del dieciocho (18) de octubre de 2022, donde autoriza el uso de lista de elegibles para 1 vacante del empleo Profesional Universitario, Código 219, Grado 15, de la OPEC 85087, y para provisión de vacantes de empleos respecto de los cuales la SDIS reportó la derogatoria, autoriza el uso de listas para 3 vacantes del empleo Profesional Universitario, Código 219, Grado 15, de la OPEC 79527 por derogatoria.
De igual manera a través del aplicativo SIMO 4.0, la CNSC realizó autorizaciones para proveer  vacantes con uso de listas como consecuencia de derogatorias o renuncias de los elegibles.
Así las cosas, en el cuarto trimestre se han posesionado 40 elegibles en virtud de las convocatorias 818 de 2018 y Distrito 4. Se anexa como evidencia el consolidado de los elegibles posesionados y los oficios de la CNSC mencionados.
Actividad 6.3: Realización del proceso de encargos Fase 3 para 191 vacantes temporales del nivel técnico y asistencial. Adicionalmente se proveen por encargo 6 vacantes definitivas del empleo Profesional Universitario, Código 219, Grado 01 por renuncia de servidores a dicho encargo.
La SDIS realizó la fase 3 del proceso de encargos para proveer 191  vacantes temporales del nivel técnico y asistencial, originadas en virtud de la aceptación del encargo del empleo Profesional Universitario, Código 219, Grado 01, en tal sentido, se expidió y divulgó de manera masiva a los/as servidores/as de la entidad la Circular No. 031 del 3 de octubre del 2022 detallando el procedimiento correspondiente. Se elaboró el estudio de requisitos de los servidores que cumplen los criterios, la publicación de estudios definitivos, realización de audiencia de aceptación del encargo y adjudicación de plazas, con el acta correspondiente, divulgación del acto administrativo y posesión. De las 191 vacantes temporales, 68 fueron aceptadas por los servidores, y 121 desiertas como consecuencia de dos renuncias posteriores al encargo del empleo Profesional Universitario  Código 219, Grado 01.
Por otra parte, considerando las seis (6) renuncias presentadas al encargo del empleo Profesional Universitario, Código 219, Grado 01, de la fase 1 y 2 de encargos, y dando cumplimiento a lo ordenado en la Ley 909 de 2004, a lo estipulado en la Circular No. 021 del 08 de julio de 2022, así como lo manifestado en audiencia de encargos fase 2, se realiza el proceso para cubrir las vacantes en dicho empleo con los servidores que continúan en orden de mérito en la ficha de estudios definitivos a partir de la servidora ubicada en la posición No. 29. Se realizó la audiencia de aceptación del encargo y adjudicación de plazas, con el acta correspondiente, elaboración del acto administrativo y la correspondiente posesión.
Las evidencias se encuentran publicadas en la página de la SDIS en el link: https://www.integracionsocial.gov.co/index.php/gestion/talento-humano
Actividad 6.4: Durante el trimestre octubre a diciembre de 2022, la SDIS realizó el nombramiento en provisionalidad de 6 servidores teniendo en cuenta: cumplimiento a fallo de tutela; como acción afirmativa por condición de especial protección constitucional, así como considerando el empleo que no es susceptible de ofertarse en encargo al personal de carrera de la entidad, toda vez que no existe empleo de menor jerarquía en la planta de la entidad.
Se presenta como evidencia el reporte de planta de los servidores con nombramiento en provisionalidad durante el período.
Con respecto a la actividad 6.5. Se radico el 8 de noviembre de 2022 ante el DASCD versión preliminar inicial del Documento Técnico de Rediseño, documento del cual se recibió respuesta el 17 de noviembre de 2022 con recomendaciones técnicas, de acuerdo a avances en el rediseño se elaboró la segunda versión del documento técnico que incluye la fase diagnostica, análisis interno y externo y propuesta propiamente dicha de rediseño el cual incluye observaciones realizadas por el DASCD. Se presento propuesta de estructura organizacional y modificación de planta de empleos a la secretaria Distrital de Integración social para recibir lineamientos y directrices generales. Así mismo se socializo por parte de la Administración el recibo, transferencia y operación de la estrategia IMG en la SDIS y la necesidad de creación de las instancias de coordinación y gestión internas para su operación a partir de la vigencia 2023.
Se inicia la documentación y estructuración de las fichas de perfiles para los empleos nuevos propuestos a crear en el rediseño organizacional que harán parte integral del acto administrativo (Resolución)., tal como se evidencia en el informe del mes de noviembre de 2022 el cual se adjunta en PDF</t>
  </si>
  <si>
    <t>Formular y hacer seguimiento a la ejeucción del Plan de previsión de recursos humanos</t>
  </si>
  <si>
    <t>Porcentaje de ejecución Plan de Previsión de Recursos Humanos</t>
  </si>
  <si>
    <t>"Durante el periodo se formuló el Plan Estratégico de Talento Humano, el cual a su vez incluye el Plan anual de vacantes y Provisión de Empleo de la vigencia 2022. Este plan fue adoptado oficialmente a través de la Resolución N°182 de 31 de enero de 2022. Lo anterior se puede verificar en los siguientes links:
1. https://www.integracionsocial.gov.co/images/_docs/2022/gestion/220131_Resolucion_0182_de_2022_Plan_Estrategico_de_TH.pdf
2. https://www.integracionsocial.gov.co/images/_docs/2022/gestion/220131_PLAN_DE_VACANTES_Y_PROVISION_DE_EMPLEO_2022.pdf
De acuerdo con lo establecido en el cronograma de actividades, del Plan de Vacantes y provisión de empleo, para este trimestre se encontraban programadas 3 actividades, las cuales fueron cumplidas al 100% así:
6.1. Nombrar los elegibles de la convoctoria distrito IV: Durante el periodo entre Enero a Marzo se realizaron 383 posesiones.
6.2. Hacer uso de las listas de elegibles para las vacantes nuevas: Durante el trimestre se hicieron oficialmente tres solicitudes a la Comisión Nacional del Servicio Civil, para hacer uso de lista de elegibles y cubrir así empleos similares o equivalentes que quedaron en vacancia. Así mismo, Durante el periodo, se realizaron 11 nombramientos producto del uso de lista de elegibles, previa autorización de la CNSC.
7.1. Rediseño Institucional: Se formuló un plan de trabajo con el fin de hacer un diagnóstico y medición de cargas de trabajo en la subdirección para las familias, incluyendo todas las comisarías de familia. a la fecha se ha cumplido con el cronograma de trabajo formulado."</t>
  </si>
  <si>
    <t xml:space="preserve">Durante el primer trimestre de 2022 se formuló el Plan Estratégico de Talento Humano, el cual a su vez incluye el Plan anual de vacantes y Provisión de Empleo de la vigencia 2022. Este plan fue adoptado oficialmente a través de la Resolución N°182 de 31 de enero de 2022. Lo anterior se puede verificar en los siguientes links:
1. https://www.integracionsocial.gov.co/images/_docs/2022/gestion/220131_Resolucion_0182_de_2022_Plan_Estrategico_de_TH.pdf
2. https://www.integracionsocial.gov.co/images/_docs/2022/gestion/220131_PLAN_DE_VACANTES_Y_PROVISION_DE_EMPLEO_2022.pdf
De acuerdo con lo establecido en el cronograma de actividades, del Plan de Vacantes y provisión de empleo, para este trimestre se encontraban programadas 4 actividades, las cuales fueron cumplidas al 100% así:
Actividad 6.1 y 6.2: 21 posesionados por uso de listas convocatoria Distrito 4 y 19 posesionados de la Convocatoria 818 de 2018
La CNSC como respuesta a la solicitud de la SDIS para hacer uso de listas de elegibles, envió oficio con radicado 2022RS111214 del once (11) de octubre de 2022, donde autoriza el uso de lista de elegibles para 4 vacantes del empleo Instructor, Código 313, Grado 14, de la OPEC 137568 de la convocatoria Distrito 4.
Con relación a la convocatoria 818, la SDIS recibió oficio con  2022RS113701 del dieciocho (18) de octubre de 2022, donde autoriza el uso de lista de elegibles para 1 vacante del empleo Profesional Universitario, Código 219, Grado 15, de la OPEC 85087, y para provisión de vacantes de empleos respecto de los cuales la SDIS reportó la derogatoria, autoriza el uso de listas para 3 vacantes del empleo Profesional Universitario, Código 219, Grado 15, de la OPEC 79527 por derogatoria.
De igual manera a través del aplicativo SIMO 4.0, la CNSC realizó autorizaciones para proveer  vacantes con uso de listas como consecuencia de derogatorias o renuncias de los elegibles. 
Así las cosas, en el cuarto trimestre se han posesionado 40 elegibles en virtud de las convocatorias 818 de 2018 y Distrito 4. Se anexa como evidencia el consolidado de los elegibles posesionados y los oficios de la CNSC mencionados.
Actividad 6.3: Realización del proceso de encargos Fase 3 para 191 vacantes temporales del nivel técnico y asistencial. Adicionalmente se proveen por encargo 6 vacantes definitivas del empleo Profesional Universitario, Código 219, Grado 01 por renuncia de servidores a dicho encargo.
La SDIS realizó la fase 3 del proceso de encargos para proveer 191  vacantes temporales del nivel técnico y asistencial, originadas en virtud de la aceptación del encargo del empleo Profesional Universitario, Código 219, Grado 01, en tal sentido, se expidió y divulgó de manera masiva a los/as servidores/as de la entidad la Circular No. 031 del 3 de octubre del 2022 detallando el procedimiento correspondiente. Se elaboró el estudio de requisitos de los servidores que cumplen los criterios, la publicación de estudios definitivos, realización de audiencia de aceptación del encargo y adjudicación de plazas, con el acta correspondiente, divulgación del acto administrativo y posesión. De las 191 vacantes temporales, 68 fueron aceptadas por los servidores, y 121 desiertas como consecuencia de dos renuncias posteriores al encargo del empleo Profesional Universitario  Código 219, Grado 01.
Por otra parte, considerando las seis (6) renuncias presentadas al encargo del empleo Profesional Universitario, Código 219, Grado 01, de la fase 1 y 2 de encargos, y dando cumplimiento a lo ordenado en la Ley 909 de 2004, a lo estipulado en la Circular No. 021 del 08 de julio de 2022, así como lo manifestado en audiencia de encargos fase 2, se realiza el proceso para cubrir las vacantes en dicho empleo con los servidores que continúan en orden de mérito en la ficha de estudios definitivos a partir de la servidora ubicada en la posición No. 29. Se realizó la audiencia de aceptación del encargo y adjudicación de plazas, con el acta correspondiente, elaboración del acto administrativo y la correspondiente posesión. 
Las evidencias se encuentran publicadas en la página de la SDIS en el link: https://www.integracionsocial.gov.co/index.php/gestion/talento-humano
Actividad 6.4: Durante el trimestre octubre a diciembre de 2022, la SDIS realizó el nombramiento en provisionalidad de 6 servidores teniendo en cuenta: cumplimiento a fallo de tutela; como acción afirmativa por condición de especial protección constitucional, así como considerando el empleo que no es susceptible de ofertarse en encargo al personal de carrera de la entidad, toda vez que no existe empleo de menor jerarquía en la planta de la entidad. 
Se presenta como evidencia el reporte de planta de los servidores con nombramiento en provisionalidad durante el período.
Con respecto a la actividad 6.5. Se radico el 8 de noviembre de 2022 ante el DASCD versión preliminar inicial del Documento Técnico de Rediseño, documento del cual se recibió respuesta el 17 de noviembre de 2022 con recomendaciones técnicas, de acuerdo a avances en el rediseño se elaboró la segunda versión del documento técnico que incluye la fase diagnostica, análisis interno y externo y propuesta propiamente dicha de rediseño el cual incluye observaciones realizadas por el DASCD. Se presento propuesta de estructura organizacional y modificación de planta de empleos a la secretaria Distrital de Integración social para recibir lineamientos y directrices generales. Así mismo se socializo por parte de la Administración el recibo, transferencia y operación de la estrategia IMG en la SDIS y la necesidad de creación de las instancias de coordinación y gestión internas para su operación a partir de la vigencia 2023. 
Se inicia la documentación y estructuración de las fichas de perfiles para los empleos nuevos propuestos a crear en el rediseño organizacional que harán parte integral del acto administrativo (Resolución)., tal como se evidencia en el informe del mes de noviembre de 2022 el cual se adjunta en PDF
</t>
  </si>
  <si>
    <t>Formular y hacer seguimiento a la ejecución del Plan de capacitación</t>
  </si>
  <si>
    <t>Porcentaje de ejecución Plan Institucional de Capacitación-PIC</t>
  </si>
  <si>
    <t xml:space="preserve">(N° de actividades ejecutadas en el periodo/N° actividades programadas para el periodo)*100
</t>
  </si>
  <si>
    <t>Durante el primer trimestre del 2022, se construyó, revisó, ajustó,adoptó  y publicó el Plan Institucional de Capacitación para la vigencia 2022. La adopción del plan se dio mediantre Resolución 182 del 31 de enero de 2022. El link de publicación  del plan es el siguiente: https://www.integracionsocial.gov.co/images/_docs/2022/gestion/220131_PLAN_DE_CAPACITACION_2022.pdf
Durante el periodo se ejecutaron las actividades programadas, algunas correspondientes al PIC de la vigencia 2021 y otras propiamente del PIC 2022, así:
PIC 2022: Inducción Institucional a los servidores y servidoras que ingresaron a la entidad, mediante convocatoria Distrito 4, la cual se desarrolló en siete (7) sesiones de cuatro (4) horas cada una, entre el 4 y el 24 de febrero.
PIC 2021: Se realizó la convocatoria, inscripciones e inicio de los diplomados y cursos cortos. Es importante anotar que estos diplomados son de un total de 100 horas de formación.
De todo lo anterior se aporta como evidencia:
Plan Institucional de Capacitación vigencia 2022
Listados de Asistencia Inducción Institucional
Agenda Inducción Institucional
Cronograma ejecución Plan Institucional de Capacitación 2021"</t>
  </si>
  <si>
    <r>
      <t xml:space="preserve">Durante el segundo trimestre del 2022, se continúa con la ejecución de las acciones del Plan Institucional de Capacitación de la vigencia 2021 del cual, a la fecha, se han ejecutados los siguientes temas, de los cuales han participado un total de </t>
    </r>
    <r>
      <rPr>
        <sz val="11"/>
        <rFont val="Arial"/>
        <family val="2"/>
      </rPr>
      <t>883</t>
    </r>
    <r>
      <rPr>
        <sz val="11"/>
        <color rgb="FF000000"/>
        <rFont val="Arial"/>
        <family val="2"/>
      </rPr>
      <t xml:space="preserve"> servidores y servidoras:
Diplomado en Derecho Colectivo y Negociación Colectiva
Diplomado en Nuevo Código General Disciplinario
Diplomado en Gestión Pública
Diplomado en Políticas Públicas
Redacción, ortografía, análisis de informes y comunicación escrita (sintaxis, semántica, síntesis), elaboración de documentos e informes
Programación Neurolingüística
GESTIÓN DOCUMENTAL Y ARCHIVO (Normatividad, tablas de retención documental y políticas de conservación de documentos controlados y no controlados, manejo de archivo electrónico)
Sistema de Oralidad
CONTRATACIÓN ESTATAL (Supervisión y apoyo a la supervisión de contratos, liquidación de contratos)
MARCO NORMATIVO Y POLÍTICO DE LA PRIMERA INFANCIA (Contextualización, la Convención de los Derechos de los Niños, ley de Infancia y Adolescencia, Procesos Especiales en Infancia y
Adolescencia, Sistema de Responsabilidad Penal para Adolescentes, Situación de los Niños en Colombia, Constitución política de Colombia, Prevención y detección de situaciones de abuso sexual infantil
Atención y orientación al ciudadano
Orientación a resultados y Aprendizaje continuo
Toma de decisiones
Herramientas TICS (Manejo de plataformas digitales, conectividad y comunicación virtual (zoom, meet, teams))
Herramientas ofimáticas (Excel)
Es importante anotar, que dadas algunas siuaciones presentadas, se reprogramaron algunas temáticas para el mes de julio, con inicio el día 5 de julio de 2022.
Igualmente, durante este trimestre, se adelantaron las siguientes acciones formativas en ejecución del Plan Institucional de Capacitación 2022:
Inducción Institucional a los servidores y servidoras que ingresaron a la entidad, mediante convocatoria Distrito 4, la cual se desarrolló en tres (3) sesiones de 8 horas, los días mayo 31, junio 1 y 13.
Big - Data - "Introducción a metodologías Big data en proyectos sociales", actividad a cero costo en el marco del Convenio con la Universidad UNIMINUTO</t>
    </r>
    <r>
      <rPr>
        <b/>
        <sz val="11"/>
        <color rgb="FF000000"/>
        <rFont val="Arial"/>
        <family val="2"/>
      </rPr>
      <t xml:space="preserve">
EVIDENCIA APORTADA</t>
    </r>
    <r>
      <rPr>
        <sz val="11"/>
        <color rgb="FF000000"/>
        <rFont val="Arial"/>
        <family val="2"/>
      </rPr>
      <t>:
Listados de Asistencia
Agenda Inducción Institucional junio
Cronograma ejecución Plan Institucional de Capacitación 2021</t>
    </r>
  </si>
  <si>
    <t>Durante el tercer trimestre del 2022, se finalizó, con las siguientes temáticas del Plan Institucional de Capacitación de la vigencia 2021 que se encontraban planeadas para el perido y pendientes por su ejecución:
Pensamiento estratégico, lógico y analítico
Estrategias de abordaje para la población con discapacidad
Trabajo en equipo
HABILIDADES SOCIALES (Empatía, Asertividad, Respeto, Escucha Activa, Negociación, Comunicación y habilidades expresivas, Comprensión, Autocontrol, Manejo de la información y Resolución de conflictos)
Adaptación al cambio
Herramientas TICS (Manejo de plataformas digitales, conectividad y comunicación virtual (zoom, meet, teams))
Herramientas TICS - Manejo de plataformas digitales, conectividad y comunicación virtual (Power Automate)
Herramientas TICS - Manejo de plataformas digitales, conectividad y comunicación virtual (Power BI)
Se estableció el cronograma de ejecución de las actividades del PIC 2022, a ejecutarse durante los meses de octubre, noviembre y diciembre.
De las actividades de este Plan Institucional de Capacitación, durante su periodo de ejecución, participaron en total 1051 servidores y servidoras.
EVIDENCIA APORTADA:
Listados de Asistencia de las actividades del III Trimestre
Cronograma ejecución Plan Institucional de Capacitación 2021
Cronograma ejecución Plan Institucional de Capacitación para 2022</t>
  </si>
  <si>
    <t>Durante el cuarto trimestre del 2022, se adelantaron las siguientes acciones formativas en ejecución del Plan Institucional de Capacitación 2022: 
Inducción Institucional
Diplomado en Derechos Humanos y Políticas Públicas 
Redacción de informes técnicos
Diplomado en Derechos Humanos y Políticas Públicas 
Actualización tributaria (Presupuesto Público, Vigencias futuras, Estatuto Orgánico de Presupuesto, Ley de crecimiento económico, impuestos Nacionales y Distritales, retenciones, nómina electrónica)
Modelos de gestión y planeación estratégica
Congreso Colombiano en Contratación Pública 
Actualización normativa (Ley 1437 de 2011, Ley 1755 de 2015 (contencioso administrativo y derecho de petición)
Seminario de actualización en Derecho Disciplinario - Nuevo Código General Disciplinario y Jurisprudencia Disciplinaria
Formación en Enfoque de género y Enfoque diferencial
Pensamiento crítico
Habilidades comunicativas y manejo del entorno laboral, manejo de información
Resolución y manejo de conflictos
Empleo público
Trabajo en equipo y liderazgo (coaching equipo directivo)
Trabajo en equipo y liderazgo
De las actividades del trimestre participaron un total de 494 servidores y servidoras
Los temas en Congreso Colombiano en Contratación Pública y Seminario de actualización en Derecho Disciplinario - Nuevo Código General Disciplinario y Jurisprudencia Disciplinaria, no cuentan con listados de asistencia, teniendo en cuenta que estas corresponden al pago de cupos en temas de actualización a dependencias contempladas en el PIC, con Universidades (se adjunta carta soporte de pago)
EVIDENCIA APORTADA:
Listados de Asistencia 
Cronograma ejecución Plan Institucional de Capacitación octubre - diciembre 2022</t>
  </si>
  <si>
    <t>Formular y hacer seguimiento a la ejecución del Plan de Bienestar</t>
  </si>
  <si>
    <t>Porcentaje de ejecución Plan de Bienestar</t>
  </si>
  <si>
    <t>Durante el trimestre se formuló, adoptó y publicó el Plan Institucional de Bienestar e Incentivos para la vigencia 2022.  EL plan se adoptó mediante Resolución 182 del 31 de 2022.  El link  de publicación es el siguiente: https://www.integracionsocial.gov.co/images/_docs/2022/gestion/220131_PLAN_DE_BIENESTAR_2022.pdf.
Durante el periodo se ejecutaron las actividades programadas, algunas correspondientes al PIC de la vigencia 2021 y otras propiamente del PIC 2022 (costo cero), así:
PIC 2021:
Olimpiadas: con respecto a las Olimpiadas se inició el proceso de convocatoria con el cual durante el primer trimestre con corte a 31 de marzo, se logró la inscripción de un número de 650 personas de la SDIS.
Talleres de niños: se han llevado a cabo 2 sesiones de Talleres de niños, con las cuales fueron impactados 16 niños y niñas.
Talleres de Coro Danza y Teatro: es importante precisar que dentro de las actividades desarrolladas, fueron de Coro, Danza y Teatro, con un número de 116 personas, no obstante, aún se encuentra pendiente el producto final de dichas sesiones.
PIC 2022:
Actividades gestionadas a cero coste: en el marco de este indicador se llevaron a cabo 13 actividades gestionadas a coste cero entre las cuales se encuentran 4 actividades en el marco de la conmemoración del Día Internacional de la Mujer (3 sesiones de conferncias y una campaña institucional) con las que se impactaron 4.167 personas de la SDIS, 2 actividades dirigidas a pre- pensionados llegando a 101 personas de la SDIS, 3 visitas por parte de compensar brindando asesoría en salud y Caja de Compensación a 30 personas en el Nivel Central; 3 actividades de envío de tarjetas de cumpleaños con las cuales se impactaron 449 a servidores y servidoras SDIS, 1 actividad de bienvenida para los nuevos servidores que ingresaron en el marco del Plan Anual de Bienestar e Incentivos, al cual asistieron 314 personas; y 2 actividades relacionadas con planes estratégicos del área y aprobación del Plan Anual con las cuales se impactó a 1.818 servidores y servidoras.</t>
  </si>
  <si>
    <t>Durante el segundo trimestre  se cumplió con el 100% de las actividades que estaban programadas así: 
1- En el marco del acondicionamiento fisico se realizo una clase de rumba, una de Tai Ch, un de  Taller de Actividad Fisica, una sesión de Runboterapia y una jormada liberada de acondicionamiento fisico
2- El 27 de mayo se realiza la actividad de Arte y Cultura
3- Dentro de las actividades de Empoderamiento femenino, se adelanto  la charla " Diversidad sexual y de genero" y la charla de "Derechos sexuales y reproductivos"
4- Se realia el Taller "Abierto el duelo, un viaje a nuestro interior"
5- Se realiza el taller " Reconectate con tu sentido de vida"
6- Dentro de las actividades formativas se llevo a cabo la Jornada Liberada "Taller proyectos sociales y academicos de transformación"
7- Se adelantan dos tallleres para niños, el primero para niños de 0 a 5 años y el segundo para niños de 6 a 12 años</t>
  </si>
  <si>
    <t>Acorde al cronograma de actividades, para el tercer trimestre del año 2022 (Julio- septiembre) se ejecutaron 16 actividades que llegaron a 2743 servidores (as) y colaboradores(as) de la Secretaría Distrital de Integración Social.
 Las actividades programadas y ejecutadas desarrollan los diversos componentes del Plan Anual de Bienestar e Incentivos (incentivos y estímulos, formativo, cultural, social, deportivo, y recreativo); Para el componente formativo se ejecutaron 13 actividades relacionadas con talleres de formación en habilidades blandas, prevención y autocuidado, para el componente recreativo se ejecutaron 2 actividades relacionadas con esparcimiento y tiempo de calidad en familia , para el componente social se ejecuto 1 actividad. relacionada con feria de servicios en la cual se brinda un espacio para que los servidores y colaboradores de la SDIS,  accedan a ofertas comerciales y de prestación de servicios.
EVIDENCIA APORTADA:
Listados de Asistencia de las actividades del III Trimestre
Cronograma Plan de Bienestar e Incentivos 2022
Acta de modificación Plan de Bienestar e Incentivos</t>
  </si>
  <si>
    <t>Acorde al cronograma de actividades, para el cuarto trimestre del año 2022 (octubre - diciembre) se ejecutaron 14 actividades  que llegaron a 2531 servidores (as) y colaboradores(as) de la Secretaría Distrital de Integración Social.
 Las actividades programadas y ejecutadas desarrollan los diversos componentes del Plan Anual de Bienestar e Incentivos (incentivos y estímulos, formativo, cultural, social, deportivo, y recreativo); Para el componente formativo se ejecutaron 9 actividades relacionadas con talleres de formación en habilidades blandas, prevención, abordaje de temáticas sociales y autocuidado, para el componente recreativo se ejecutaron 3 actividades relacionadas con esparcimiento, infancia y tiempo de calidad en familia , para el componente social se ejecutaron 2 actividades relacionadas con espacios de socialización e integración
EVIDENCIA APORTADA:
Listados de Asistencia de las actividades del IV Trimestre
Cronograma Plan de Bienestar e Incentivos 2022
Acta de modificación Plan de Bienestar e Incentivos</t>
  </si>
  <si>
    <t>Formular y hacer  Seguimiento a la ejecución del Plan de incentivos institucionales</t>
  </si>
  <si>
    <t>Porcentaje de ejecución Plan de Incentivos</t>
  </si>
  <si>
    <t>Se formuló, adoptó y publicó el plan para la vigencia 2022. Su adopción fue mediante la Resolución 182 del 31 de enero de 2022. El link de publicación es el siguiente:
https://www.integracionsocial.gov.co/images/_docs/2022/gestion/220131_PLAN_DE_BIENESTAR_2022.pdf.
Para el periodo, no se tenían actividades programadas en el marco de este plan.</t>
  </si>
  <si>
    <t>Se anexa el cronograma de actividades a ejecutarse en el marco de las actividades del componente de incentivos</t>
  </si>
  <si>
    <t>Acorde al cronograma de actividades, para el tercer trimestre del año 2022 (Julio- septiembre), en el Componente de Incentivos y Estímulos se ejecutaron las actividades programadas. Así, se comunicaron a todos los Servidores y Servidoras Públicas los requisitos legales para obtener incentivos como mejores Servidores y Servidoras Públicas de de Carrera Administrativa y mejores Equipos de Trabajo para la vigencia 2022. A su vez, se adelantó la primera etapa de verificación de requisitos de los Mejores Servidores y Servidoras Públicas vigencia 2022 y se dio inicio a la inscripción de los proyectos de Mejores Equipos de Trabajo. Por otra parte, se inicio la fase de planeación de la conmemoración del Día del Trabajo Decente en Colombia y  del III Concurso de Mejores Prácticas Ambientales en la SDIS 2022.
EVIDENCIA APORTADA:
Cronograma Plan de Bienestar e Incentivos 2022.
Matriz de verificación requisitos de los Mejores Servidores y Servidoras.
Correo divulgación Resolución mejores servidores de carrera y mejores equipos de trabajo para la vigencia 2022.
Correo inscripción selección mejores equipos de trabajo.
Listado de asistencia socialización Resolucion 2015 de 2022.
Resolución 2015 de 2022.
Listado de Inscritos a Mejores Equipos de Trabajo</t>
  </si>
  <si>
    <t>Acorde al cronograma de actividades, para el cuarto trimestre del año 2022 (octubre a diciembre) se ejecutaron 4 actividades (Cierre de Gestión, Encuentro de parejas, Gala de Servidores y Abordaje derechos Sexuales),  en las que se realizaron reconocimientos a un total de  227 servidores (as) de la Secretaría Distrital de Integración Social.
EVIDENCIA APORTADA:
Listados de Asistencia de las actividades del IV Trimestre
Cronograma Plan de Bienestar e Incentivos 2022
Acta de modificación Plan de Bienestar e Incentivos</t>
  </si>
  <si>
    <t>Formular y hacer seguimiento a la ejecución del Plan de seguridad y salud en el trabajo</t>
  </si>
  <si>
    <t>Porcentaje de ejecución Plan de trabajo anual en seguridad y salud en el trabajo</t>
  </si>
  <si>
    <r>
      <t>Durante el periodo se cumplió con el 100% de las actividades que estaban programadas así: Enero 44, Febrero 50 y Marzo 56.
Fue necesario realizar ajustes al plan de trabajo, en cuanto a algunas actividades cuya programación fue necesario ajustarla y proyectarla para otros periodos. Estas decisiones contaron con el aval de la Subdirectora de Gestión y Desarrollo de Talento Humano y como evidencia de esto se anexan actas de las mesas de trabajo en las cuales realizó el anaisis y se estableció el compromiso de ejecución en otros periodos.</t>
    </r>
    <r>
      <rPr>
        <b/>
        <sz val="11"/>
        <rFont val="Arial"/>
        <family val="2"/>
      </rPr>
      <t xml:space="preserve">
Evidencias aportadas:</t>
    </r>
    <r>
      <rPr>
        <sz val="11"/>
        <rFont val="Arial"/>
        <family val="2"/>
      </rPr>
      <t xml:space="preserve">
Archivo excel donde se evidencia el plan de trabajo ejecutado, pestaña 1 actividades.
Soportes de actividades ejecutadas, las cuales se pueden consultar en en la columna H, del archivo anterior
Actas de las actividades reprogramadas. </t>
    </r>
  </si>
  <si>
    <t>Durante el segundo trimestre  se cumplió con el 100% de las actividades que estaban programadas así: abril 49, mayo 45  y junio 49.
Fue necesario realizar ajustes al plan de trabajo en cuanto a algunas actividades, cuya programación fue necesario adecuarlas y proyectarlas para otros periodos. Estas decisiones contaron con el aval de la Subdirectora de Gestión y Desarrollo del Talento Humano y, como evidencia de esto, se anexan actas de las mesas de trabajo, en las cuales realizó el anaisis y se estableció el compromiso de ejecución en otros periodos.
Evidencias aportadas: 
Archivo excel donde se evidencia el plan de trabajo ejecutado, pestaña 1 actividades.
Soportes de actividades ejecutadas, las cuales se pueden consultar en en la columna H, del archivo anterior.
Actas de las actividades reprogramadas.</t>
  </si>
  <si>
    <t>Durante el tercer  trimestre  se cumplió con el 100% de las actividades que estaban programadas así: julio 43, Agosto 41  y Septiembre 48.
Fue necesario realizar ajustes al plan de trabajo en cuanto a algunas actividades, cuya programación fue necesario adecuarlas y proyectarlas para otros periodos. Estas decisiones contaron con el aval de la Subdirectora de Gestión y Desarrollo del Talento Humano y, como evidencia de esto, se anexan actas de las mesas de trabajo, en las cuales realizó el análisis y se estableció el compromiso de ejecución en otros periodos.
Evidencias aportadas:
Archivo excel donde se evidencia el plan de trabajo ejecutado, pestaña 1 actividades.
Soportes de actividades ejecutadas, las cuales se pueden consultar en en la columna H, del archivo anterior.
Actas de las actividades reprogramadas.</t>
  </si>
  <si>
    <t>Durante el cuarto  trimestre  se  programaron 154 actividades de las cuales se ejecutaron 151 cumpliendo con el 98% de las actividades que estaban programadas así: octubre 49, noviembre 58 y diciembre 47
Fue necesario dejar la ejecución de 3 actividades del mes de noviembre   para la vigencia del 2023, las cuales son:
• 'Revisión, actualización y digitalización (en Evidencia Documental) de la Política de Seguridad y objetivos de Seguridad y Salud en el Trabajo, 
• Elaboración de procedimiento para realización de exámenes medico ocupacionales, que incluya la actualización del profesiograma verificando si este insumo permite evidenciar la exposición del trabajador a factores que pongan en riesgo su salud cardiovascular, visual, auditiva, osteomuscular, psicosocial y física en general,
•  'Formulación/revisión y digitalización (en Evidencia Documental) de informe anual de Rendición de Cuentas.)
Evidencias aportadas: 
Archivo Excel donde se evidencia el plan de trabajo ejecutado, pestaña 1 actividades.
Soportes de actividades ejecutadas, las cuales se pueden consultar en en la columna H, del archivo anterior.</t>
  </si>
  <si>
    <t>Realizar la autoeavaluación anual frente al cumplimiento de estándares del SGSST</t>
  </si>
  <si>
    <t>Porcentaje del Cumplimiento de los Estándares de implementación del SGSST</t>
  </si>
  <si>
    <t>Esta meta se encuentra programada para ejecutarse en el mes de diciembre de 2022.</t>
  </si>
  <si>
    <t>Autoevaluación anual del SGSST</t>
  </si>
  <si>
    <t>Verificando la normatividad vigente para seguridad y salud en el trabajo, según el decreto 1072 y la resolución 0312 del 2019, se tienen 60 estándares establecidos en el ciclo PHVA (22 del planear, 30 del hacer, 4 del verificar y 4 del actuar) según la normatividad vigente, los cuales después de verificar evidencias, realizar auditoria interna, y realizar autoevaluación, se logró llevar a cabo el cumplimiento de los 60 estándares , obteniendo como resultado el 100% de cumplimiento para este indicador.</t>
  </si>
  <si>
    <t>Realizar el seguimiento a la implementación de acciones de mejora a Cargo de la SDGDTH</t>
  </si>
  <si>
    <t>Porcentaje del Cumplimiento de las acciones de mejora</t>
  </si>
  <si>
    <t>(N° de acciones de mejora implementadas en el periodo/ N° acciones de mejora programadas para el periodo en los planes de mejoramiento)*100</t>
  </si>
  <si>
    <t xml:space="preserve"> - Herramienta de registro y seguimiento de acciones de mejora
- Soportes que den cuenta de las actividades ejecutadas</t>
  </si>
  <si>
    <t>Para el primer trimestre de la vigencia 2022 no se contaba con acciones de mejora que tuvieran vencimiento. No obstante se realizó seguimiento periódico al interior del área, evaluando el porcentaje de avance de cada acción de mejora y recolectando las evidencias de cada una.
Producto de lo anterior, se realizó un reporte a la Oficina de Control Interno, con avances frente a 11 acciones de mejoramiento.</t>
  </si>
  <si>
    <t>Para el periodo comprendido entre el 01/04/2022 al 30/06/2022 se realizo el cierre de 2 acciones de mejora internas, que tenian vencimiento dentro del periodo y se presentaron avances de 6 aciones cuyo vencimiento esta programado para los meses de octubre y noviembre de 2022. Adicionalmente se solicita el cierre de 6 acciones de mejora externas que contaban con fecha de cierre junio 28 de de 2022. Se adjuntan 2 actas de reunion de cierre en PDF e instrumento acciones de mejora diligenciado.
En total se solicita el cierre de 30 aciones de mejora y se reportan avances de 24 acciones de mejora externas</t>
  </si>
  <si>
    <t>Para el periodo comprendido entre el 01/07/2022 al 30/09/2022 se remitieron soportes para solicitar el cierre de 8 acciones de mejora externas, que tenian vencimiento dentro del periodo.
EVIDENCIA APORTADA:
Dos (2) Correos electronicos remitidos a la Oficina de Control Interno
Dos (2) Formatos de Registro y Control del Plan de mejoramiento diligenciados</t>
  </si>
  <si>
    <t>Para el periodo comprendido entre el 01/010/2022 al 31/12/2022 se remitieron soportes para solicitar el cierre de 9 acciones de mejora internas y 1 acción de mejora externa, que tenían vencimiento dentro del periodo.
EVIDENCIA APORTADA:
Dos (2) actas de reunión de cierre  remitidos a la Oficina de Control Interno
Dos (2) Formatos de Registro y Control del Plan de mejoramiento diligenciados</t>
  </si>
  <si>
    <t>Formular y hacer seguimiento a la ejecución del Plan de Integridad y Buen Gobierno</t>
  </si>
  <si>
    <t>Plan de trabajo Código de Integridad y Buen Gobierno</t>
  </si>
  <si>
    <t>(N° de actividades ejecutadas en el periodo/N° actividades programadas en el periodo)*100</t>
  </si>
  <si>
    <t>En el trimestre se formuló, adoptó y publicó el Plan de Integridad de la vigencia 2022.
El plan se encuentra publicado en el siguiente link: https://www.integracionsocial.gov.co/images/_docs/2022/gestion/PLAN_DE_GESTION_DE_INTEGRIDAD_2022_VF.Firmado.pdf.
En el  trimestre objeto de reporte cumplió con el 100% de las actividades programadas, así:
1) Divulgación convocatoria para ser parte del equipo de gestores de integridad. Se anexa pieza comunicativa. 2) Conformación del equipo de gestores de integridad.A la fecha se cuenta con 221  gestores de integridad.
3) Se realizó la primera socialización de plan de integridad a los gestores se anexa memorando de socialización.
4) Se realizó reunión el 29 de marzo para socializar el plan de integridad. Se anexa presentación usada y listado asistentes.
5) EL 14 de marzo se realizó reunión  del plan de trabajo, se anexa citación y listado de asistencia.</t>
  </si>
  <si>
    <t>En el  trimestre objeto de reporte cumplió con el 100% de las actividades programadas, así:
1. Se realizó la segunda socialización del plan de integridad a Gestores de Integridad.( se anexan evidencias) 
2. Se da inicio al plan de acción del código de integridad en el mes de mayo y se hace la primera socialización del principio#1 y los valores. (se anexan listados de asistencia)
3. Se realiza reunión de socialización  del segundo principio del código de integridad y sus valores (se anexan evidencias).
4. Durante el mes de junio se firma el pacto de integridad por los Directivos y Directivas de la SDIS (se anexa el pacto firmado)
5. Se realiza socialización de conflicto de intereses a Gestores de Integridad 2022.
6. En el mes de junio se realizó la divulgación en l.a página web de los gestores de integridad 2022 ( se anexa listado firmado y aprobado)
7. En el marco de la campaña de conflicto de intereses se realiza divulgación de pieza comunicativa sobre el círculo de conflicto de intereses ( se anexa pieza comunicativa)</t>
  </si>
  <si>
    <t>En el  trimestre objeto de reporte cumplió con el 100% de las actividades programadas, así:
1- Se realiza reunión preparatoria con los gestores de integridad del principio No 3, el interés general prevalece sobre el interés de los particulares. 
Se adjunta listado de asistencia de gestores y gestoras de integridad 7 de julio de 2022
2- Se realiza socialización del principio No 3 durante el mes de julio y se elabora el Informe de gestión de este principio el cual se adjunta en PDF
3- Se elabora pieza comunicativa para la socialización y remite mediante correo electronico en el boletin
4-  Se realiza el agosto 9 de 2022 la socialización del principio No 4 Los bienes públicos son sagrados, se adjunta listado de asistencia de gestores y gestoras que participaron de la jornada.
5- Se elabora pieza comunicativa para la socialización del principio 4 - agosto y septiembre,  se remite mediante correo electronico en el boletin.
6-  Se realiza socialización mediante pieza comunicativa del conflicto de intereses
7- El 13 de septiembre se realiza sensibilización del tema Conflicto de Intereses a los gestores de integridad, se adjunta presentación y listado de asistencia.</t>
  </si>
  <si>
    <t>En el  trimestre objeto de reporte cumplió con el 100% de las actividades programadas, así:
1. Reunión preparatoria con gestores de integridad y buen gobierno, con el fin de trabajar acciones a realizar en unidades operativas y subdirecciones en lo correspondiente a conflicto de intereses. 
2. Se promueve a través del boletín interno de manera masiva pieza comunicativa sobre conflicto de intereses. 
3. Encuentro de Gestores de integridad - octubre 20 de
 2022. este encuentro tuvo como objetivo realizar un balance del rol como gestores e implementar un nuevo valor dentro del código de integridad. 
4. Informe de Gestión sobre lo realizado por los gestores y gestoras de integridad durante los meses de octubre y noviembre de 2022. 
5. Informe comparativo encuesta de apropiación Integridad y buen gobierno 2022. 
Como evidencia se adjunta:
1. Asistencia reunión preparatoria tema conflicto de intereses.(5 de octubre de 2022)
1.1 Presentación realizada en reunión.
2. Pieza comunicativa conflicto de intereses (boletín interno) 
3. Acta encuentro de gestores y gestoras de integridad y buen gobierno. 
3.1 Asistencia del encuentro(20 de octubre de 2022)
4. Informe de gestión conflicto de intereses. ( noviembre 30 2022)
5. Informe comparativo encuesta de apropiación integridad y buen gobierno 2022 (diciembre 2022)</t>
  </si>
  <si>
    <t>Cumplir con las metas del Plan de Ajuste y Sostenibilidad MIPG para las Políticas Talento Humano e Integridad</t>
  </si>
  <si>
    <t>Nivel porcentual de cumplimiento de las metas del Plan de Ajuste y Sostenibilidad MIPG Políticas: Talento Humano e Integridad</t>
  </si>
  <si>
    <t>El Plan de ajuste y sostenibilidad MIPG reporta un 100% para la política de integridad</t>
  </si>
  <si>
    <t>El plan de ajuste y sostenibilidad MIPG reporta el siguiente cumplimiento: Talento Humano 100%</t>
  </si>
  <si>
    <t>El plan de ajuste y sostenibilidad MIPG reporta el siguiente cumplimiento: Talento Humano 100%, Integridad 100%</t>
  </si>
  <si>
    <t>40.Diseñar e implementar una  solución tecnológica que facilite  la participación de la ciudadanía en la gestión y oferta  institucional</t>
  </si>
  <si>
    <t>Tecnología de la información</t>
  </si>
  <si>
    <t xml:space="preserve">Inversión </t>
  </si>
  <si>
    <t>1- Modernizar y mantener el 100% de la Infraestructura tecnológica de la Entidad para garantizar la operación de la Secretaría</t>
  </si>
  <si>
    <t>Plan Estratégico de Tecnologías de la Información y las Comunicaciones – PETI.</t>
  </si>
  <si>
    <t>Elaborar el documento de Plan Estratégico de Tecnologías de la Información 2021-2024 actualizado a la vigencia 2023</t>
  </si>
  <si>
    <t>Avance en la actualización y aprobacion del Plan Estratégico de Tecnologías de la Información a la vigencia 2023</t>
  </si>
  <si>
    <t>(Documentos de Plan Estratégico de Tecnologías de la Información actualizados a la vigencia 2023 aprobados por el Comité Institucional de Gestión y Desempeño/ Documentos de Plan Estratégico de Tecnologías de la Información programados para actualizar)*100</t>
  </si>
  <si>
    <t xml:space="preserve">Documento preliminar de actualización Plan Estratégico de Tecnologías de la Información </t>
  </si>
  <si>
    <t xml:space="preserve">Se presenta un documento preliminar de actualización Plan Estratégico de Tecnologías de la Información </t>
  </si>
  <si>
    <t>Documento final Plan Estratégico de Tecnologías de la Información actualizado y aprobado por el Comité Institucional de Gestión y Desempeño</t>
  </si>
  <si>
    <t>Se presenta el documento final Plan Estratégico de Tecnologías de la Información 2021-2024 actualizado a la vigencia 2023, el cual fue aprobado por el Comité Institucional de Gestión y Desempeño en sesion del 28 de diciembre de 2022 (se adjunta acta en proceso de firmas). el Plan se encuentra aprobado en el sistema de gestion bajo el codigo PLA-TI-006 mediante memorando  I2022044737 del 29/12/2022</t>
  </si>
  <si>
    <t xml:space="preserve">Realizar el informe de seguimiento a la implementación del Plan Estratégico de Tecnologías de la Información </t>
  </si>
  <si>
    <t>Informe de seguimiento a la implementacion del Plan Estratégico de Tecnologías de la Información elaborados</t>
  </si>
  <si>
    <t xml:space="preserve">Numero de informes de Seguimiento a la implementacion del Plan Estratégico de Tecnologías de la Información </t>
  </si>
  <si>
    <t xml:space="preserve">Informe de seguimiento a la implementacion delPlan Estratégico de Tecnologías de la Información </t>
  </si>
  <si>
    <t>Durante el primer trimestre de 2022 se elaboró el primer Informe de seguimiento al Plan Estratégico de Tecnologías de la Información PETI de las actividades 2022, el cual contiene el avance  de iniciativas de transformación y de operación que plantean aspectos estratégicos que permiten apoyar la armonización de los procesos misionales y de tecnología, y a su vez,  se muestran los valores de indicadores definidos en el PETI.</t>
  </si>
  <si>
    <t>Durante el segundo trimestre de 2022 se elaboró el segundo  Informe de seguimiento al Plan Estratégico de Tecnologías de la Información PETI de las actividades 2022, el cual contiene el avance  de iniciativas de transformación y de operación que plantean aspectos estratégicos que permiten apoyar la armonización de los procesos misionales y de tecnología, y a su vez,  se muestran los valores de indicadores definidos en el PETI.</t>
  </si>
  <si>
    <t>Durante el tercer trimestre de 2022 se elaboró el tercer Informe de seguimiento al Plan Estratégico de Tecnologías de la Información PETI de las actividades 2022, el cual contiene el avance de iniciativas de transformación y de operación que plantean aspectos estratégicos que permiten apoyar la armonización de los procesos misionales y de tecnología, y a su vez,  se muestran los valores de indicadores definidos en el PETI.</t>
  </si>
  <si>
    <t>Durante el cuarto trimestre de 2022, se elaboró el cuarto Informe de seguimiento al Plan Estratégico de Tecnologías de la Información PETI de las actividades 2022, el cual contiene el avance de iniciativas de transformación y de operación que plantean aspectos estratégicos que permiten apoyar la armonización de los procesos misionales y de tecnología, y a su vez,  se muestran los valores de indicadores definidos en el PETI.</t>
  </si>
  <si>
    <t xml:space="preserve">Elaborar el documento del ejercicio de analítica descriptiva de la actualización del sistema de información misional </t>
  </si>
  <si>
    <t xml:space="preserve">Avance en la elaboración del ejercicio de analítica descriptiva de la actualización del sistema de información misional </t>
  </si>
  <si>
    <t xml:space="preserve">(Documentos del ejercicio de analítica descriptiva de la actualizacion del sistema de informacion misional elaborados/ Documentos del ejercicio de analítica descriptiva de la actualizacion del sistema de informacion misional programados)*100 </t>
  </si>
  <si>
    <t xml:space="preserve">Documento final del ejercicio de analítica descriptiva de la actualizacion del sistema de informacion misional </t>
  </si>
  <si>
    <t>Se presenta el documento final del ejercicio de analítica descriptiva de la actualización del sistema de informacion misional.</t>
  </si>
  <si>
    <t>Gestión Documental</t>
  </si>
  <si>
    <t>Plan de Preservación Digital a Largo Plazo</t>
  </si>
  <si>
    <t xml:space="preserve">Elaborar el reporte de seguimiento a la implementación del Plan de Preservación digital a largo plazo </t>
  </si>
  <si>
    <t>Reportes de seguimiento a la implementacion del  Plan de Preservacion Digital elaborados</t>
  </si>
  <si>
    <t>Numero de reportes de Seguimiento a la implementacion del Plan de Preservación Digital</t>
  </si>
  <si>
    <t>reporte de seguimiento a la implementacion del Plan de Preservación Digital corte primer trimestre 2022</t>
  </si>
  <si>
    <t>Durante el primer trimestre de 2022 se elaboró el primer Informe de seguimiento a la ejecución del Plan de Preservación Digital a Largo Plazo de la Secretaría Distrital de Integración Social, el cual contiene el estado de las actividades propuestas en el cronograma para las 13 estrategias definidas y conclusiones a tener en cuenta para próximos seguimientos.</t>
  </si>
  <si>
    <t>reporte de seguimiento a la implementacion del Plan de Preservación Digital corte segundo trimestre 2022</t>
  </si>
  <si>
    <t>Durante el segundo trimestre de 2022 se elaboró el segundo Informe de seguimiento a la ejecución del Plan de Preservación Digital a Largo Plazo de la Secretaría Distrital de Integración Social, el cual contiene el estado de las actividades propuestas en el cronograma para las 13 estrategias definidas y conclusiones a tener en cuenta para próximos seguimientos.</t>
  </si>
  <si>
    <t>reporte de seguimiento a la implementacion del Plan de Preservación Digital corte tercer  trimestre 2022</t>
  </si>
  <si>
    <t>Durante el tercer trimestre de 2022 se elaboró el tercer Informe de seguimiento a la ejecución del Plan de Preservación Digital a Largo Plazo de la Secretaría Distrital de Integración Social, el cual contiene el estado de las actividades propuestas en el cronograma para las 13 estrategias definidas y conclusiones a tener en cuenta para próximos seguimientos.</t>
  </si>
  <si>
    <t>reporte de seguimiento a la implementacion del Plan de Preservación Digital corte cuarto trimestre 2022</t>
  </si>
  <si>
    <t>Durante el cuarto trimestre de 2022, se elaboró el cuarto Informe de seguimiento a la ejecución del Plan de Preservación Digital a Largo Plazo de la Secretaría Distrital de Integración Social, el cual contiene el estado de las actividades propuestas en el cronograma para las 13 estrategias definidas.</t>
  </si>
  <si>
    <t>Gestión de soporte y mantenimiento tecnológico.</t>
  </si>
  <si>
    <t>1. Modernizar y mantener el 100% de la Infraestructura tecnológica de la Entidad para garantizar la operación de la Secretaría
2. Actualizar y mantener el 100% de los sistemas de información de la entidad para contar con información accesible, confiable y oportuna</t>
  </si>
  <si>
    <t>Elaborar los reportes mensuales de disponibilidad de la infraestructura tecnológica, sistemas de información y servicios conexos.</t>
  </si>
  <si>
    <t>Reportes mensuales de disponibilidad de la infraestructura tecnológica, sistemas de información y servicios conexos elaborados</t>
  </si>
  <si>
    <t>Número de reportes mensuales de disponibilidad de la infraestructura tecnológica, sistemas de información y servicios conexos</t>
  </si>
  <si>
    <t>reportes mensuales de disponibilidad de la infraestructura tecnológica, sistemas de información y servicios conexos a primer trimestre 2022</t>
  </si>
  <si>
    <t xml:space="preserve">Durante el primer trimestre de 2022 se elaboraron los reportes mensuales de disponibilidad, donde se evidencian los porcentajes de disponibilidad de los servicios de infraestructura tecnológicos,sistemas de información y servicios conexos, de los meses de enero, febrero y marzo 2022.
</t>
  </si>
  <si>
    <t>reportes mensuales de disponibilidad de la infraestructura tecnológica, sistemas de información y servicios conexos a segundo trimestre 2022</t>
  </si>
  <si>
    <t>Durante el segundo trimestre de 2022 se elaboraron los reportes mensuales de disponibilidad, donde se evidencian los porcentajes de disponibilidad de los servicios de infraestructura tecnológicos,sistemas de información y servicios conexos, de los meses de abril, mayo y junio 2022.</t>
  </si>
  <si>
    <t>reportes mensuales de disponibilidad de la infraestructura tecnológica, sistemas de información y servicios conexos a tercer trimestre 2022</t>
  </si>
  <si>
    <t>Durante el tercer trimestre de 2022 se elaboraron los reportes mensuales de disponibilidad, donde se evidencian los porcentajes de disponibilidad de los servicios de infraestructura tecnológicos,sistemas de información y servicios conexos, de los meses de julio, agosto y septiembre 2022.</t>
  </si>
  <si>
    <t>reportes mensuales de disponibilidad de la infraestructura tecnológica, sistemas de información y servicios conexos a cuarto trimestre 2022</t>
  </si>
  <si>
    <t>Durante el cuarto trimestre de 2022, se elaboraron los reportes mensuales de disponibilidad, donde se evidencian los porcentajes de disponibilidad de los servicios de infraestructura tecnológicos,sistemas de información y servicios conexos, de los meses de octubre, noviembre y diciembre 2022.</t>
  </si>
  <si>
    <t>Elaborar el reporte con las acciones realizadas para la gestión de los casos creados en la Mesa de Servicio Tecnológica.</t>
  </si>
  <si>
    <t>Reportes con las acciones realizadas para la gestión de los casos creados en la Mesa de Servicio Tecnológica elaborados</t>
  </si>
  <si>
    <t>Numero de reportes con las acciones realizadas para la gestión de los casos creados en la Mesa de Servicio Tecnológica</t>
  </si>
  <si>
    <t>reporte con las acciones realizadas para la gestión de los casos creados en la Mesa de Servicio Tecnológica corte primer trimestre 2022</t>
  </si>
  <si>
    <t>durante el primer trimestre de 2022 se elaboró el primer informe de las acciones realizadas para la gestión de los casos creados en la Mesa de Servicio Tecnológica con el objetivo de mejorar la prestación del servicio de la mesa como centro inicial de la gestion de los servicios de TI.</t>
  </si>
  <si>
    <t>reporte con las acciones realizadas para la gestión de los casos creados en la Mesa de Servicio Tecnológica corte segundo trimestre 2022</t>
  </si>
  <si>
    <t>Durante el segundo trimestre de 2022 se elaboró el segundo informe de las acciones realizadas para la gestión de los casos creados en la Mesa de Servicio Tecnológica con el objetivo de mejorar la prestación del servicio de la mesa como centro inicial de la gestion de los servicios de TI.</t>
  </si>
  <si>
    <t>reporte con las acciones realizadas para la gestión de los casos creados en la Mesa de Servicio Tecnológica corte tercer trimestre 2022</t>
  </si>
  <si>
    <t>Durante el tercer trimestre de 2022 se elaboró el tercer informe de las acciones realizadas para la gestión de los casos creados en la Mesa de Servicio Tecnológica con el objetivo de mejorar la prestación del servicio de la mesa como centro inicial de la gestion de los servicios de TI.</t>
  </si>
  <si>
    <t>reporte con las acciones realizadas para la gestión de los casos creados en la Mesa de Servicio Tecnológica corte cuarto trimestre 2022</t>
  </si>
  <si>
    <t>Durante el cuarto trimestre de 2022, se elaboró el cuarto informe de las acciones realizadas para la gestión de los casos creados en la Mesa de Servicio Tecnológica con el objetivo de mejorar la prestación del servicio de la mesa como centro inicial de la gestion de los servicios de TI.</t>
  </si>
  <si>
    <t>Seguridad Digital</t>
  </si>
  <si>
    <t>Plan de Tratamiento de Riesgo de Seguridad Digital</t>
  </si>
  <si>
    <t>Implementar el Plan de Tratamiento de Riesgo de Seguridad Digital en la vigencia</t>
  </si>
  <si>
    <t>constante</t>
  </si>
  <si>
    <t xml:space="preserve">Porcentaje de avance en la implementacion del Plan de Tratamiento de Riesgo de Seguridad Digital </t>
  </si>
  <si>
    <t>(Número de actividades del Plan de Tratamiento de Riesgo de Seguridad Digital ejecutadas / Numero de actividades del Plan de Tratamiento de Riesgo de Seguridad Digital programadas) *100</t>
  </si>
  <si>
    <t>Informe de implementacion del Plan de Tratamiento de Riesgo de Seguridad Digital</t>
  </si>
  <si>
    <t>Durante el primer trimestre de 2022, se programaron 9 actividades en el Plan de Tratamiento de Riesgos de Seguridad Digital, las cuales fueron ejecutadas en su totalidad con base en la mejora continua y el cumplimiento de la “Guía para la administración del riesgo y el diseño de controles en entidades públicas”</t>
  </si>
  <si>
    <t>Durante el segundo trimestre de 2022, se programaron 4 actividades en el Plan de Tratamiento de Riesgos de Seguridad Digital, las cuales fueron ejecutadas en su totalidad con base en la mejora continua y el cumplimiento de la “Guía para la administración del riesgo y el diseño de controles en entidades públicas”</t>
  </si>
  <si>
    <t>Durante el tercer trimestre de 2022, se programaron las actividades en el Plan de Tratamiento de Riesgos de Seguridad Digital, las cuales fueron ejecutadas en su totalidad con base en la mejora continua y el cumplimiento de la “Guía para la administración del riesgo y el diseño de controles en entidades públicas”</t>
  </si>
  <si>
    <t>Durante el cuarto trimestre de 2022, se programaron las actividades en el Plan de Tratamiento de Riesgos de Seguridad Digital, las cuales fueron ejecutadas en su totalidad con base en la mejora continua y el cumplimiento de la “Guía para la administración del riesgo y el diseño de controles en entidades públicas”</t>
  </si>
  <si>
    <t>Plan de Seguridad y Privacidad de la Información</t>
  </si>
  <si>
    <t xml:space="preserve">Elaborar el reporte de seguimiento a la implementación del Plan de Seguridad y Privacidad de la Información </t>
  </si>
  <si>
    <t>Reportes de seguimiento a la implementacion del Plan de Seguridad y Privacidad de la Información elaborados</t>
  </si>
  <si>
    <t xml:space="preserve">Número de reportes de seguimiento a la implementacion del Plan de Seguridad y Privacidad de la Información </t>
  </si>
  <si>
    <t>reporte de seguimiento a la implementacion del Plan de Seguridad y Privacidad de la Información corte primer trimestre 2022</t>
  </si>
  <si>
    <t>Durante el primer trimestre de 2022 se elaboró el Informe de seguimiento al Plan de Seguridad y Privacidad de la Informacion, en el cual se reporta el seguimiento  al fortalecimiento del sistema de gestión de seguridad y privacidad de la información, alineado con la norma ISO/IEC 27001:2013. Durante el primer trimestre se realiza la actualización del plan de implementación para la vigencia, y el seguimiento detalla los entregables que sustentan las fases de implementación del SGSI de acuerdo con el cronograma establecido.</t>
  </si>
  <si>
    <t>reporte de seguimiento a la implementacion del Plan de Seguridad y Privacidad de la Información corte segundo  trimestre 2022</t>
  </si>
  <si>
    <t>Durante el segundo trimestre de 2022, se elaboró el Informe de seguimiento al Plan de Seguridad y Privacidad de la Información, en el cual se reporta el seguimiento al fortalecimiento del sistema de gestión de seguridad y privacidad de la información, alineado con la norma ISO/IEC 27001:2013. Este se compone de 24 tareas programadas y se tiene un porcentaje de ejecución del 67.71% y sin alertas frente al cumplimiento y cronograma establecido.</t>
  </si>
  <si>
    <t>reporte de seguimiento a la implementacion del Plan de Seguridad y Privacidad de la Información corte tercer  trimestre 2022</t>
  </si>
  <si>
    <t>Durante el tercer trimestre de 2022, se elaboró el Informe de seguimiento al Plan de Seguridad y Privacidad de la Información, en el cual se reporta el seguimiento al fortalecimiento del sistema de gestión de seguridad y privacidad de la información, alineado con la norma ISO/IEC 27001:2013. Este se compone de 24 tareas programadas y se tiene un porcentaje de ejecución del 75% y sin alertas frente al cumplimiento y cronograma establecido.</t>
  </si>
  <si>
    <t>reporte de seguimiento a la implementacion del Plan de Seguridad y Privacidad de la Información corte cuarto trimestre 2022</t>
  </si>
  <si>
    <t>Durante el cuarto trimestre de 2022, se elaboró el Informe de seguimiento al Plan de Seguridad y Privacidad de la Información, en el cual se reporta el seguimiento al fortalecimiento del sistema de gestión de seguridad y privacidad de la información, alineado con la norma ISO/IEC 27001:2013. Este se compone de 24 tareas programadas y se tiene un porcentaje de ejecución del 100% y sin alertas frente al cumplimiento y cronograma establecido.</t>
  </si>
  <si>
    <t>1 y 2</t>
  </si>
  <si>
    <t>Implementar el Plan de mantenimiento preventivo y evolutivo de la infraestructura y servicios Tecnológicos en la vigencia</t>
  </si>
  <si>
    <t>Porcentaje de avance en la implementacion del Plan de mantenimiento preventivo y evolutivo de la infraestructura y servicios Tecnológicos</t>
  </si>
  <si>
    <t>(Número de actividades del Plan de mantenimiento preventivo y evolutivo de la infraestructura y servicios Tecnológicos ejecutadas / Numero de actividades del Plan de mantenimiento preventivo y evolutivo de la infraestructura y servicios Tecnológicos programadas) *100</t>
  </si>
  <si>
    <t>30/12/2022</t>
  </si>
  <si>
    <t>Plan de mantenimiento preventivo y evolutivo de la infraestructura y Servicios Tecnológicos elaborado</t>
  </si>
  <si>
    <t>Durante el segundo trimestre se elaboró el plan de mantenimiento de infraestructura el cual inicia con la identificación de los activos tecnológicos; la planeación de las actividades de mantenimiento preventivo y la identificación de la necesidad de mantenimiento correctivo que pudieran presentarse; la ejecución del plan; el seguimiento y monitoreo de las actividades ejecutadas.</t>
  </si>
  <si>
    <t xml:space="preserve">Informe de implementacion del Plan de mantenimiento preventivo y evolutivo de la infraestructura y servicios Tecnológicos </t>
  </si>
  <si>
    <t xml:space="preserve">Durante el cuarto trimestre de 2022, se elaboró el Informe de implementacion del Plan de mantenimiento preventivo y evolutivo de la infraestructura y servicios Tecnológicos </t>
  </si>
  <si>
    <t>Cumplir con las metas del Plan de Ajuste y Sostenibilidad MIPG: Políticas Gobierno Digital y Seguridad Digital</t>
  </si>
  <si>
    <t>porcentaje de cumplimiento de las metas del Plan de Ajuste y Sostenibilidad MIPG Políticas: Gobierno Digital y Seguridad Digital de acuerdo con lo programado con corte al periodo reportado</t>
  </si>
  <si>
    <t>El Plan de Ajuste y Sostenibilidad MIPG, reporta un avance del 100% para la política de gobierno digital y un 0% para la política de seguridad digital</t>
  </si>
  <si>
    <t>El plan de ajuste y sostenibilidad MIPG reporta el siguiente cumplimiento: Gobierno Digital 100% y Seguridad Digital 100%</t>
  </si>
  <si>
    <t>El plan de ajuste y sostenibilidad MIPG reporta el siguiente cumplimiento: Gobierno Digital 100% y el producto programado para la política de Seguridad Digital se cumplió al 100% para la vigencia en el trimestre anterior.</t>
  </si>
  <si>
    <t>El plan de ajuste y sostenibilidad MIPG reporta el siguiente cumplimiento: Gobierno Digital 100%</t>
  </si>
  <si>
    <t>14.Beneficiar a 15.000 mujeres  gestantes, lactantes y niños menores de 2 años con servicios  nutricionales, con énfasis en los  mil días de oportunidades para la  vida. y coordinar junto con la Secretaría de Salud la busqueda activa de niños niñas  en ri</t>
  </si>
  <si>
    <t>Elaborar el reporte trimestral de valoración de casos referenciados por Secretaría de Salud de niños y niñas con desnutrición y efectivamente contactados por SDIS</t>
  </si>
  <si>
    <t>Reportes de valoración de casos referenciados por la Secretaría de Salud y valorados por SDIS</t>
  </si>
  <si>
    <t>(Reportes de valoración de casos referenciados por la Secretaría de Salud elaborados / Reportes de valoración programados )*100</t>
  </si>
  <si>
    <t>Reporte trimestral de valoración de casos referenciados por la Secretaría de Salud y valorados por SDIS</t>
  </si>
  <si>
    <t>En el periodo comprendido entre 1 de enero a 31 de marzo de 2022 la Secretaria Distrital de salud a partir de la notificación realizada remitio base de datos de niños y niñas con riesgo de desnutrición, se programo y contacto para tamizaje 5258 casos de los cuales se tamizo efectivamente a los 5258</t>
  </si>
  <si>
    <t>En el periodo comprendido entre el 1 de abril a 30 de junio de 2022, la Secreteria Distrital de Salud a partir de la notificación realizada, remitió base de datos de niños y niñas  con riesgo de desnutrición, con los cuales se programó y contactó para tamizaje de 1961 casos, de los cuales se tamizaron efectivamente los 1961.</t>
  </si>
  <si>
    <t>En el periodo comprendido entre 1 de julio a 30 de septiembre de 2022 no fue posible  tamizar efectivamente ningun niño remitido por la Secretaria Distrital de Salud debido a que el envio de la base por parte de esta entidad  fue el dia 20 de septiembre de 2022.  A partir de la notificación realizada en el periodo por parte de la Secretaria de Salud se recibio base de datos de niños y niñas con riesgo de desnutrición  con  3871  registros de casos que seran tamizados en el ultimo trimestre del año.</t>
  </si>
  <si>
    <t>En el periodo comprendido entre 1 de octubre a 31 de diciembre de 2022  la Secretaria Distrital de salud a partir de la notificación realizada en el periodo de julio a diciembre, remitio base de datos de niños y niñas con desnutrición aguda con 817 registros de casos. De los 817 casos, 220 tuvieron contacto fallido; de los 597 casos con los cuales fue posible el contacto, se convocó a las subdirecciones tecnicas para toma de peso y talla, de los cuales asistieron al tamizaje efectivo 490 niñas y niños.</t>
  </si>
  <si>
    <t>Subsanado por el área. Se recomienda incluir la trazabilidad de quien elabora y aprueba</t>
  </si>
  <si>
    <t>Meta cumplida al 75%</t>
  </si>
  <si>
    <t>Rezago en cumplimiento de la programación del III trimestre en relación con el reporte trimestral de valoración de casos referenciados por la Secretaría de Salud y valorados por SDIS</t>
  </si>
  <si>
    <t>Elaborar y actualizar las minutas para los diferentes servicios de apoyo alimentario de la entidad</t>
  </si>
  <si>
    <t>Minutas de servicio de apoyo alimentario actualizadas</t>
  </si>
  <si>
    <t>Número de minutas elaboradas y/o actualizadas/Numero de minutas programadas a actualizar en la vigencia</t>
  </si>
  <si>
    <t>Reporte trimestral de las minutas actualizadas
Minutas de servicio de apoyo alimentario actualizadas.</t>
  </si>
  <si>
    <t>Para el primer trimestre 2022 se actualizó un mayor número de minutas a las programadas, teniendo en cuenta los procesos contractuales que se adelantaron. Las minutas actualizadas corresponden a los siguientes apoyos alimentarios con análisis nutricional TAC2018:
- Bonos infancia 
Bono niños circulos familiares o camino a tu hogar- 120 mil- 35%  
Bono mujeres gestantes o lactantes hasta 6 meses- 100 mil-30% 
Bono un niño circulos familiares o camino a tu hojgar- 120 mil-35%/
Bono de Gestantes camino a tu hogar-100 mil-30%.
- Bonos de discapacidad:
 Bono por 180 mil 
- Bonos vejez: 
Bonos para mujeres y hombres mayores de 60 años con nivel de inseguridad alimentaria:
1. Leve: 80 mil. aporte 30%
2. Moderada 100 mil aporte 40%
3. Severa 160 mil aporte 55%
- Bono multicolor:
Bono para 1 adulto - $150 mil para 30 dias
- Bono emergencia:
Bono para 1 adulto - $150 mil para 30 dias
- Bonos canjeables por alimentos- Proyecto 7745: 
Bono A 1 persona- 100 mil
Bono B 2 a 3 personas- 200 mil
Bono C  4 a 6 personas-300 mil
Bono D  7 a 9 personas- 400 mil
Bono de contingencia (comedores)- 120 mil</t>
  </si>
  <si>
    <t>Reporte trimestral de las minutas actualizadas.
Minutas de servicio de apoyo alimentario actualizadas.</t>
  </si>
  <si>
    <t>En el segundo trimestre del 2022 el equipo de planificación alimentaria de la Subdirección de Nutrición realizó el diseño de las minutas relacionadas apoyo alimentario de emergencia para Comunidad Embera.
Acorde con lo anterior, el equipo de planificación alimentaria diseña un ciclo de menú para 10 días de rotación, incluyendo los grupos de alimentos de la Guías Alimentarias Basada en Alimentos para la Población colombiana GABA – ICBF, el análisis de prácticas culturales de consumo alimentario para comunidad Embera, precio de los alimentos, disponibilidad de alimentos en el mercado local, entre otros factores que permiten viabilizar esta modalidad atención de apoyo alimentario en emergencia. Una vez definido el ciclo de menús con sus preparaciones se procede a realizar el cálculo de los ingredientes con peso bruto y peso neto para dos grupos poblacionales  (9 a 13 años y 18 a  59 años), esto  debido a  que la Secretaria de Gobierno no cuenta  con información actualizada sobre censo poblacional comunidad Embera, se define estos dos grupos de edad con el propósito de distribuir los alimentos en los integrantes de las familias constituidas. Se solicita reprogramación de este indicador teniendo en cuenta que en el primer trimestre se sobreejecutó lo programado.</t>
  </si>
  <si>
    <t>2,7%</t>
  </si>
  <si>
    <t>Durante este trimestre, se realiza actualización de la minuta de alimentos (minuta patrón, ciclo de menús y análisis de aporte nutricional), correspondiente al servicio social: comunidad de cuidado perteneciente a la Subdirección para la Vejéz. Para este proceso se realizaron mesas de trabajo con los profesionales en nutrición de la Subdirección técnica de Vejéz, con el fin de realizar ajuste de acuerdo a la aceptación o rechazo de las preparaciones y porciones por parte de los beneficiarios. Asi mismo, se realiza análisis de aporte nutricional con base en la Tabla de Composición de Alimentos Colombianos-TCAC-.2018.</t>
  </si>
  <si>
    <t>Se recomienda validar el porcentaje del avance cuantitativo registrado teniendo en cuenta que se programó el 7,5% para el trimestre. En ese sentido, si se cumplió al 2,7% se recomienda registrar el motivo del retraso.</t>
  </si>
  <si>
    <t>Se elaboraron / actualizaron 14 minutas de alimentos, las cuales se listan a continuación:
- Minuta patrón para la atención de población afectada en el marco de de la declaratoria de Ola invernal en el Distrito: 1 minuta patrón.
- Unidad de redención (Bonos) Subdirección para la Vejez: Analisis de aporte nutricional.
- Menús especiales para fin de año: Analisis de aporte nutricional y minuta patrón.
- Minuta paquete alimentario Centros día. Subdirección para la Vejez
- Minuta comedores Comunitarios: Análisis del aporte nutricional para 5 grupos de edad. (1 a 2 años. 3 a 5 años. 6 a 8 años. 9 a 13 años. Mayores de 14 años). Ciclo de menús. 
- Canastas Cabildos indigenas: Ambika Pijao, Inga, Kichwa, Muisca Suba, Muisca Bosa.</t>
  </si>
  <si>
    <t>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t>
  </si>
  <si>
    <t>Actualizar la Base de datos de predios</t>
  </si>
  <si>
    <t>Base de datos de predios actualizada</t>
  </si>
  <si>
    <t>1 Base de datos de predios actualizada</t>
  </si>
  <si>
    <t>Se remite la base de datos de predios administrados por la SDIS, con corte de marzo de 2022</t>
  </si>
  <si>
    <t>Se remite la base de datos de predios administrados por la SDIS, con corte de junio de 2022</t>
  </si>
  <si>
    <t>Se remite la base de datos de predios administrados por la Entidad, actualizada con corte del mes de septiembre de la presente vigencia</t>
  </si>
  <si>
    <t>Elaborar el informe ejecutivo de Conceptos de Gestión Predial e infraestructura</t>
  </si>
  <si>
    <t>Informe ejecutivo de Conceptos de gestión predial e infraestructura</t>
  </si>
  <si>
    <t>4 Informes ejecutivos de conceptos de Gestión Predial e infraestructura</t>
  </si>
  <si>
    <t>Informe ejecutivo de conceptos de Gestión Predial e infraestructura</t>
  </si>
  <si>
    <t xml:space="preserve">Se remite informe cualitativo del avance de la atención a la solicitud de emisión de conceptos técnicos </t>
  </si>
  <si>
    <t>Se remite informe cualitativo del avance de la atención a la solicitud de emisión de conceptos técnicos con corte del mes de junio</t>
  </si>
  <si>
    <t>Se remite el informe ejecutivo del tercer trimestre de la presente vigencia, que contiene información de avance a la ejecución de los conceptos técnicos emitidos con respecto a los conceptos técnicos solicitados, evidenciando un avance del 98% para el periodo</t>
  </si>
  <si>
    <t>7756 - Compromiso Social por la Diversidad en Bogotá</t>
  </si>
  <si>
    <t>Brindar atención a 16.000 personas de los sectores LGBTI, sus familias y redes de apoyo desde los servicios sociales de la Subdirección para Asuntos LGBTI y la estrategia territorial integral social</t>
  </si>
  <si>
    <t xml:space="preserve">Elaborar el documento de sistematización de las acciones desarrolladas en los servicios sociales de la Subdirección para Asuntos LGBTI, con sus modalidades de atención </t>
  </si>
  <si>
    <t>Porcentaje de avance en la elaboración del documento de sistematización de las acciones desarrolladas en los servicios sociales de la Subdirección para Asuntos LGBTI, con sus modalidades de atención</t>
  </si>
  <si>
    <t xml:space="preserve">Un (1) Documento de sistematización de las acciones desarrolladas en los servicios sociales de la Subdirección para Asuntos LGBTI,  con sus modalidades de atención </t>
  </si>
  <si>
    <t>Subdirección para Asuntos LGBTI</t>
  </si>
  <si>
    <t>Avances del documento de sistematización acuerdo con la programación</t>
  </si>
  <si>
    <t xml:space="preserve">Durante la ejecución del Plan de Desarrollo, la Secretaría Distrital de Integración Social amplía su oferta con la creación de nuevos servicios sociales y la transformación de los existentes como respuesta a las nuevas necesidades identificadas en el marco de la Pandemia por COVID-19, a través de la prestación de los servicios sociales a 1.380 personas de los sectores LGBTI, sus familias y redes de apoyo en las unidades operativas, el fortalecimiento de espacios de participación de las personas beneficiadas en los servicios sociales y el proceso de identificación y caracterización de personas de los sectores sociales LGBTI, realizada desde el abordaje territorial; acciones que se complementan con la activación de rutas de atención a nivel intra e intersectorial para la respuesta efectiva y oportuna, aportando así a la disminución de la vulnerabilidad, la inclusión social, la autonomía y el fortalecimiento de la calidad de vida de personas LGBTI en el Distrito.
Durante el período de reporte se registra un avance en los procesos de atención psicosocial y jurídica de personas de los sectores sociales LGBTI, sus familias y redes de apoyo, con planes de atención concertados con las personas participantes. 
Así mismo, se realizaron procesos de referenciación efectiva de personas de los sectores sociales LGBTI en situación de vulnerabilidad a otros servicios sociales de la SDIS y de la administración distrital. 
Desde la modalidad de Atención Telefónica “Línea Diversa” se realizaron 56 atenciones asociadas a contención en crisis, información y referenciación a servicios sociales. 
Se articularon acciones con la Dirección de Diversidad Sexual de la Secretaría Distrital de Planeación, la Secretaría de Seguridad, Justicia y Convivencia y la Secretaria Distrital de Gobierno para el fortalecimiento del servicio social Unidad Contra la Discriminación.
Se participó de manera activa con la referenciación y seguimiento de  casos en la Mesa de Casos Urgentes para la activación de rutas de atención a personas LGBTI víctimas de violencias.
Se realizaron acciones de sensibilización con el personal de la Fiscalía que opera en el Centro de Atención de la Fiscalía- CAF, anterior Centro Penal Integral para Víctimas – CAPIV y con los estudiantes del Consultorio Jurídico de la Universidad Politécnico Gran Colombiano.
Se generaron procesos de articulación interinstitucional y con demás organizaciones de carácter privado para el fortalecimiento de los procesos de atención psicosocial, en los que se identificaron necesidades asociadas a la prevención de violencias y actos de discriminación en razón de sus diversidades sexuales e identitarias, a la vulnerabilidad social y económica. 
Así mismo, se realizó articulación con la Secretaría Distrital de la Mujer, con la Secretaría Distrital de Gobierno, con la Secretaría Distrital de Salud, con IDARTES, con el Equipo Distrital de Cuidado”, con IDIPRON, con la estrategia de Tropa Social, con los Centros Forjar, con la organización Red Somos la Fundación Fundar, con el Centro de Estimulación, Nivelación y Desarrollo – CEDESNID, con la Fundación PROCREAR, con Humanity and Inclusión y Acción contra el Hambre, con el Instituto Penitenciario y Carcelario- INPEC, con el Instituto Colombiano de Bienestar Familiar- ICBF, con la Fundación Huellas de Arte, con Colombia Diversa, Cruz Roja Colombiana y con el Proyecto migrantes del Banco Mundial. 
También se viene implementando la Estrategia “Más territorio, más garantías” para el acercamiento de la oferta de servicios en el territorio, por ejemplo las jornadas móviles psicosociales desde los servicios sociales de los Centros de Atención Integral a la Diversidad Sexual y de Géneros. 
Realización de acciones para la apropiación del enfoque diferencial por identidades de género y orientaciones sexuales diversas, con la realización de conversatorios con entidades públicas y privadas, para el fortalecimiento de capacidades de atención diferencial con personas de los sectores LGBTI en sus servicios de atención. 
Actualización del Protocolo de Atención Psicosocial a personas de los sectores sociales LGBTI, que incluye el enfoque de familias diversas para generar procesos de atención integral.
Fortalecimiento de los procesos psicosociales desde la intervención colectiva. Estos espacios se desarrollaron de manera grupal en los CAIDSG con personas de los sectores sociales LGBTI, sus familias y redes de apoyo. Estos espacios se desarrollan a partir de ejercicios comunitarios como la Huerta Urbana, Boys Terraza, Tupana Amazonas, 3D Producciones, Arco iris de sordos.
Desde el componente psicosocial se implementa las estrategias de Ktarsis, Psicología a la carta y Alkimia los cuales se constituyen como procesos de atención psicosocial de personas de los sectores sociales LGBTI. Estas estrategias permiten desarrollar a través de grupos de encuentro, atenciones grupales en torno a necesidades y particularidades de personas LGBTI.
Fortalecimiento de la Unidad Contra la Discriminación, a través de la contratación de talento humano para la implementación de las modalidades de atención del servicio y la articulación con diferentes aparatos de justicia.
</t>
  </si>
  <si>
    <t>0,50</t>
  </si>
  <si>
    <t xml:space="preserve">Se actualizaron y reportaron los siguientes trazadores presupuestales:
Trazador Presupuestal para Población con Discapacidad-TPPD
Categoría: Protección, bienestar y justicia social
Subcategoría: Inclusión Social Integral
Acción a realizar: Atender a personas de los sectores sociales LGBTI en condición de
discapacidad en los servicios sociales de la Subdirección para Asuntos LGBTI
Trazador Presupuestal Grupos Étnicos - TPGE
Categoría: Comunidades Negras, Afrocolombianas y Palenqueras.
Subcategoría: Economía propia
Acción Afirmativa: Incrementar progresivamente desde 2021 la inclusión socio laboral de
cuatro personas de los sectores LGBTI con pertenencia étnica negra afrodescendiente, una
por año desde Subdirección para asuntos LGBTI durante el cuatrienio, concertada con los
delegados y delegadas de la comisión consultiva distrital para el sector integración social.
Propuesta: Incrementar progresivamente desde 2021 la inclusión socio laboral de cuatro
personas de los sectores LGBTI con pertenencia étnica negra afrodescendiente, una por año
desde Subdirección para asuntos LGBTI durante el cuatrienio, concertada con los delegados y
delegadas de la comisión consultiva distrital para el sector integración social.
Categoría: Comunidades Negras, Afrocolombianas y Palenqueras.
Subcategoría: Adecuación institucional y lucha contra el racismo y la discriminación.
Acción Afirmativa: Formulación, implementación y seguimiento de una estrategia para
Contribuir al mejoramiento de la calidad de vida , bienestar social y participación, desarrollo
de capacidades, inclusión social y transformación sociocultural que disminuyan las violencias
en contra de las personas AFRO-LGBTI
Trazador Presupuestal de Igualdad y Equidad de Género-TIPIEG
Categoría: Autonomía económica
Subcategoría: Transferencias y provisión de servicios públicos
Acción a realizar: Beneficiar a mujeres LBT con Transferencias Monetarias Condicionadas,
conforme a los criterios de ingreso al servicio social "Apoyos Multicolor para personas LGBTI"
Categoría: Una vida libre de violencias
Subcategoría: Protección y atención a mujeres víctimas
Acción a realizar: Acompañamiento y orientación socio jurídica a mujeres LBT que han sufrido
actos de discriminación, violencias y puesta en riesgo de derechos en razón a la Orientación
sexual y/o identidad de género.
Trazador Presupuestal de Cultura Ciudadana
Categoría: 
Diseño_e_implementación_de_estrategias_y_acciones_de_transformación_cultural_y_comportam
ental
Subcategoría: Comunicaciones y narrativas para la transformación cultural y comportamental
Acción a realizar: Creación de material de comunicación (visual y audiovisual) encaminado a la
divulgación de actividades para la transversalización del enfoque diferencial por Identidades de
género y orientaciones sexuales diversas. Así como, piezas comunicativas para la visibilización de
las personas de los sectores sociales LGBTI, mensajes para la prevención de violencias y la
implementación de la Política Pública LGBTI y los servicios sociales.
Categoría:
Diseño_e_implementación_de_estrategias_y_acciones_de_transformación_cultural_y_comportam
ental
Subcategoría: Fortalecimiento de capacidades y conocimientos para la transformación cultural y
comportamental
Acción a realizar: Realización de acciones colectivas para la transformación de imaginarios y
patrones culturales
Categoría:
Diseño_e_implementación_de_estrategias_y_acciones_de_transformación_cultural_y_comportam
ental
Subcategoría: Escenarios de diálogo y co creación
Acción a realizar: Realización de acciones de sensibilización con el sector privado para la
flexibilización de requisitos de contratación e implementación de la Estrategia de Ambientes
Laborales Inclusivos
</t>
  </si>
  <si>
    <t>0,75</t>
  </si>
  <si>
    <r>
      <t xml:space="preserve">Durante la ejecución del Plan de Desarrollo, la Secretaría Distrital de Integración Social amplía su oferta con la creación de nuevos servicios sociales y la transformación de los existentes como respuesta a las nuevas necesidades identificadas en el marco de la Pandemia por COVID-19, a través de la prestación de los servicios sociales a 4.469 personas de los sectores LGBTI, sus familias y redes de apoyo en las unidades operativas, el fortalecimiento de espacios de participación de las personas beneficiadas en los servicios sociales y el proceso de identificación y caracterización de personas de los sectores sociales LGBTI, realizada desde el abordaje territorial; acciones que se complementan con la activación de rutas de atención a nivel intra e intersectorial para la respuesta efectiva y oportuna, aportando así a la disminución de la vulnerabilidad, la inclusión social, la autonomía y el fortalecimiento de la calidad de vida de personas LGBTI en el Distrito.
Se vincularon a 1.290 personas de los sectores sociales LGBTI en situación de pobreza, pobreza extrema y vulnerabilidad a procesos de ampliación de capacidades y habilidades para la vida.
Se articuló trabajo con la Subdirección para la Gestión Integral Local para fortalecer la oferta de la modalidad de atención Ampliación e Instalación de Capacidades Formativas - AICF desde los Centros de Desarrollo Comunitarios - CDC de la ciudad, descentralizando la atención y ampliando la cobertura a distintas localidades de la ciudad.
Se articuló con la Subdirección para la Juventud para fortalecer la comunicación con los participantes del servicio social, mediante la realización de llamadas, citaciones y verificación de información de participantes, realizada por jóvenes vinculados a la Estrategia RETO.
Se registró en el Sistema de Información para el Registro de Beneficiarios – SIRBE la información de las personas participantes de la modalidad de atención Ampliación e Instalación de Capacidades Formativas – AICF.
Se realizó la actualización del manual operativo de la modalidad de atención de Ampliación e instalación de capacidades formativas, a fin de ser presentarlo y aprobarlo en la Mesa Técnica de Gestión Social Integral. Las modificaciones sugeridas incidieron en ajustes a formatos y procedimientos tales como: ajuste a acta de corresponsabilidad, ajuste a procedimiento de seguimiento, ajuste a procedimiento de egreso. 
Establecimiento y funcionamiento de Comité Técnico de Estudios de caso para el egreso de participantes de la modalidad. 
Se realizó la revisión, oficialización y publicación del Manual Operativo de la Modalidad de Atención “Ampliación e Instalación de Capacidades Formativas” en el Sistema de Gestión de la Entidad, lo que facilita la operación de las acciones que implementan la modalidad de atención.
Se logró realizar el giro presupuestal para la vigencia 2022 a la Secretaría Distrital de Hacienda. 
Se armonizaron los tiempos de evaluación del condicionante, y los tiempos de la Secretaría Distrital de Hacienda para lograr regularizar los pagos mes vencido al cumplimiento del condicionante. 
Aprobación de cupos para el procedimiento de acompañamiento y seguimiento al servicio. 
Gestión de recursos para la contratación de personal que permita el funcionamiento y atención del servicio de manera óptima en los tiempos estipulados para el 2022.
Se desarrolló un instrumento para medir circunstancias específicas de vulnerabilidad asociadas a esta población, se espera que para la próxima vigencia se incorpore este instrumento en los sistemas de información de la entidad.
Se realizó ajuste al procedimiento de egreso con visitas de contacto, lo que ha permitido la disminución de la deserción mensual de participantes en el proceso formativo. 
Se avanza en las gestiones administrativas, las mesas de trabajo de articulación intersectorial y en la elaboración de documentos técnicos para la suscripción de un convenio interadministrativo entre la Secretaría General de la Alcaldía Mayor de Bogotá D.C, la Secretaría Distrital de Integración Social y la Registraduría Nacional del Estado Civil,  el cual permitirá implementar la modalidad de atención: Reafírmate: el Chuchú de la cédula, con el propósito de brindar orientación y acompañamiento a las personas transgénero, transexuales, transformistas y travestis para la corrección del componente de nombre, sexo y/o cupo numérico en su documento de identificación personal, conforme al Decreto 1227 de 2015 y demás normas complementarias que reglamentan o reforman el mismo.
Durante la vigencia 2022 se ha realizado la entrega de 448 Bonos Multicolor Canjeables por Alimentos a personas de los sectores sociales LGBTI en inseguridad alimentaria.
Se adelantaron las siguientes articulaciones desde la unidad operativa </t>
    </r>
    <r>
      <rPr>
        <b/>
        <sz val="11"/>
        <rFont val="Arial"/>
        <family val="2"/>
      </rPr>
      <t>Casa LGBTI Zona Sur:</t>
    </r>
    <r>
      <rPr>
        <sz val="11"/>
        <rFont val="Arial"/>
        <family val="2"/>
      </rPr>
      <t xml:space="preserve"> Fundación Huellas de Arte, Organización Social La Casa de Las Locas, se realizaron acciones en el marco del “Día Internacional de  Visibilización Trans” y del Día Internacional de la Mujer, con el líder de la Escuela de Chirl,  La Mesa de Jóvenes LGBTI+Q, el medio de comunicación Tele Conecta, Fundación Misioneros Divina Redención San Felipe Neri – FUMDIR, a Organización Social UDESIGUAL de la Universidad Distrital Francisco José de Caldas, Organización Internacional de Flujo Migratorio y el servicio social Centro de Integración y los Derechos del Migrante, Refugiado y Retornado – CEDID, con el programa Converge y la exposición “Crussing” en articulación con IDARTES, se realizó articulación con la Sub Red Sur de la Secretaría Distrital de Salud para la implementación de la Estrategia “Territorios de Innovación y Participación Social en Salud” y con el servicio social Respuesta Social, se realizó el evento de impacto distrital “Asalto Bailable” en la conmemoración del Día Internacional Contra La Homolesbotransfobia, se realizó articulación con la organización Red Somos para generar espacios de sensibilización sobre detección y toma de pruebas de sífilis, se realizaron talleres de tejido en positivo, para fortalecer procesos psicosociales como acción de intervención colectiva, se realizó articulación con la organización humanity inclusión, para la activación de rutas de atención a personas LGBTI con diagnósticos de psiquiatría y apoyo en prótesis, Organización para el Desarrollo Social ORDEPAS, articulación con la Universidad Mayor de Cundinamarca, realización del Foro para personas adultas mayores.
Acciones y articulaciones Casa LGBTI Zona Norte: Realización del evento local de la Gala Fénix donde se galardonan empresas y organizaciones sociales incluyentes con las personas de los sectores LGBTI de la localidad de Suba. Taller Psicoeducativo “Historias que Transforman" realizado en el Centro Día La Alegría de Vivir. Se da inicio al segundo ciclo de educación flexible con la participación de 30 personas. Se realizan recorridos de identificación y socialización de los servicios de la Casa LGBTI Zona Norte a mujeres transgènero que realizan actividades sexuales pagadas en la localidad de Engativá. Se realizó acompañamiento a personas LGBTI en jornada de SISBEN.  Se realizó el evento “Festival por la Diversidad Sexual y de Géneros”para promover el respeto a la igualdad de derechos y rechazando cualquier forma de discriminación.  Se realiza izada de bandera en el marco del cumpleaños 484 de Bogotá. Se entregan libros para incentivar a la lectura en el espacio de Libro al viento. Taller de Nuevas Masculinidades con con personas cuidadoras. Se realizó el taller Ritmos Latinos para el esparcimiento y recreación dirijo a personas
pertenecientes a la población LGBTI.  Talleres Psico-educativos  “Echando Carreta” en articulación con IDARTES. 
Acciones implementadas Casa LGBTI Sebastián Romero -Teusaquillo: acciones orientadas por el Modelo de Inclusión Social de la Subdirección para Asuntos LGBTI.
- Desarrollo Humano: desde el cual se atienden los casos de vulnerabilidad y crisis de manera individual, en pareja y en familia, a través de la orientación y acompañamiento psicosocial, incorporando cualquier tipología de asistencia social.
- Desarrollo y Ampliación de Capacidades: desde el cual se pretende empoderar a la ciudadanía sobre sus derechos, pero también ofrecer una ruta de posibilidades para que a través del aprendizaje afiancen sus proyectos de vida. Se implementó proceso formativo en Lengua de Señas, articulado con el SENA.
- Desarrollo Cultural y Comunitario: en el que se integra al-a beneficiario-a, al ejercicio de la participación en escenarios de base comuitaria, toma de decisiones de Política Publica LGBTI, y conmemoración de fechas emblemáticas.   Asi mismo, se desarrollan acciones hacia la consolidación de redes de apoyo y afecto, donde el-la participante encuentre nuevos referentes para construir espacios seguros, liderar o adjuntarse a procesos de integración social. Se realizan procesos en el marco de los espacios de Ktarsis y Alkimia.
- Desarrollo Social: un escenario de articulacion intersectorial, en el que se busca fortalecer el quehacer de los CAIDSG, con la oferta de los sectores Distritales responsables y corresponsables de la Política Publica LGBTI.  Este ejercicio se hace de forma individual con las entidades en el orden local; y, su mayor expresión de articulaciión y gestión para la transformación de condiciones de vulnerabilidad en razón de la orientación sexual e identidad de género, se conjuga en la Mesa Intersintifucional LGBTI que sesiona mensual o bimensualmente. Se realizó Evento La Casa LGBTI que Construimos, articulado con todas las  Unidades Operativas de la Subdirección para Asuntos LGBTI.
- Gestión del Desarrollo e Innovación: comprendido como el enfoque de la Gestión del Conocimiento, del ejercicio de acercamiento con la academia, los saberes y la construcción de la memoria.  Desde este enfoque se reconoce con gran relevancia, el ejercicio de pasantías que se supervisa desde el equipo psicosocial, así como el acompañamiento a las diferentes investigaciones que surgen de los-as practicantes, en torno a las realidades de los sectores sociales LGBTI.
</t>
    </r>
  </si>
  <si>
    <t>Se recomienda describir de manera breve lo relacionado con el documento de sistematización y los avances en relación con el mismo.</t>
  </si>
  <si>
    <t>Documento de sistematización acuerdo con la programación</t>
  </si>
  <si>
    <t xml:space="preserve">Se entrega desde la subdirección para asuntos LGBTI documento de sistematización de las acciones desarrolladas en los servicios sociales de la Subdirección para Asuntos LGBTI, con sus modalidades de atención </t>
  </si>
  <si>
    <t>Generar el documento de sistematización de las acciones de territorialización de la Política Pública LGBTI</t>
  </si>
  <si>
    <t>Porcentaje de avance en la sistematización de las acciones de las acciones de territorialización de la Política Pública LGBTI</t>
  </si>
  <si>
    <t>Un (1) Documento de sistematización de las acciones de territorialización de la Política Pública LGBTI</t>
  </si>
  <si>
    <t xml:space="preserve">Se relacionan los avances desde las actividades adelantadas por el equipo territorial, conforme a los componentes de la Estrategia Territorial Integral Social (ETIS), desde la consolidación de espacios de identificación de necesidades y particularidades de las personas LGBTI, indispensables para realizar los procesos de referenciación:
Lectura integral de realidades y agendas sociales territoriales
En el marco de la territorialización de la política pública LGBTI se establecen acuerdos entre diferentes actores sociales e institucionales para la concertación de Agendas Sociales Territoriales, mediante el empleo de mecanismos de diagnósticos locales y la implementación de procesos participativos.
Es así que se realizaron las actividades de: encuentro zonal de unidades de apoyo técnico UAT “Acuerdos para la gestión de los CLOPS 2022”, jornadas de georreferenciación en las localidades de Santa Fe, Bosa, Kennedy y Fontibón. Recorridos de identificación y lectura de realidades en San Cristóbal, Tunjuelito, Engativá, Suba y Usme en el marco de la Estrategia Local USMENADO por UPZ y la Estrategia Tomas de Seguridad con la Unidad Móvil de la Secretaría Distrital de Seguridad Justicia y Convivencia-SDSJC.
Respuestas Integradoras Transectoriales – Tropa Social
En el marco de la implementación de la Estrategia Territorial Integral Social (ETIS) se concertaron planes de trabajo en las Mesas Intersectoriales que lidera la Subdirección para Asuntos LGBTI en 19 localidades, actividades que buscan responder a las necesidades identificadas de las personas de los sectores sociales LGBTI de manera integral mediante acciones inter y transectoriales en los diferentes territorios de la ciudad.
Ejercicio que permite la activación de rutas de atención con los servicios sociales de la Subdirección para Asuntos LGBTI y con los servicios sociales: Respuesta Social, Integración y los Derechos del Migrante, Refugiado y Retornado, Tropa Social en tu Hogar, Alimentación Integral: Un Camino Hacia la Inclusión Social, Servicio para la Seguridad Económica de la Juventud de la Secretaría Distrital de Integración Social.
También se referencian casos a los servicios de la Secretaría Distrital de Salud, la Secretaría Distrital de Desarrollo Económico y la Secretaría de Educación del Distrito.
Acompañamiento a hogares en pobreza con énfasis en hogares con jefatura femenina
Gestiones realizadas con el sector público y privado para la respuesta efectiva a la población que se encuentra en emergencia social y económica, las que permitieron entregar ayudas humanitarias, representadas en mercados, paquetes alimentarios y entrega de comidas calientes. 
Fortalecimiento a procesos territoriales y participación incidente 
Fortalecimiento de espacios de participación ciudadana, en las Mesas Locales LGBTI, con las Redes de Apoyo y Afecto, con acciones de sensibilización y prevención de violencias, foros y conversatorios, eventos, marchas y festivales que promueven la inclusión social. 
Procesos de sensibilización para el cambio de comportamientos culturales
Realización de acciones encaminadas a lograr el cambio de prácticas y patrones culturales que reproducen formas de violencia en los ámbitos familiar, laboral, dentro de la academia, los aparatos de justicia y la ciudadanía en general, para promover el respeto y la integración social de las personas de los sectores sociales LGBTI en la ciudad. 
</t>
  </si>
  <si>
    <t>Durante la ejecución del Plan de Desarrollo, la Secretaría Distrital de Integración Social
amplía su oferta con la creación de nuevos servicios sociales y la transformación de
los existentes como respuesta a las nuevas necesidades identificadas en el marco de
la Pandemia por COVID-19, a través de la prestación de los servicios sociales a 3.353
personas de los sectores LGBTI, sus familias y redes de apoyo en las unidades
operativas, el fortalecimiento de espacios de participación de las personas
beneficiadas en los servicios sociales y el proceso de identificación y caracterización
de personas de los sectores sociales LGBTI, realizada desde el abordaje territorial;
acciones que se complementan con la activación de rutas de atención a nivel intra e
intersectorial para la respuesta efectiva y oportuna, aportando así a la disminución de
la vulnerabilidad, la inclusión social, la autonomía y el fortalecimiento de la calidad de
vida de personas LGBTI en el Distrito.
Durante el período de reporte se registra un avance en los procesos de atención
psicosocial y jurídica de personas de los sectores sociales LGBTI, sus familias y redes
de apoyo, con planes de atención concertados con las personas participantes.
Así mismo, se realizaron procesos de referenciación efectiva de personas de los
sectores sociales LGBTI en situación de vulnerabilidad a otros servicios sociales de la
SDIS y de la administración distrital.
Desde la modalidad de Atención Telefónica “Línea Diversa” se realizaron 100
atenciones asociadas a contención en crisis, información y referenciación a servicios
sociales.
Se articularon acciones con la Dirección de Diversidad Sexual de la Secretaría Distrital
de Planeación, la Secretaría de Seguridad, Justicia y Convivencia y la Secretaria
Distrital de Gobierno para el fortalecimiento del servicio social Unidad Contra la
Discriminación.
Se participó de manera activa con la referenciación y seguimiento de casos en la
Mesa de Casos Urgentes para la activación de rutas de atención a personas LGBTI
víctimas de violencias.
Se realizaron acciones de sensibilización con el personal de la Fiscalía que opera en el
Centro de Atención de la Fiscalía- CAF, anterior Centro Penal Integral para Víctimas –
CAPIV y con los estudiantes del Consultorio Jurídico de la Universidad Politécnico Gran
Colombiano.
Se generaron procesos de articulación interinstitucional y con demás organizaciones
de carácter privado para el fortalecimiento de los procesos de atención psicosocial, en
los que se identificaron necesidades asociadas a la prevención de violencias y actos
de discriminación en razón de sus diversidades sexuales e identitarias, a la
vulnerabilidad social y económica.
Así mismo, se realizó articulación con la Secretaría Distrital de la Mujer, con la
Secretaría Distrital de Gobierno, con la Secretaría Distrital de Salud, con IDARTES,
con el Equipo Distrital de Cuidado”, con IDIPRON, con la estrategia de Tropa Social,
con los Centros Forjar, con la organización Red Somos la Fundación Fundar, con el
Centro de Estimulación, Nivelación y Desarrollo – CEDESNID, con la Fundación
PROCREAR, con Humanity and Inclusión y Acción contra el Hambre, con el Instituto
Penitenciario y Carcelario- INPEC, con el Instituto Colombiano de Bienestar
Familiar- ICBF, con la Fundación Huellas de Arte, con Colombia Diversa, Cruz Roja
Colombiana y con el Proyecto migrantes del Banco Mundial.
También se viene implementando la Estrategia “Más territorio, más garantías” para
el acercamiento de la oferta de servicios en el territorio, por ejemplo las jornadas
móviles psicosociales desde los servicios sociales de los Centros de Atención
Integral a la Diversidad Sexual y de Géneros.
Realización de acciones para la apropiación del enfoque diferencial por identidades
de género y orientaciones sexuales diversas, con la realización de conversatorios
con entidades públicas y privadas, para el fortalecimiento de capacidades de
atención diferencial con personas de los sectores LGBTI en sus servicios de
atención.
Actualización del Protocolo de Atención Psicosocial a personas de los sectores
sociales LGBTI, que incluye el enfoque de familias diversas para generar procesos
de atención integral.
Fortalecimiento de los procesos psicosociales desde la intervención colectiva. Estos
espacios se desarrollaron de manera grupal en los CAIDSG con personas de los
sectores sociales LGBTI, sus familias y redes de apoyo. Estos espacios se
desarrollan a partir de ejercicios comunitarios como la Huerta Urbana, Boys
Terraza, Tupana Amazonas, 3D Producciones, Arco iris de sordos.
Desde el componente psicosocial se implementa las estrategias de Ktarsis,
Psicología a la carta y Alkimia los cuales se constituyen como procesos de atención
psicosocial de personas de los sectores sociales LGBTI. Estas estrategias permiten
desarrollar a través de grupos de encuentro, atenciones grupales en torno a
necesidades y particularidades de personas LGBTI.
Fortalecimiento de la Unidad Contra la Discriminación, a través de la contratación
de talento humano para la implementación de las modalidades de atención del
servicio y la articulación con diferentes aparatos de justicia.
Fortalecimiento de las “Redes de Cuidado y Afecto” del distrito capital, como
espacio de encuentro de personas de los sectores sociales LGBTI, para el
fortalecimiento de habilidades y capacidades. Se llevaron a cabo trece (13) espacios
redes de cuidado, con enfoque de derechos.
Fortalecimiento de alianzas público privadas para el desarrollo de procesos
formativos para personas de los sectores sociales LGBTI en los Centros de Atención
Integral a la Diversidad Sexual y de Género - CAIDSG de la ciudad.
Se llevó a cabo la “Conmemoración del día de la Afrocolombianidad” en el CAIDSG
Zona Sur con participación de la red de afecto de la localidad de Bosa y equipo
interdisciplinar de la Subdirección para Asuntos LGBTI.
Se realizó articulación entre la Secretaría Distrital de Salud y la Subdirección para
Asuntos LGBTI, para la realización de jornada de vacunación y Pruebas de Hepatitis
B, realizado en el CAIDSG Zona Centro, con participación de más 250 personas de
los sectores sociales LGBTI.
Se continua con la implementación de acciones que enmarca la modalidad de
“Redes Diversas de Aprendizaje” en las unidades operativas, entre ellas: Huerta
Diversa, Ktarsis, Alkiquima, Proceso formativo En Clave LGBTI, método de
educación flexible, la hora del té, Red de aprendizaje Los Mártires, Taller SENA de
ropa, Taller SENA Patronaje Pantalón
Se fortalecen las alianzas público-privadas para realizar procesos de desarrollo de
capacidades y habilidades para personas de los sectores sociales LGBTI, con las
empresas ZEMOGA, SODEXO; Fundación Arcoíris de Sordos y la Secretaría Distrital
de Educación, desde la estrategia de educativa flexible</t>
  </si>
  <si>
    <t xml:space="preserve">Se fortalece el modelo de gestión pública para la territorialización de la Política Pública LGBTI, que aportan al desarrollo de la gobernanza democrática desde el reconocimiento de las dinámicas territoriales de participación incidente, para la construcción de respuestas transectoriales, integradoras e innovadoras frente a las realidades y necesidades de las personas de los sectores LGBTI, las familias, comunidades y territorios en Bogotá.
se relacionan los avances desde las actividades adelantadas por el equipo territorial, conforme a los componentes de la Estrategia Territorial Integral Social (ETIS), desde la consolidación de espacios de identificación de necesidades y particularidades de las personas LGBTI, indispensables para realizar los procesos de referenciación:
Lectura integral de realidades y agendas sociales territoriales
En el marco de la territorialización de la política pública LGBTI se establecen acuerdos entre diferentes actores sociales e institucionales para la concertación de Agendas Sociales Territoriales, mediante el empleo de mecanismos de diagnósticos locales y la implementación de procesos participativos.
Es así que se realizaron las actividades de: encuentro zonal de unidades de apoyo técnico UAT “Acuerdos para la gestión de los CLOPS 2022”, jornadas de georreferenciación en las localidades de Santa Fe, Bosa, Kennedy y Fontibón. Recorridos de identificación y lectura de realidades en San Cristóbal, Tunjuelito, Engativá, Suba y Usme en el marco de la Estrategia Local USMENADO por UPZ y la Estrategia Tomas de Seguridad con la Unidad Móvil de la Secretaría Distrital de Seguridad Justicia y Convivencia-SDSJC.
Realización del Consejo Local de Política Social CLOPS Chapinero “Sí a la Prevención del Consumo de Sustancias Psicoactivas” de la Política Pública de Prevención y Atención del Consumo y la Prevención de la Vinculación a la Oferta de Sustancias Psicoactivas en Bogotá, D.C 2011- 2022.
Participación en el Comité Operativo Local de Envejecimiento y Vejez, en las localidades de Chapinero, Bosa y Usme.
Realización de recorridos de georreferenciación por las localidades: Santa fé, Kennedy, Barrios Unidos y Usme, identificando zonas de actividades sexuales pagadas no reglamentadas.
Respuestas Integradoras Transectoriales – Tropa Social
En el marco de la implementación de la Estrategia Territorial Integral Social (ETIS) se concertaron planes de trabajo en las Mesas Intersectoriales que lidera la Subdirección para Asuntos LGBTI en 19 localidades, actividades que buscan responder a las necesidades identificadas de las personas de los sectores sociales LGBTI de manera integral mediante acciones inter y transectoriales en los diferentes territorios de la ciudad.
Ejercicio que permite la activación de rutas de atención con los servicios sociales de la Subdirección para Asuntos LGBTI y con los servicios sociales: Respuesta Social, Integración y los Derechos del Migrante, Refugiado y Retornado, Tropa Social en tu Hogar, Alimentación Integral: Un Camino Hacia la Inclusión Social, Servicio para la Seguridad Económica de la Juventud de la Secretaría Distrital de Integración Social.
También se referencian casos a los servicios de la Secretaría Distrital de Salud, la Secretaría Distrital de Desarrollo Económico y la Secretaría de Educación del Distrito.
Se realizó la Feria de Servicios LGBTI,  en articulación con las entidades: IDRD, BibloRed, Secretaría De Movilidad, Secretaría De Cultura Recreación Y Deporte, Alcaldía Local De Tunjuelito, Subdirección De Juventud, Secretaría De Justicia Y Convivencia, Subred Sur, Secretaría Distrital De Ambiente, Secretaría De La Mujer, Diversidad Sexual, Casa De La Cultura, Secretaría De Hábitat Y Secretaría De Seguridad, Convivencia Y Justicia.
La Subdirección para Asuntos LGBTI, adelantó en la Casa de la Justicia de Bosa, un circuito de taller y ofertas institucionales de cara a la participación y acceso efectivo de las personas LGBTI de la localidad.
Acompañamiento a la Jornada territorial “Contigo en Tu Barrio” en articulación con la Secretaría Distrital de la Mujer, para socializar las oferta institucional en la localidad de Bosa.
Participación incidente en eventos asociados a las manzanas del cuidado de las localidades de Kennedy y Los Mártires.
Acompañamiento a hogares en pobreza con énfasis en hogares con jefatura femenina
Gestiones realizadas con el sector público y privado para la respuesta efectiva a la población que se encuentra en emergencia social y económica, las que permitieron entregar ayudas humanitarias, representadas en mercados, paquetes alimentarios y entrega de comidas calientes. 
Se vincularon veinte (20) familias de los sectores sociales LGBTI y madres cabeza de hogar al programa BOGOTA E de la Secretaría Distrital de Desarrollo Económico.
Se diligencia el aplicativo Tropa Social, con el fin de generar el reporte de hogares pobres identificado en territorio, perteneciente a los Sectores Sociales LGBTI.
Fortalecimiento a procesos territoriales y participación incidente 
Fortalecimiento de espacios de participación ciudadana, en las Mesas Locales LGBTI, con las Redes de Apoyo y Afecto, con acciones de sensibilización y prevención de violencias, foros y conversatorios, eventos, marchas y festivales que promueven la inclusión social. 
Participación de la Subdirección para Asuntos LGBTI en la feria Expo Talento Diverso realizada en la Cámara de Comercio Sede Chapinero.
En la localidad de Santa fé se articuló con el Consejo Local de Participación, el Consejo de la Bici, mesas de trabajo con vendedores informales y formales, mesas con la Junta de Acción Local, con ASOJUNTAS para implementar talleres asociados al corredor verde.
En el marco del día de la tierra se realizó una jornada de siembra, en la cual se pudo identificar que la ciudadanía se logró  conectar desde lo ambiental, teniendo en cuenta que San Cristóbal es una localidad rural, esta actividad se realizó con el objetivo de concientizar a la ciudadanía sobre la importancia del cambio climático y sus consecuencias.
Acompañamiento a las organizaciones sociales de diferentes localidades para la presentación de la obra de Teatro “Carnes Tolendas” en el Lanzamiento del Festival por la Igualdad.
Acompañamiento a la Mesa Local LGBTI en la creación y postulación de iniciativas ciudadanas para los presupuestos participativos vigencia 2023.
Recorrido ambiental y ecoturístico, en el Parque Ecológico Distrital de la Montaña Entre Nubes con organización de base comunitaria de la localidad de Bosa.
Procesos de sensibilización para el cambio de comportamientos culturales
Realización de acciones encaminadas a lograr el cambio de prácticas y patrones culturales que reproducen formas de violencia en los ámbitos familiar, laboral, dentro de la academia, los aparatos de justicia y la ciudadanía en general, para promover el respeto y la integración social de las personas de los sectores sociales LGBTI en la ciudad. 
Participación en las actividades para las conmemoraciones del Día del Niño en la ruralidad, Día de la Familia y Semana del Buen Trato.
En cumplimiento al Plan de Trabajo de la Mesa Interinstitucional LGBTI, se realiza la exposición “Expo Bosa, La Diversidad en Desarrollo Constante”.
Se realizaron varios eventos en diferentes localidades para la Izada de la Bandera LGBTI y Trans en el en el marco de las actividades propuestas para el Mes del Orgullo LGBTI.
Se realizó el “sex festival”, con actividades deportivas y de política pública: torneo relámpago mujeres empoderadas, foro de Política Pública LGBTIQ+, el que se llevó a cabo en el polideportivo Castilla y en el parque las Brisas.
Acompañamiento a la movilización “Yo marcho Trans”, en la localidad de los Mártires.
Participación en el conversatorio “La Casa que Construimos”, realizado en el Centro de Memoria Histórica, con el propósito de fortalecer las unidades operativas y los servicios sociales de la Subdirección para Asuntos LGBTI.
</t>
  </si>
  <si>
    <t>Se recomienda describir de manera breve lo relacionado con el documento de sistematización de la política pública y los avances en relación con el mismo.</t>
  </si>
  <si>
    <t>Se entrega desde la subdirección para asuntos LGBTI documento de sistematización de las acciones de territorialización de la Política Pública LGBTI</t>
  </si>
  <si>
    <t>Cumplir con las metas del proyecto de inversión 7756</t>
  </si>
  <si>
    <t>Reporta equipo Analistas SDES</t>
  </si>
  <si>
    <t>24. Implementar una (1) estrategia de  gestión interinstitucional que permita  la movilización social y el desarrollo de  capacidades de los adultos y adultas identificados en vulnerabilidad, fragilidad social o afectados por emergencias sanitarias en la ciudad de Bogotá</t>
  </si>
  <si>
    <t>Liderar los espacios del Comité Operativo Distrital para el Fenómeno de Habitabilidad en Calle (CODFHC) y del Comité Operativo Distrital de Adultez (CODA)</t>
  </si>
  <si>
    <t>Porcentaje de avance en la elaboración de actas del CODFHC y del CODA</t>
  </si>
  <si>
    <t>(N° actas realizadas / (N° sesiones del CODFHC + N° sesiones del CODA)) *100</t>
  </si>
  <si>
    <t>Actas del CODFHC y del CODA</t>
  </si>
  <si>
    <t>COMITÉ OPERATIVO DISTRITAL PARA EL FENÓMENO DE HABITABILIDAD EN CALLE
Se realizó la primera sesión del CODFHC, que estuvo orientada a la definición del plan de trabajo de la instancia para el año 2022, marco en el que se movilizan temas estratégicos para el abordaje del fenómeno de la habitabilidad en calle. En esta primera sesión participaron dos personas que habitaron la calle y que desde sus experiencias, posicionaron temas estratégicos como la vinculación a la oferta laboral y académica por parte de quienes habitan la calle o la habitaron, con el fin de tener una inclusión social efectiva; además se identificó la necesidad de vincular el fenómeno de la habitabilidad en calle con el Sistema General de Cuidado. En este orden de ideas, se posicionaron ocho temas estratégicos para trabajar durante el año de manera intersectorial. Estos temas son:  
1. Avanzar en la atención socio sanitaria 
2. Estrategias campañas de divulgación para que la ciudad se entere lo que se está haciendo con la población habitante de calle. 
3. Inclusión económica y educativa de las personas habitantes de calle o en riesgo  
4. Armonización con SIDICU  
5. Continuidad de la Tropa Social para el cuidado de los más vulnerables 
6. Seguimiento al Plan de Acción de la PPDFHC  
7. Laboratorios Ciudadanos relacionados con la “Jugada en la calle”  
8. Continuidad de la estrategia de prevención. 
En esta jornada, también se socializaron por parte de la Secretaría de la Mujer los avances en el año 2021 en torno a la implementación de la estrategia de dignidad menstrual y se plantearon como retos el avance para la implementación de la infraestructura que garantice la dignidad y el cuidado menstrual en las personas habitantes de calle con experiencias menstruales. Por último, la Secretaría de Salud socializó los avances en el proceso de vacunación de COVID -19 en la población habitante de calle.  
COMITÉ OPERATIVO DISTRITAL DE ADULTEZ
El 17 de febrero se llevó a cabo la primera sesión del CODA, en la cual se abordaron temas clave para la vigencia 2022, a saber:
* Socialización del Sistema de Seguimiento y Evaluación de Políticas Públicas adoptado por la Secretaría de Planeación bajo la metodología CONPES D.C., el cual obedece a la implementación de los productos concertados en el plan de acción, para ello se refirió la necesidad de contar con los delegados por cada sector/entidad responsable del cargue de la información, así mismo se aclara que una vez se cuente con el sistema operando en un 100% será el insumo de verificación de información para la toma de decisiones en espacios como el CODA.
* Presentación del plan de trabajo para el año 2022 de acuerdo con lo establecido en la Resolución 1045 de 2021, para ello se abordaron los temas estratégicos que contribuyan a la visibilización y apropiación de la PPA, en el marco de la garantía de los derechos de la población adulta. 
En ese orden de ideas el CODA aprobó los siguientes ejes temáticos trazadores en el plan de trabajo:
a. Posicionamiento de la PPA con los sectores/entidades vinculados al CODA, reconociendo las particularidades y potencialidades de los mismos desde el orden local y/o distrital.
Realizar un mapeo de actores estratégicos y de instancias del orden local con las cuales se pueda realizar articulación, difusión y apropiación de la PPA.
Articular acciones estratégicas con proyectos de inversión de la SDIS, con el fin de propiciar procesos de difusión, apropiación y trabajo en equipo, entendiendo las dinámicas locales y reconociendo la dificultad de un referente de la PPA en los territorios.
b. Generación de mesas de trabajo orientada a temas de la Diversidad – enfoque de género en la adultez; la reactivación económica, empleo, generación de ingresos, emprendimiento y derecho a la seguridad económica.
En ese sentido, las mesas de trabajo se realizarán con los sectores/entidades, que tengan productos asociados a estas temáticas, con el fin de articular acciones de manera integral, así como la generación de conocimiento, desde las competencias y particularidades institucionales orientadas a un análisis situacional asociado a la adultez como resultado del ejercicio.</t>
  </si>
  <si>
    <t>Se recomienda registrar la trazabilidad de firmas de quien elabora, revisa y aprueba el acta. Adicionalmente, se recomienda gestionar las firmas por una herramienta diferente a AZ Digital</t>
  </si>
  <si>
    <t>Comité Operativo Distrital para el Fenómeno de Habitabilidad en Calle (CODFHC) 
En el segundo CODFHC, que se realizó en el mes de mayo, se socializaron los principales cambios que trajo la resolución 0774 de 2022 con relación al funcionamiento del comité y la territorialización de la política pública; adicional a este punto se presentó la propuesta de las siete mesas emergentes, de acuerdo a lo propuesto en el plan de trabajo del primer CODFHC, de la propuesta se oficializaron cuatro mesas con la participación de diferentes entidades, las cuales son: 
Movilización ciudadana: IDPAC; Organizaciones sociales ;Secretaría de Salud y SDIS 
Inclusión económica y educativa de la población habitante de calle: Secretaría Distrital de Educación; Secretaría Distrital de Desarrollo Económico ; IPES;SENASecretaría Distrital de Ambiente; UAESP ;ASCUN;IDIPRON ;Secretaría de la Mujer  y SDIS  
Fortalecimiento del abordaje integral en calle: Secretaría de Seguridad  ; Secretaría de Gobierno; IDIPRON ; UAESP ; SDIS Sub ICI 7730(Migrantes) ; Secretaría Distrital de Salud; DADEP; Secretaría Distrital de Planeación ; IDU; ERU; Transmilenio  y Secretaría de Hábitat 
Atención sociosanitaria: Secretaría de Salud; Capital Salud; IDIPRON  y SDIS.
De cada una, se definieron las entidades que se vincularía al desarrollo de las mesas. Otro de los productos importantes de esta resolución, es la formalización de la transformación de mesas locales de habitabilidad en calle a comités operativos locales, lo que fortalece la gestión local entorno a la implementación de la PPDFHC. 
Posteriormente a este ejercicio, se socializan los principales cambios en la matriz de plan de acción y la Secretaría de Planeación entrega un balance del estado de implementación de la PPDFHC, en donde se entrega un balance favorable del 92.30% en la ejecución.
Comité Operativo Distrital de Adultez (CODA)
En este trimestre se realizaron dos CODA, a continuación se presenta un resumen de cada uno.
La segunda sesión del CODA, realizada en el mes de abril, tuvo como eje central el lanzamiento de las mesas de trabajo, en conexión con lo establecido en el artículo 9 de la Resolución 1045 que señala: “Mesas técnicas de trabajo. De acuerdo al desarrollo y necesidades identificadas en el transcurso de la implementación de la Política Pública Distrital de Adultez, se podrán conformar Mesas Técnicas de Trabajo, las cuales servirán como instancias facilitadoras, y tendrán como objeto profundizar en procesos de análisis determinados, articulación interinstitucional y comunitaria para el desarrollo de actividades específicas de acuerdo con las temáticas a trabajar. Las Mesas Técnicas de Trabajo serán de carácter transitorio y dependerán del plan de trabajo establecido por el Comité Operativo Distrital de Adultez (CODA) o cuando se presenten situaciones imprevistas que ameriten su conformación.” 
La tercera sesión del CODA, que se realizó en el mes de junio, en este espacio se abordaron temas claves relacionados con la socialización de los avances y retos de las mesas técnicas de trabajo que desarrollan dos temáticas de interés: la participación y los derechos económicos de la población adulta de la ciudad. De otra parte, se presentaron los datos del ejercicio de territorialización de la política pública, que permitió tener una mirada local de los servicios e instancias de participación que involucran a las y los adultos; y finalmente se dieron a conocer los resultados del reporte de seguimiento a la política del año 2021, a cargo de la Secretaría Distrital de Planeación, con relación al cumplimiento en la implementación, así como, las recomendaciones y claridades para el reporte del segundo trimestre 2022.</t>
  </si>
  <si>
    <t>1. Comité Operativo Distrital para la Adultez (CODA): cuarta sesión CODA, agosto 31 de 2022. En la cual se hace seguimiento a mesas técnicas, se socializan necesidades en torno al reporte del Consejo de Política Económica y Social del Distrito Capital (CONPES-DC), se aborda el tema de ajustes a matriz plan de acción y se impulsa campaña publicitaria para posicionar la Política Pública de y para la Adultez.
2. Comité Operativo Distrital para el Fenómeno de Habitabilidad en Calle (CODFHC): cuarta sesión CODFHC, septiembre 06 de 2022. En la cual se abordan los temas de ruta de atención a mujeres habitantes de calle, presentación Política Pública Nacional para Habitantes de Calle (Ministerio de Salud), georreferenciación fenómeno de habitabilidad en calle 2021 y programación mes de la habitabilidad en calle.</t>
  </si>
  <si>
    <t xml:space="preserve">"*El día 31 de octubre del 2022 se desarrolló la quinta sesión V del Comité Operativo Distrital Coda, ( Resolución 1045 del 2021). Durante la sesión se abordaron los siguientes temas estratégicos para el seguimiento e implementación de la Política Pública de y para la Adultez ( 2011-2044).
1. Presentación de Secretaría Distrital de Desarrollo Económico- Decreto 399 de 2022 sobre el Programa Empleo Incluyente);  herramienta dispuesta por el Sistema Distrital para la Mitigación del Impacto Económico, el Fomento y la Reactivación Económica, que tiene como fin incentivar la contratación laboral de las poblaciones que enfrentan brechas de acceso al empleo formal, como acción afirmativa con enfoque de género y enfoque diferencial- poblacional en respuesta a las dificultades de inclusión laboral. Decreto 399 del 2022.
2. Presentación avances en atención a adultos y adultas Proyecto 7768 SDIS
3.  Socialización de las acciones adelantadas en la localidad de Fontibón respecto de la territorialización de la PPA en la localidad de Fontibón, como parte de los retos planteados, relacionados con la difusión y posicionamiento de la Política a escala local. Para la vigencia 2023, se espera que   la subdirección local de Fontibón adelante un (1) CLOPS 2023 y proceda a la reactivación del Comité Operativo Local de Adultez COLA.
 En esta sesión participaron 47 personas.
* El día 13 de diciembre se lleva a cabo la VI sesión del Operativo Distrital Coda, ( Resolución 1045 del 2021). Durante la sesión se abordaron los siguientes temas estratégicos para el seguimiento e implementación de la Política Pública de y para la Adultez ( 2011-2044) 
1.  Socialización de los siguientes logros en la implementación de la Política Pública de y para la Adultez durante la vigencia 2022: seguimiento al Plan de Acción 2021-2025,.p posicionamiento de la PPA, a nivel territorial y difusión de la misma a través de la campaña de divulgación por distintos medios de comunicación, así como la socialización y difusión de la Política en las localidades de Bosa y Fontibón con la intención de reactivar los COLA para la vigencia 2023, rastreo de organizaciones civiles y comunitarias , principalmente, aquellas interesadas en hacerle seguimiento a la Política y al Plan de acción 2021-2025 e implementación de mesas de trabajo ( resolución 1045 del 2021).
2. Socialización de los avances de las mesas de trabajo ( resolución 1045 del 2021) Mesa de Participación y mesa de derechos económicos.
3. Proyecciones del CODA para el 2023 en el marco de la implementación y seguimiento a la Política Pública de y para la Adultez, Ejercicio participativo durante la sesión."
"El día 31 de octubre del 2022 se desarrolló la quinta V sesión del CODFHC ( Resolución 774 del 2022). Durante la sesión se abordaron los siguientes temas estratégicos para el seguimiento e implementación de la Política Pública ( 2015-2025).
1. Durante la sesión se socializaron  las siguientes  acciones adelantadas en el mes de Habitabilidad en Calle ( noviembre):  avance en la construcción de una red distrital entre organizaciones sociales y entidades, retos en la atención de salud mental de las personas habitantes de calle, atención y prevención de violencias basadas en género a mujeres habitantes de calle, abordaje del concepto de seguridad humana en el Fenómeno de habitabilidad en calle, fortalecimiento de espacios de escucha activa para las personas habitantes de calle, identificación de dinámicas actuales del fenómeno de habitabilidad en calle, para el desarrollo de acciones estratégicas.
2. Presentación de los resultados obtenidos del ejercicio de recolección de información del segundo encuentro de Mesas y Comités Locales para el Fenómeno de Habitabilidad en calle.
3. A partir de cuatro (4) preguntas,  estructuradas con base en las propuestas  (4) mesas emergentes llevadas a cabo durante la vigencia ( Inclusión Educativa y Económica, Movilización Social, Atención Sociosanitaria, y Abordaje en Calle, se realizó un trabajo colectivo con las Entidades vinculadas, con el fin de identificar la ruta de trabajo para el 2023: 
El día 13 de diciembre del 2022 se desarrolló la quinta VI sesión del CODFHC ( Resolución 774 del 2022). Durante la sesión se abordaron los siguientes temas estratégicos para el seguimiento e implementación de la Política Pública  ( 2015-2025).
1. La Secretaría técnica socializa los logros obtenidos durante la vigencia 2022 mesa de inclusión educativa y económica, avances de la mesa de movilización social, mesa de atención sociosanitaria 
2. Identificacióndependientesparaelaño2023: Fortalecer el  tema  de  prevención, la participación  de  las organizaciones sociales, ,desarrollo de capacidades s a través de las artes, el modelo educativo  flexible,  el  abordaje  de  violencias  basadas  en  género,  la  vinculación  de  la empresa privada y organizaciones con ofertas laborales para la población, vinculación educativa y laboral, inclusión a la educación superior, cualificación a los equipos de trabajo en relación al fenómeno y la población,  servicios  de  salud  y  sociales  en  las  diferentes  localidades, entre otros"
</t>
  </si>
  <si>
    <t>Brindar asistencia técnica para el seguimiento a la implementación de la Política Pública Distrital de Habitabilidad en Calle (PPDFHC), la Política Pública de y para la Adultez (PPA), y los compromisos adquiridos respecto a otras políticas públicas</t>
  </si>
  <si>
    <t>Porcentaje de avance en la elaboración de actas de asistencia tánica para el seguimiento a la implementación de la PPDFHC, la PPA y los compromisos adquiridos respecto a otras políticas públicas</t>
  </si>
  <si>
    <t>(N° actas elaboradas / N° espacios de asistencia técnica realizados) * 100</t>
  </si>
  <si>
    <t>Actas de asistencia técnica para el seguimiento a la implementación de la PPDFHC, la PPA y los compromisos adquiridos respecto a otras políticas públicas</t>
  </si>
  <si>
    <t>Nota: dado que los soportes reportados consisten en actas de ejercicios de asistencia técnica, no llevan firmas de revisión ni de aprobación. Sólo incluyen las firmas de las personas asistentes, incluyendo a las responables de la elaboración de cada acta.
POLÍTICA PÚBLICA DISTRITAL PARA EL FENÓMENO DE HABITABILIDAD EN CALLE Y RELACIONADAS
De acuerdo con el plan de trabajo para la vigencia 2022 desde la Política Pública del fenómeno Habitabilidad en calle- PPDFHC durante el primer trimestre se han realizado diferentes acciones encaminadas a fortalecer los procesos para la implementación de la PPDFHC, compromisos con otras políticas, enfoque de género, diferencial, territorial y asuntos étnicos.
Para el cumplimiento de esta tarea se han llevado a cabo asistencias técnicas de orientación y acompañamiento en las diferentes modalidades y estrategias del proyecto 7757 “Implementación de estrategias y servicios integrales para el abordaje del fenómeno de habitabilidad en calle en Bogotá” las cuales se describen a continuación. 
* Articulación con la Subred Sur Occidente (21-01-2022): se realizó proceso de articulación con la Subred Sur Occidente para presentar el programa de atención psicosocial y salud integral a víctimas - PAPSIVI para realizar atenciones psicosociales a los ciudadanos habitantes de calle víctimas del conflicto armado.
* Articulación enlace étnico Raizal Subgil y Dirección Territorial (04-02-2022): desarrollo de esfuerzos conjuntos para la construcción de la acción afirmativa concertada con la comunidad Raizal, relacionada con documento situacional.
* Asistencia técnica en el enfoque territorial (18-02-2022): la asistencia técnica se realiza con el objetivo de generar un espacio de reflexión, Interiorización, apropiación y aplicabilidad con relación al enfoque territorial y su importancia en el marco del fenómeno de la habitabilidad en calle.
* Evaluación y seguimiento a plan de trabajo 2021 Nuevas Masculinidades (23-02-2022): retroalimentación y evaluación del plan de trabajo piloto para nuevas masculinidades en el CEDID – PV.
* Evaluación y seguimiento a plan de trabajo 2021 Nuevas Masculinidades (23-02-2022): retroalimentación y evaluación del plan de trabajo piloto para nuevas masculinidades en el Comunidad de Vida el Camino.
* Diálogo de concertación con el equipo de Análisis Social y Territorial-ASTE (23-02-2022): presentación propuesta de preguntas orientadoras de la percepción de la habitabilidad en calle en el marco de las acciones afirmativas de caracterización junto con la Dirección Territorial y la Subdirección para la Adultez.
* Retroalimentación de reportes de política de género, diferencial y transversales (03-03-2022): la asistencia técnica se llevó a cabo con las y los líderes de las modalidades, estrategias y ejes del proyecto 7757. Orientada a una construcción colectiva entre el equipo de políticas públicas y los coordinadores de las diferentes modalidades y estrategias para definir los instrumentos que permitan materializar los reportes concretos.
* Cualificación enfoque étnico a los profesionales de la subAdultez (04-03-2022): se realizó proceso de cualificación de enfoque diferencial étnico a los profesionales del equipo del eje de ampliación de capacidades, con el fin de identificar los conceptos del enfoque y la transversalización.
* Cualificación enfoque étnico a los profesionales de la subAdultez (09-03-2022): se realizó proceso de cualificación de enfoque diferencial étnico a los profesionales del equipo de la Estrategia de Prevención, con el fin de identificar los conceptos del enfoque y la transversalización.
POLÍTICA PÚBLICA DE Y PARA LA ADULTEZ
Teniendo en cuenta que la implementación y seguimiento a la Política Pública de y para la Adultez se ha realizado través de la articulación intersectorial a nivel Distrital; para la Vigencia 2022 la Subdirección para la Adultez, define como uno de los retos estratégicos, fortalecer los procesos de territorialización de la misma a escala local; reconociendo que este ejercicio tendrá impacto en la identificación de nuevas vulnerabilidades, necesidades y propuestas, así como la identificación y movilización de actores sociales estratégicos  para la atención de la población adulta entre los 29 y 59 años en Bogotá.
Por ello y para lograr este objetivo la Subdirección para la Adultez, plantea como acción importante el fortalecimiento de espacios en las diferentes localidades que promuevan el posicionamiento de la Política Pública de y para la adultez. Técnicamente estos espacios son definidos como “asistencias técnicas de acompañamiento”, caracterizadas de manera general por:
* Promover articulación con los diferentes territorios a través de un ejercicio de diálogo de saberes para la comprensión y reconocimiento respecto de la importancia del grupo etario en el rango de la Adultez situado entre los 29 y 59 años. 
* Motivar un ejercicio de reflexión y compromiso en las diferentes localidades que genere impacto en la construcción de alternativas para la atención de la población adulta, que involucre a diferentes actores.
* Conocer el objetivo, metas, y estructura general de la Política Pública.
Dado este breve contexto, durante el primer trimestre de la vigencia 2022 se desarrollaron las siguientes asistencias técnicas de acompañamiento:
* Comité Operativo local de Adultez del mes de marzo - Subdirección Local Barrios Unidos y Teusaquillo (28-03-2022): en esta sesión de acompañamiento se realizó una descripción general de lo que ha sido en el tiempo la implementación de la Política, enfatizando en la importancia del rango etario de la Adultez en temas claves como la responsabilidad de la población adulta en su mayoría como jefes de hogar; así mismo se realizó una breve descripción del objetivo y de la estructura de la Política, finalizando con los retos estratégicos conjuntos desde la mirada territorial para la vigencia 2021.
* Profesionales Proyecto 7768 (18-03-2022): socialización de la Política Pública a las profesionales del Proyecto 7768, socialización del plan de acción visibilizando los productos a cargo del Proyecto 7768, entrega de caja de herramientas con marco normativo de la PPA, presentación y plan de acción.
* Subdirectores locales SDIS (02-03-2022): desarrollo de acciones de articulación para la implementación de la Política Pública de y para la Adultez, desde las dinámicas territoriales, socialización de la PPA y del Plan de Acción de la Política Pública de y para la Adultez 2021 - 20225 (CONPES 21 de 2021).
* Sesión ordinaria presencial Unidad de Apoyo Técnico Bosa (15/03/2022): se explica la importancia de la Política Pública de Adultez, haciendo referencia a que este grupo, compuesto por personas entre 29 a 59 años, representa el 45% del total de la ciudad y es un sujeto político y agente productivo en la sociedad. Se menciona el desarrollo de la Política Pública desde el año 2010 y su proyección hasta el 2025, y la estructura de la misma. Se socializan las apuestas para la población adulta desde del Plan de Acción PPA 2020–2025, las entidades y sectores que aportan a transversalizar y territorializar la PPA y los temas generadores de la localidad.</t>
  </si>
  <si>
    <t>Política Pública Distrital para el Fenómeno de Habitabilidad en Calle (PPDFHC)
Desde la implementación de la PPDFHC, en el segundo trimestre se realizaron 19 espacios de asistencia técnica no solo en la implementación de la PPDFHC, sino de algunos compromisos de política, cada una de estas asistencias cuenta con la ficha técnica y lista de asistencia. A continuación se describe cada uno.
Asistencia técnica en el enfoque territorial: se realiza asistencia técnica con el equipo del Hogar los Mártires, Voto Nacional y Bakatá. Este espacio busca generar reflexión, interiorización, apropiación y aplicabilidad en relación con el enfoque territorial y su importancia en el marco del fenómeno de la habitabilidad en calle, con los y las funcionarios/servidores del Hogar de paso Los Mártires.
Asistencia técnica- Alternativas complementarias: se realizó socialización de la metodología Alternativas complementarias para el desarrollo de capacidades orientadas a la modificación de patrones de consumo de sustancias psicoactivas en población habitante de calle con consumo de sustancias psicoactivas. Producto concertado con la Política Pública de prevención y atención de sustancias Psicoactivas.  Estas jornadas se realizaron con el equipo de coordinadoras y coordinadores locales  y el equipo del hogar de paso la Sabana.
Asistencia técnica en recomendaciones nutricionales: socialización a profesionales de las Modalidades del Proyecto 7757 el documento de consideraciones nutricionales   y   alternativas alimentarias, para personas habitantes de calle, consumidoras de sustancias psicoactivas, en el marco de las acciones adelantadas en articulación con la “Política Pública de prevención y atención del consumo y la prevención de la vinculación a la oferta de sustancias psicoactivas en Bogotá”
Asistencia técnica en Política Pública de Habitabilidad en Calle: se adelanta un proceso de socialización y construcción colectiva en torno al tema de la Política Pública de Habitabilidad en Calle y la forma en que se materializan los componentes y líneas de acción desde los diferentes espacios del proyecto con el objetivo de Orientar de forma técnica en las diferentes modalidades y estrategias del proyecto 7757 “implementación de estrategias y servicios integrales para el abordaje del fenómeno de habitabilidad en calle en Bogotá” en la implementación de la Política Pública distrital para el Fenómeno de Habitabilidad en calle a fin de que se garantice una atención integral a las y los ciudadanos habitantes de calle que acuden a hacer uso de los servicio
Articulación Subdirección para la Discapacidad: Identificación del riesgo del inicio de la habitabilidad en calle, a partir del concepto de riesgo y tipos de riesgo (medio, bajo y alto), que trabaja la estrategia de prevención del proyecto 7757; a través de una jornada de cualificación dirigida al talento humano de la subdirección para la discapacidad, con el fin de orientar y/o atender a la población habitante de calle y con discapacidad, teniendo en cuenta sus características y particularidades. En este sentido, se busca aportar en la activación de rutas de atención pertinente para la población que solicita los servicios de las dos subdirecciones (discapacidad y adultez), brindando respuesta según su caso y necesidades manifiestas.
Articulación Subdirección para las Familias: Cualificación del talento humano de la subdirección para la familia, sobre la Política Pública para el Fenómeno de Habitabilidad en Calle - PPDFHC, con el fin de brindar conocimiento y herramientas en los procesos de abordaje y atención de las familias de Bogotá, teniendo en cuenta que el fenómeno está presente en este grupo poblacional y que es necesario el conocimiento en materia de política pública y servicios para esta población. Lo anterior, fortalece la adecuada activación de las rutas de atención y aporta la articulación interinstitucional que busca la garantía de los derechos de las familias y personas vinculadas al fenómeno de habitabilidad en calle.
Cualificación Afrocolombiana: el objetivo está relacionado con promover la reflexión, apropiación para la identificación de la población ciudadana en riesgo o habitabilidad en calle que se autoreconoce como Afrocolombiano, este ejercicio tiene dos componentes el primero la percepción del enfoque a partir del diligenciamiento de un cuestionario que tiene preguntas que orientarán los conocimientos que tiene el talento humano de la Subdirección para la Adultez sobre el tema, posteriormente el segundo momento será el de comprender la historia e identidad cultural de esta comunidad de una manera amplia y reflexiva. En el segundo trimestre del año se realizaron cualificaciones con  Equipo Territorial en las localidades Antonio Nariño, Usme y  Kennedy (1) acta asistencia por cada localidad y en las Unidades Operativas de, Voto Nacional,  Bakata, Puente Aranda y El Camino (1) acta asistencia por cada unidad operativa
Cualificación étnico raizal: el objetivo está relacionado con promover la reflexión, apropiación para la identificación de la población ciudadana en riesgo o habitabilidad en calle que pertenece a la comunidad raizal, este ejercicio se ha llevado a cabo en articulación con referentes étnico-raizales de la Sub-GIL de la SDIS y equipo SubRedNorte. El ejercicio tiene dos componentes, a través de un juego inicial se identifica la percepción del enfoque por parte del talento humano de la Subdirección para la Adultez a partir de sus conocimientos básicos, posteriormente el segundo momento será el de comprender la historia e identidad cultural de esta comunidad de una manera amplia y reflexiva.
Equipo territorial: en el segundo trimestre del año se llevaron a cabo cualificaciones por cada una de las zonas sociales. Se dispone del acta de cada zona.
Política Pública de y para la Adultez (PPA)
Respecto a la PPA las evidencias están en el marco de:
* Articulación proyecto 7768: (3) actas - listados de asistencia de cualificación, (1) acta entrega de material pedagógico.
Respecto a la descripción: Identificación de actor estratégico SDIS interno, proyecto 7768 7768  “Implementación de una estrategia de acompañamiento a hogares con mayor pobreza evidente y oculta de Bogotá, esto teniendo en cuenta que la población objeto en la atención a pobreza oculta refiere de 29 a 59 años”, con el cual se han articulado acciones orientadas a la cualificación del equipo de trabajo, en el marco de la Política de Adultez, para poder socializarla visibilizarla en espacios locales como Comités Rectores, entre otros.
* Localidad Usme: Socialización PPA acta listado en el marco del comité rector.
* CLOPS Mártires: Reunión cualificación PPA equipo de trabajo Subdirección Local - para el desarrollo del ejercicio metodológico del CLOPS Adultez.
* CLOPS Bosa: (2) Acta - listado UAT meses de abril y mayo, en el cual se socializó la metodología CLOPS, acuerdos compromisos y acciones para la realización del mismo. (1) Acta - Listado CLOPS Bosa que se llevó a cabo el 17 de mayo.
* Cualificación equipo Referentes Política de y para la Adultez el 31 de mayo.</t>
  </si>
  <si>
    <t>Asistencias técnicas
1. Jornada encuentro pedagogías sobre las políticas públicas del bloque de género, agosto 29-22. Objetivo: orientar las acciones pedagógicas desarrolladas para la implementación y reporte a las políticas públicas con los equipos de trabajo de la Subdirección para la Adultez.
2. Socialización de la metodología de los Consejos Locales de Política Social (CLOPS) pertinentes a la Política Pública Distrital para el Fenómeno de Habitabilidad en Calle (PPDFHC) a nivel territorial, septiembre 08-2022.  Objetivo: presentar la metodología CLOPS aprobada por dirección territorial, a los coordinadores locales de la Subdirección para la Adultez.
3. Validación recomendaciones nutricionales, septiembre 09-22. Objetivo: validar participativamente con la población habitante de calle la propuesta consideraciones nutricionales construida en el marco de la implementación de la Política Pública Distrital de Sustancias Psicoactivas.
4. Transversalización del enfoque de género y diferencial para mujeres, septiembre 26-22. Objetivo: socializar la propuesta de adecuación a los módulos de Educación Menstrual para el Autocuidado y el Autoconocimiento (EMAA) construida por funcionarias de las unidades operativas de la SDIS.
5. Construcción colectiva PPDFHC promotoría social, septiembre 7-22. Objetivo: orientar los equipos de promotoría social de la Subdirección para la Adultez, en la comprensión e implementación de acciones bajo los lineamientos de la Política Pública Distrital para el Fenómeno de Habitabilidad en Calle, a través de recursos pedagógicos participativos que promuevan la reflexión colectiva.
Mesas emergentes
1. Mesa emergente de atención sociosanitaria, septiembre 02 de 2022. En la cual se aborda el tema de contexto documento Secretaría de Salud y plan de trabajo de la mesa.
2. Mesa de movilización ciudadana, agosto 11 de 2022. En la cual se trabaja contextualización de la mesa emergente y temas estratégicos que trabajarán en la misma, en la cual participan organizaciones de la sociedad civil que trabajan por el fenómeno de habitabilidad en calle.
3.  Mesa de movilización ciudadana, septiembre 17 de 2022. En la cual se trabaja mapa de la empatía y mes de la habitabilidad en calle.
4. Mesa emergente de Inclusión Educativa y Económica 31-08-2022. Se trabaja articulación Secretará Distrital de Integración social con el proyecto de habitante de calle y Secretaría de educación, para lograr fortalecer la estrategia CIPREIA de educación flexible.</t>
  </si>
  <si>
    <t xml:space="preserve"> Se llevaron a cabo procesos de asistencia técnica en la implementación de acciones diferenciales con enfoque étnico, razón por la cual, las unidades operativas desde las acciones propias del servicio, desarrollaron la replica con las personas habitantes de calle que son atendidas en cada una de estas. 
Se realizó la cualificación al equipo técnico y políticas públicas sobre el proceso de actualización del modelo distrital de la Política Pública Distrital del Fenómeno de Habitabilidad en calle, recogiendo las acciones realizadas durante la vigencia 2022, con el fin de planear el proceso que se llevará a cabo en el próximo año.
Se realizaron las mesas emergentes de la política pública, en especial la relacionada con la inclusión educativa y económica de las personas habitantes de calle. A través de estas, se logró la articulación con entidades externas como SDDE, IPES, IDIPRON, EDUCACIÓN, SENA, entre otras. También se logró fortalecer la estrategia de educación flexible CIPREIA.
</t>
  </si>
  <si>
    <t>Brindar asistencia técnica para la implementación de los lineamientos de las modalidades de servicio con miras a la dignificación y resignificación del fenómeno de habitabilidad en calle</t>
  </si>
  <si>
    <t>Porcentaje de avance en los seguimientos a la asistencia técnica para la implementación de los lineamientos de las modalidades de servicio con miras a la dignificación y resginificación del fenómeno de habitabilidad en calle</t>
  </si>
  <si>
    <t>(No de actas de seguimientos realizados/ No de actas de seguimientos programados)*100</t>
  </si>
  <si>
    <t xml:space="preserve">Actas de seguimiento a la asistencia técnica para la implementación de los lineamientos correspondientes a las modalidades de servicio </t>
  </si>
  <si>
    <t xml:space="preserve">Nota: dado que los soportes reportados consisten en actas de ejercicios de asistencia técnica, no llevan firmas de revisión ni de aprobación. Sólo incluyen las firmas de las personas asistentes, incluyendo a las responables de la elaboración de cada acta.
Durante el primer trimestre de la vigencia 2022 se realizaron a finales de enero y principios de febrero jornadas de planeación estratégica con todos los lideres y lideresas de estrategias y modalidades con el fin de generar claridades en general en torno a la linea técnica y apuestas estratégicas de la Subdirección para la Adultez. Con base en esto, se programaron y desarrollaron asistencias técnicas para fortalecer la implementación de los lineamientos técnicos del servicio para la dignificación y resignificación del fenómeno de habitabilidad en calle de la siguiente forma:
1. Territorios: Se desarrolló una primera asistencia técnica el 17 de marzo con las y los coordinadores(as) locales , con el fin de realizar un diagnóstico en torno a las principales necesidades para el fortalecimiento de las capacidades del talento humano en relación con la implementación de la estrategia de prevención de la habitabilidad en calle, la estrategia móvil de abordaje en calle y la estrategia de abordaje comunitario, reuniendo los insumos para la elaboración de una plan de asistencias técnicas para el talento humano de dichas estrategias.
2. Modalidades (Unidades Operativas): En primer lugar se desarrollaron dos jornadas de asistencias técnicas con lideresas y lideres de unidades operativas en torno a la construcción del Plan de Atención Institucional (PAI) el cual es un instrumento que permite hacer seguimiento y monitoreo a la implementación de los lineamientos técnicos de las modalidades, estas asistencias fueron realizadas los dias 4 y 18 de marzo. De otra parte se realizaron una asistencia técnica en el Centro de atención a personas habitantes de calle con alta dependencia física, mental o cognitiva en la Mesa (Cundinamarca) el día 28 de marzo, haciendo claridades generales sobre el lineamiento técnicoy el anexo técnico en tanto es una modalidad tercerizada. Por otro lado se realizó una asistencia técnica para dar claridades generales sobre el lineamiento técnico de la modalidad en el Centro de Autocuidado Puente Aranda el día 07 de marzo, adicionalmente se tocaron aspectos fundamentales de la resolución 509 de 2021 y del enfoque de mitigación de riesgos y reducción de daños para le bajo umbral. Finalmente, con centro de atención socio sanitaria Balcanes , se llevaron dos asistencias técnicas con el fin de ajustar el lineamiento técnico de la modalidad de acuerdo con la experiencia en la atención del año 2021, de manera que se aclararon conceptos básicos para el desarrollo del mismo, estas asistencias se desarrollaron los días 8 y 30 de marzo.
3. Eje de ampliación de capacidades y generación de oportunidades: Respecto al eje que es transversal a la implementación del servicio, se tuvieron 3 asistencias técnicas relacionadas con hacer claridades sobre las orientaciones metodológicas y conceptuales del eje con sus 3 estrategias (artes, generación de oportunidades y desarrollo socio ocupacional) y con identificar las necesidades del talento humano para el fortalecimiento de capacidades para la atención de la población y la articulación con las modalidades y estrategias, estas asistencias se llevaron a cabo los días 17 de febrero, 02 y 23 de marzo. </t>
  </si>
  <si>
    <t>Durante el segundo trimestre se desarrollaron en total 24 espacios de asistencia técnica, con participación de los equipos de modalidades y estrategias. Se avanzó en la construcción de planes de atención institucional (modalidades), planes de trabajo territoriales (estrategias) y planes de trabajo (eje de ampliación de capacidades y generación de oportunidades). En este marco, se aportó a la identificación de tareas estratégicas y a la especificación de acciones de acuerdo con los objetivos, alcances e impactos proyectados respecto a la población sujeto de atención. A la fecha, todos los planes construidos se encuentran en etapa de implementación.
Enseguida se describen brevemente los espacios de asistencia realizados.
* Desde las estrategias territoriales (estrategia móvil de abordaje en cale, estrategia de prevención de la habitabilidad en calle, y estrategia de abordaje comunitario), en el trimestre se realizan asistencias técnicas en 2 aspectos principales:
  - Socialización de propuesta para la creación del documento de lecturas territoriales 2022, se realiza junto con el equipo de Políticas Públicas (introducción, caracterización de la población adulta en pobreza extrema-localidad, dinámicas territoriales del fenómeno de habitabilidad en calle-localidad y conclusiones).
  - Procesos de cualificación continúa al talento humano, en procesos de fortalecimiento conceptual de los equipos de coordinadores locales, profesionales interdisciplinares y mediadores sociales, en temas como lineamientos técnicos de cada estrategia, rol de las y los mediadores sociales, mapeo de actores y Espacios de diálogo sobre el fenómeno de habitabilidad en calle (ESDHAC).
* Con el eje de ampliación de capacidades y generación de oportunidades, se desarrollan las siguientes acciones:
  - Al inicio del trimestre se realiza mesa de trabajo para el ajuste de la Guía de Implementación de los ejes transversales, desde la reorganización de las líneas de acción y de acciones estratégicas del eje de manera que se evidencie la relevancia de cada estrategia para el proyecto. 
  - Con la estrategia de desarrollo socio-ocupacional, se aporta desde las asistencias técnicas con la revisión de la propuesta de formato de gustos e intereses, el cual aportará a la identificación de necesidades por parte de las ciudadanas y ciudadanos habitantes de calle o en riesgo de estarlo en las diferentes estrategias y modalidades.
  - Acompañamiento técnico en la estructuración de la ruta de seguimiento y acompañamiento a los avances de la inclusión social de ciudadanos y ciudadanas habitantes de calle y en riesgo de estarlo, a partir de la identificación de acciones estratégicas desde cada uno de los umbrales de atención, este documento se envía a la líder para iniciar proceso de oficialización el día 13 de mayo.
* En la modalidad de autocuidado se realizan asistencias técnicas relacionadas con la apropiación conceptual del lineamiento técnico de la modalidad, específicamente en la implementación de los enfoques Diferencial y Territorial en la atención a las ciudadanas y ciudadanos habitantes de calle y personas en alto riesgo de estarlo.
* Con la modalidad de Hogar de paso día y hogar de paso noche, se realizan asistencias técnicas relacionadas con procesos de cualificación del talento humano, de manera que desde las necesidades técnicas, se refuercen aspectos como lineamiento técnico, identificación de las rutas de atención, instrumentos de recolección de la información, articulación de acciones con enfoque territorial.
* Con la modalidad Centro de Desarrollo Integral y Diferencial Proyecto de Vida CEDID-PV, se realizó la identificación de las acciones estratégicas de la modalidad en cada una de las líneas de atención del lineamiento técnico, para consolidar una propuesta articulada en el Plan de Atención Institucional. Para ello se hace orientación al equipo de trabajo y lideresa de la modalidad.
* Con la modalidad Centro de atención Sociosanitaria para ciudadanas y ciudadanos habitantes de calle, las asistencias técnicas se centraron en la orientación para la construcción del Plan de Atención Institucional como herramienta de planeación en la cual es necesario registrar las acciones estratégicas de la modalidad desde los enfoques de atención y los elementos centrales en la atención.
* En el centro de atención a ciudadanas y ciudadanos habitantes de calle con alta dependencia física, mental o cognitiva, la asistencia técnica se enfoca en la implementación de acciones de cualificación al talento humano desde el enfoque diferencial, propendiendo la comprensión de las diferencias desde el ejercicio de la modalidad.</t>
  </si>
  <si>
    <t>Se recomienda dar claridad de la cantidad de sesiones programadas y realizadas y sus respectivas actas de reunión. 21/07/2022 Se subsana por parte del área y no se generan más observaciones.</t>
  </si>
  <si>
    <t>Durante el tercer trimestre del año se adelantó una asistencia técnica con todos los líderes de modalidades y estrategias en el marco de la revisión de avances en la implementación del Plan de Atención Institucional (PAI) de cada unidad operativa del servicio social y de los equipos territoriales, como parte de la implementación de los lineamientos. En este espacio se socializaron las acciones adelantadas hasta el momento y se revisaron posibles ajustes para implementar en el último trimestre del año. Por otra parte, se adelantaron asistencias con equipo de territorios teniendo en cuenta los ajustes definidos desde el proyecto en la implementación de la estrategia de prevención, se revisaron los documentos técnicos y formatos, específicamente en lo relacionado con la Ruta de Atención para Personas en Riesgo de Habitar la Calle (RAPAR). Adicionalmente, durante el periodo se participó en reunión de la estrategia socio-ocupacional del eje de ampliación de capacidades y generación de oportunidades, como parte del acompañamiento a las acciones que desde allí se desarrollan de manera transversal en el servicio social y que aportan a la implementación de los lineamientos de atención.
Finalmente, se realizó asistencia técnica y acompañamiento para la caracterización de personas que hacen uso de carretas, en el marco de las acciones adelantadas por el equipo de territorios.
Es preciso mencionar que durante el periodo se presentó contingencia de contratación del talento humano lo cual impidió realizar asistencias técnicas en todas las modalidades de atención, adicionalmente el equipo contratado se enfocó en acompañar la implementación de la caracterización de personas que hacen uso de carretas.</t>
  </si>
  <si>
    <t>Durante el cuarto trimestre del año se adelantó asistencia técnica con los profesionales de todas las unidades operativas relacionada con la implementación del formato de estudio de caso y la aplicación del instrumento de tamizaje. Adicionalmente se realizó una asistencia técnica con líderes y lideresas de las unidades operativas y estrategias relacionada con los dos temas antes mencionados y con la Ruta de Atención para Personas en Riesgo de Habitar la Calle (RAPAR). Con esto, se termina el proceso de cualificación para que estas herramientas sean aplicadas de manera transversal en las modalidades y estrategias, instalando capacidades y unificando criterios técnicos y conceptuales. 
Aunado a lo anterior, se realizó seguimiento y evaluación a la implementación del Plan de Atención Institucional (PAI) por parte de cada unidad operativa identificando logros, dificultades y oportunidades de mejora, además de recoger información frente al formato como herramienta de planeación, el cual aporta a la consolidación de acciones estratégicas para cada unidad operativa, de acuerdo con los elementos propios del lineamiento y las especificidades en la atención. 
En el marco de las asistencias técnicas con las estrategias territoriales (Estrategia móvil de abordaje en calle, Estrategia de prevención de la habitabilidad en calle, y Estrategia de abordaje comunitario) se adelantaron espacios de socialización del operativo y del instrumento de la caracterización de población carretera 2022, liderada desde el sector social (SDIS e IDIPRON) como respuesta a las disposiciones del decreto 019 de 2022. 
Por otra parte, se realizó acompañamiento en la revisión de documentos técnicos controlados y no controlados desde el Sistema Integral de Gestión y se generaron mesas de trabajo para el ajuste de la Ruta de Atención para Personas en Riesgo de Habitar la Calle (RAPAR) y la presentación preliminar de resultados de la Georreferenciación: Análisis de las dinámicas territoriales de las personas habitantes de calle en Bogotá, parches, cambuches, flotantes y personas en riesgo de habitar calle por pobreza extrema, con el fin de recoger información cualitativa por parte del equipo territorial de acuerdo con las dinámicas propias del territorio y así complementar el documento final. 
Sumado a lo anterior y teniendo en cuenta la oficialización de la Guía de orientaciones metodológicas y pedagógicas para la implementación de los ejes transversales, se realizó asistencia técnica con el talento humano del eje de ampliación de capacidades y generación de oportunidades, socializando los aspectos generales de este documento que especifica las acciones estratégicas de este eje transversal.</t>
  </si>
  <si>
    <t>Cumplir con las metas del proyecto de inversión 7757</t>
  </si>
  <si>
    <t>3. Fortalecer el desempeño del sector social, enmarcado en la transformación de los servicios sociales, el desarrollo del recurso humano, la infraestructura, la tecnología, la gestión de conocimiento, la innovación, la transparencia, y  control, con el fi</t>
  </si>
  <si>
    <t>Cumplir con las metas del proyecto de inversión 7771</t>
  </si>
  <si>
    <t>% de avance en el cumplimiento de las metas del proyecto de inversión para la vigencia</t>
  </si>
  <si>
    <r>
      <t>Σ</t>
    </r>
    <r>
      <rPr>
        <sz val="11"/>
        <rFont val="Arial"/>
        <family val="2"/>
      </rPr>
      <t>% de avance en las metas del proyecto de inversión en la fecha de corte / Σ% programado en las metas del proyecto de inversión en la fecha de corte x 100</t>
    </r>
  </si>
  <si>
    <t>31/01/2022</t>
  </si>
  <si>
    <t>Subdirección para la Discapacidad</t>
  </si>
  <si>
    <t>El equipo de analistas de la Subdirección de Diseño, Evaluación y Sistematización, reporta un cumplimiento del 80% de acuerdo con lo programado para el trimestre</t>
  </si>
  <si>
    <t xml:space="preserve">planeación institucional </t>
  </si>
  <si>
    <t xml:space="preserve"> Inversión</t>
  </si>
  <si>
    <t>3. Incrementar a 2561 personas con discapacidad, sus familias y cuidadores-as en procesos de inclusión en los entornos educativo y productivo con enfoque territorial y diferencial, en el marco de una articulación transectorial</t>
  </si>
  <si>
    <t>Articular espacios con sectores público o privado para promover la inclusión de personas con discapacidad, cuidadores-as en entorno productivo</t>
  </si>
  <si>
    <t>Actas de articulaciones concertadas para promover oportunidades de inclusión de las personas con discapacidad, sus familias y cuidadores(as) en  entorno productivo</t>
  </si>
  <si>
    <t>Número de actas de articulaciones efectivas</t>
  </si>
  <si>
    <t>Actas de reunión y Matriz de registro de articulaciones</t>
  </si>
  <si>
    <t xml:space="preserve">Uno de los retos de la Subdirección para la Discapacidad es la gestión para generar oportunidades que posibiliten la inclusión de las personas con discapacidad en diferentes entornos, en especial el productivo y es asi como gracias ello el equipo de la Estrategia de Fortalecimiento a la Inclusión ha realizado articulaciones con entidades de los sectores público y privado para la vinculacion efectiva de la población con discapacidad (personas con discapacidad y cuidadores-as de personas con discapacidad) , además de adelantar ejercicios de sensibilización que reduzcan las barreras en torno a la discapacidad.  En el primer trimestre del año la Estrategia de Fortalecimiento a la Inclusión - EFI, alcanzó procesos de inclusión efectiva en los entornos productivo y educativo a partir de 67 ejercicios de articulación con instituciones educativas y el sector empresarial, dentro de las cuales 47 son de carácter público y las 20 restantes del privado. De estos procesos de articulación, 18 corresponden al entorno productivo.
</t>
  </si>
  <si>
    <t>Se recomienda relacionar en el avance cualitativo cuantas fueron las reuniones que se realizaron durante el trimestre. Adicionalmente, se sugiere unificar el formato del acta de las reuniones.</t>
  </si>
  <si>
    <r>
      <rPr>
        <sz val="11"/>
        <color rgb="FF000000"/>
        <rFont val="Arial"/>
        <family val="2"/>
      </rPr>
      <t xml:space="preserve">Durante el periodo de reporte la Subdirección para la Discapacidad adelantó 18 articulaciones logrando avances importantes en la consolidación de acciones de articulación con entidades públicas y privadas que han posiiblitado la inclusión y la sensibilización en el entorno productivo, es asi como se han logrado un total de 107 articulaciones en lo corrido del año, de las cuales se han adelantado con entidades del sector privado (22) y con el sector público (5), para un total de 27. </t>
    </r>
    <r>
      <rPr>
        <sz val="11"/>
        <color rgb="FF305496"/>
        <rFont val="Arial"/>
        <family val="2"/>
      </rPr>
      <t xml:space="preserve"> De acuerdo con la meta programada para el periodo  se cumplió con las 3 de reuniones programadas  para la inclusión de personas con discapacidad en el entorno productivo con una ejecución del 100% en la meta establecida para el indicador. </t>
    </r>
  </si>
  <si>
    <t>Se genera observación respecto al número de actas programadas frente a lo reportado, se sugiere ajustar. 19/07/2022 se ajusta por parte del área y no se generan más observaciones</t>
  </si>
  <si>
    <t xml:space="preserve">Dando continuidad en la vigencia a la gestión que adelanta la Subdirección para la Discapacidad para generar oportunidades que posibiliten la inclusión de las personas con discapacidad en el entorno productivo, el equipo de la Estrategia de Fortalecimiento a la Inclusión ha realizado articulaciones con entidades de los sectores público y privado para la vinculación efectiva de la población con discapacidad (personas con discapacidad y cuidadores-as de personas con discapacidad) , además de adelantar ejercicios de sensibilización que reduzcan las barreras en torno a la discapacidad, es así como se han logrado un total de 53 articulaciones en lo corrido del año de las cuales 11 se adelantaron en el periodo de reporte.  Respecto a la meta programada se cumplió con las 3 reuniones programadas para la inclusión de personas con discapacidad en el entorno productivo con una ejecución del 100% en la meta establecida para el indicador.  </t>
  </si>
  <si>
    <t> La Subdirección para la Discapacidad durante la vigencia 2022 generó oportunidades que han permitido la inclusión de las personas con discapacidad en el entorno productivo, a través del equipo de la Estrategia de Fortalecimiento a la Inclusión que ha realizado articulaciones con entidades de los sectores público y privado para la vinculación efectiva de la población con discapacidad (personas con discapacidad y cuidadores-as de personas con discapacidad) , además de adelantar ejercicios de sensibilización que reduzcan las barreras en torno a la discapacidad, es así como se han logrado un total de 55 articulaciones en lo corrido del año, de las cuales 2 se adelantaron en el periodo de reporte.  Respecto a la meta programada se cumplió con 2 reuniones programadas para la inclusión de personas con discapacidad en el entorno productivo con una ejecución del 100% en la meta establecida para el indicador.</t>
  </si>
  <si>
    <t xml:space="preserve">Articular espacios con sectores público o privado para promover la inclusión de personas con discapacidad, cuidadores-as en entorno educativo </t>
  </si>
  <si>
    <t>Actas de articulaciones concertadas para promover oportunidades de inclusión de las personas con discapacidad, sus familias y cuidadores(as) en  entorno educativo</t>
  </si>
  <si>
    <t>Número de  actas de articulaciones efectivas/ Número de  actas de articulaciones gestionadas</t>
  </si>
  <si>
    <t xml:space="preserve">La Subdirección para la Discapacidad a partir de la apertura progresiva de entidades del sector educativo en 2022, viene adelantando a través de las modalidades de atención y la Estrategia de Fortaleciimiento para la Inclusión acciones de articulación que permitan la inclusión de niños, niñas, adolescentes, jovenes y adultos-as en entorno educativo. En el primer trimestre del año la Estrategia de Fortalecimiento a la Inclusión - EFI, alcanzó procesos de inclusión efectiva en los entornos tanto productivo como educativo a partir de 67 ejercicios de articulación con instituciones educativas y el sector empresarial, dentro de las cuales 47 son de carácter público y las 20 restantes del privado. De estos procesos de articulación, 49 corresponden al entorno educativo.
</t>
  </si>
  <si>
    <t>En el segundo trimestre de 2022, se han realizado 21 articulaciones permitiendo avances significativos con el sector educativo  para la inclusión de las personas con discapacidad, luego de la apertura de colegios y universidades, es así como se ha logrado  un acumulado de 80 articulaciones de las cuales (8) correspponden a entidades educativas del sector privado y (72) al entidades educativas del sector público. De acuerdo con la meta programada para el periodo  se cumplió con las 4 de reuniones programadas  para la inclusión de personas con discapacidad en el entorno educativo con una ejecución del 100% en la meta establecida para el indicador.</t>
  </si>
  <si>
    <t xml:space="preserve">En el tercer trimestre de 2022 , se adelantaron 18 articulaciones que han permitido la inclusión de niños, niñas, adolescentes, jóvenes y adultos-as en el entorno educativo y el acompañamiento para la implementación de ajustes en los Planes Individuales de acuerdo a los ajustes razonables (PIAR) y actividades para el fortalecimiento de habilidades cognitivas como atención, memoria y concentración, logrando 88 en total en lo corrido de la vigencia. De acuerdo con la meta programada para el periodo, se cumplió con las 4 de reuniones programadas para la inclusión de personas con discapacidad en el entorno educativo con una ejecución del 100% en la meta establecida para el indicador. </t>
  </si>
  <si>
    <t xml:space="preserve"> En la vigencia 2022, la Subdirección para la Discapacidad adelantó gestión con  universidades y centros  de formación  tecnológica  para  fomentar  la  vinculación  de  las  personas  con  discapacidad  y  sus familias en procesos de educación técnica, tecnológica y universitaria. Así las cosas, se realizaron 7 articulaciones durante el periodo de reporte, que han permitido la inclusión de niños, niñas, adolescentes, jóvenes y adultos-as en el entorno educativo y el acompañamiento para la implementación de ajustes en los Planes Individuales, logrando 95 en total en lo corrido de la vigencia. El aliado con mayor representatividad en el proceso desarrollado de articulación ha sido el Servicio Nacional de Aprendizaje SENA. En cuanto a la meta programada para el periodo, se cumplió con las 4 de reuniones programadas para la inclusión de personas con discapacidad en el entorno educativo con una ejecución del 100% en la meta establecida para el indicador. </t>
  </si>
  <si>
    <t>5. 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t>
  </si>
  <si>
    <t>2. Implementar un plan de acción para coordinar la implementación y el seguimiento de la Política pública para las familias</t>
  </si>
  <si>
    <t>Elaborar el informe de implementación del Plan de Acción de la Política pública para las familias para la vigencia del 2022</t>
  </si>
  <si>
    <t>Porcentaje de avance en la implementación del Plan de Acción de la Política pública para las familias para la vigencia del 2022</t>
  </si>
  <si>
    <t>Un (1) informe de implementación del Plan de Acción de la Política pública para las familias para la vigencia del 2022</t>
  </si>
  <si>
    <t>Informe de avance en la implementación del Plan de Acción de la Política pública para las familias</t>
  </si>
  <si>
    <t>0,5</t>
  </si>
  <si>
    <t>En el marco del Plan de Desarrollo “Un Nuevo Contrato Social y Ambiental para la Bogotá del Siglo XXI 2020-2024”, durante la vigencia del 2022, la Subdirección para la Familia elaboró el informe de seguimiento al Plan de Acción de la Política Pública para las Familias de la vigencia 2021, que contiene 55 productos estratégicos que impactan 11 resultados transversales en la ciudad. Durante el mes de mayo de 2022, este fue aprobado para su publicación.
La implementación del Plan de Acción de la Política Pública para las Familias en el cuatrienio permite materializar los derechos que la Política consagra para las familias de Bogotá, estos son el derecho a vivir una vida libre de violencias, a permanecer unidas, a la intimidad, a la vivienda digna y a la seguridad económica, como sujeto colectivo de derechos.
En el marco del Plan, el pasado mes de mayo se desarrolló la celebración del mes de la familia que dio apertura con la realización de una feria de servicios en el Parque Metropolitano El Tunal, en donde las familias pudieron conocer los productos de todos los sectores del distrito dirigidos a garantizar sus derechos. Entre otras actividades, se realizó también el Foro Académico “Familias, cuidado y salud mental, avances, retos y perspectivas dirigido a la ciudadanía general y funcionarios del distrito” que contó con la participación de más de 200 personas durante un día, constituyéndose en un espacio para la movilización institucional en torno a las principales necesidades de las familias.
Adicionalmente, se han realizado once (11) programas de radio llamados: "Familias que Tejen y Protegen, agentes de cambio para el siglo XXI". que buscan contribuir al posicionamiento de la Política Pública para las Familias y así dar cumplimiento al objetivo general de la estrategia de comunicación. También, se han realizado 3 talleres de divulgación de la Política Pública para las Familias dirigido a las y los referentes de familia de las 20 localidades de Bogotá y al equipo interdisciplinario del “Castillo las Artes” que coordina IDIPRON y a funcionarios y contratistas de IDIPRON con el propósito de dar línea técnica en la divulgación de la política. Estas acciones de comunicación, en particular el evento de lanzamiento de Plan, permite a la ciudadanía conocer los derechos y su materialización en productos concretos que la Política consagra para las familias de Bogotá en su reconocimiento como sujeto colectivo de derechos.</t>
  </si>
  <si>
    <t>Informe anual de la implementación del Plan de Acción de la Política pública para las familias</t>
  </si>
  <si>
    <t> En el marco del Plan de Desarrollo “Un Nuevo Contrato Social y Ambiental para la Bogotá del Siglo XXI 2020-2024”, durante la vigencia del 2022, la Secretaría Distrital de Integración Social continuó la implementación del Plan de Acción de la Política Pública para las Familias de la vigencia 2021, que contiene 55 productos estratégicos que impactan 11 resultados transversales en la ciudad. Durante el mes de mayo de 2022, este fue aprobado para su publicación. En el mes de junio, se realizó el evento de lanzamiento del Plan de Acción de la PPPF 2021-2025 denominado: “El plan para las familias de Bogotá” en el marco de su estrategia de comunicación, Plan que fue aprobado mediante documento CONPES No.18. El evento contó con la participación de alrededor de 300 personas.
En el marco del Plan, desde la Subdirección para la Familia, se desarrolló la celebración del mes de la familia que dio apertura con la realización de una feria de servicios en el Parque Metropolitano El Tunal, se realizaron veintitres(23) programas de radio llamados: "Familias que Tejen y Protegen, agentes de cambio para el siglo XXI", se elaboró, publicó y socializó el primer portafolio de trámites y servicios dirigido a las familias de Bogotá denominado “Familiando por los derechos”, y se implementó el Modelo de Atención Integral a Familias – MAIF, iniciando con 20 familias de los servicios sociales de la SDIS.
La implementación del Plan de Acción de la Política Pública para las Familias en el cuatrienio permite materializar los derechos que la Política consagra para las familias de Bogotá, estos son el derecho a vivir una vida libre de violencias, a permanecer unidas, a la intimidad, a la vivienda digna y a la seguridad económica, como sujeto colectivo de derechos.</t>
  </si>
  <si>
    <t>Se recomienda incluir la trazabilidad de firmas de quien elabora, revisa y aprueba</t>
  </si>
  <si>
    <t>Elaborar el informe de implementación del Plan Distrital de prevención de las Violencias contra las niñas,  los niños, adolescentes, mujeres y personas mayores, de carácter interinstitucional e intersectorial con enfoque de derechos, diferencial, poblacional, ambiental,  territorial y de género para la vigencia del 2022</t>
  </si>
  <si>
    <t>Porcentaje de avance en la implementación del Plan Distrital de prevención de las Violencias contra las niñas,  los niños, adolescentes, mujeres y personas mayores, de carácter interinstitucional e intersectorial con enfoque de derechos, diferencial, poblacional, ambiental,  territorial y de género para la vigencia del 2022</t>
  </si>
  <si>
    <t>Un (1) Informe de implementación del Plan Distrital de prevención de las Violencias contra las niñas,  los niños, adolescentes, mujeres y personas mayores, de carácter interinstitucional e intersectorial con enfoque de derechos, diferencial, poblacional, ambiental,  territorial y de género para la vigencia del 2022</t>
  </si>
  <si>
    <t>Informe de avance en la implementación del  Plan Distrital de prevención de las Violencias contra las niñas,  los niños, adolescentes, mujeres y personas mayores, de carácter interinstitucional e intersectorial con enfoque de derechos, diferencial, poblacional, ambiental,  territorial y de género para la vigencia del 2022</t>
  </si>
  <si>
    <t>En el marco de la implementación del Plan de prevención de violencias “Creer y Crear para prevenir las violencias”, al cierre del primer semestre de 2022, se han desarrollado acciones de comunicación que han puesto a circular la palabra, los relatos, las acciones y propósitos comunes, para hablar de la prevención de las violencias y la vida en espacios interinstitucionales e intersectoriales, mediante:
•	La estrategia comunicativa Toma de Conciencia del Abuso y Maltrato en la Vejez relacionada con la violencia y abandono del adulto mayor.
•	La Estrategia #DiscriminarEsUnDelito
•	2 programas radiales sobre “Mitos, prácticas e imaginarios sociales alrededor de la explotación sexual y comercial de niños, niñas y adolescentes”
Adicionalmente, en cuanto al fortalecimiento en contenidos de prevención de violencias a funcionarios y funcionarias, jóvenes, mujeres, hombres de la ciudad, se han orientado y sensibilizado 2.471 servidoras(es) en el reconocimiento y garantía del derecho de las mujeres a una vida libre de violencias y 529 capacitados en herramientas prácticas para reconocimiento y garantía del derecho de las mujeres a una vida libre de violencias.
Se desarrolló la cuarta cohorte de "Parceros por Bogotá", que contó con la participación de 1.118 jóvenes, los cuales fueron formados como Agentes comunitarios de prevención, a través de la Ruta Pedagógica para la Inclusión Social de la Juventud.
Adicionalmente, se orientaron y sensibilizaron 3579 personas en los procesos de prevención y orientación de la violencia intrafamiliar en la ciudad, a través de las Escuelas locales de prevención de violencias, la Escuela Distrital de prevención de violencias y procesos de sensibilización en masculinidades alternativas no violentas. De estas 3579 personas de diferentes localidades de la ciudad, 2663 son mujeres, equivalente al 74%, 913 hombres que representan el 26% y 3 personas intersexuales. Los procesos de prevención cuentan con 7 módulos o sesiones temáticas relacionadas a familias democráticas, derechos humanos, género, masculinidades alternativas no violentas, identificación de tipologías de violencias, rutas y competencias institucionales y habilidades para la vida con énfasis en una reflexión sobre los patrones de consumo de sustancias psicoactivas. 
También, se han realizado 13 reuniones en el marco del Plan Distrital de Prevención para revisar y ajuste de contenidos que respondan a las necesidades identificadas y su implementación, socialización y reflexión en escuelas y talleres con diferentes poblaciones, esto con el fin de fortalecer la gestión del conocimiento con quienes participan como cuerpo técnico desde las diferentes entidades de la ciudad.</t>
  </si>
  <si>
    <t>Informe anual de la implementación del Plan Distrital de prevención de las Violencias contra las niñas,  los niños, adolescentes, mujeres y personas mayores, de carácter interinstitucional e intersectorial con enfoque de derechos, diferencial, poblacional, ambiental,  territorial y de género para la vigencia del 2022</t>
  </si>
  <si>
    <t xml:space="preserve"> En el marco de la implementación del Plan de prevención de violencias “Creer y Crear para prevenir las violencias”, durante la vigencia del 2022, se desarrollaron  31 acciones por parte de las diferentes entidades que  establecieron compromisos de prevención de violencias, en las entidades están: Integración Social - Secretaría de Integración Social - Subdirección para la Juventud, Subdirección para la Infancia, Subdirección para la Vejez, Subdirección para la Discapacidad, Subdirección para Asuntos LGBTI, Secretaría de Integración Social- Subdirección para la Familia, Instituto Distrital de la Participación y Acción Comunal -IDPAC Instituto Distrital para la Protección de la Niñez y la Juventud – IDIPRON- (Cultura/Instituto Distrital de Recreación y Deporte – IDRD, Secretaria de Planeación Distrital, Secretaría de Seguridad, Convivencia y Justicia; lo cual permite identificar un cumplimiento del 95% de las acciones. En cuanto a las acciones específicas de la Subdirección para la Familia, se ha logrado:
La orientación y sensibilización de 8.440 personas en los procesos de prevención y orientación de la violencia intrafamiliar en la ciudad, a través de las Escuelas locales de prevención de violencias, la Escuela Distrital de prevención de violencias.
50 asistencias técnicas en prevención de violencias a las 20 empresas adscritas a la estrategia Empresas que Tejen y Protegen Familias.
El reconocimiento otorgado por la Secretaría Distrital de Integración Social al Grupo Empresarial en Línea S.A. - GELSA, con el Sello Empresa que Teje y Protege Familias, en el marco de la Semana del Buen Trato.
Bajo el lema: “En Bogotá nos movemos por el buen trato”, #SacaLoMejorDeTi”, del 19 al 25 de noviembre, la Secretaría Distrital de Integración Social llevó a cabo la Semana Distrital del Buen Trato, iniciativa que contó con más de 350 actividades enfocadas a promover el cuidado, el buen trato y la salud mental en las y los habitantes de Bogotá.
La elaboración de los contenidos con enfoque diferencial étnico en prevención de violencias en relación con las comunidades negras, afrocolombianas raizales y palenqueras.
</t>
  </si>
  <si>
    <t>Subsanado por el área. Se recomienda incluir la trazabilidad de firmas de quien elabora, revisa y aprueba</t>
  </si>
  <si>
    <t>14. Identificar  la oferta del sector social que hará  parte del sistema distrital de cuidado</t>
  </si>
  <si>
    <t>17. Formular, implementar, monitorear y  evaluar un Plan Distrital de Prevención  Integral de las Violencias contra las niñas,  los niños, adolescentes, mujeres y personas mayores, de carácter interinstitucional e intersectorial con enfoque de derechos, diferencial, poblacional, ambiental,  territorial y de género.</t>
  </si>
  <si>
    <t>Cumplir con las metas del proyecto de inversión 7564</t>
  </si>
  <si>
    <t>Cumplir con las metas del proyecto de inversión 7752</t>
  </si>
  <si>
    <t>El equipo de analistas de la Subdirección de Diseño, Evaluación y Sistematización, reporta un cumplimiento del 33% de acuerdo con lo programado para el trimestre</t>
  </si>
  <si>
    <t>Realizar el informe de actividades de implementación del sistema de gestión en la dependencia</t>
  </si>
  <si>
    <t>Informes de implementación del sistema de gestión elaborados</t>
  </si>
  <si>
    <t>N° de informes de implementación del sistema de gestión elaborados/N° de informes de implementación del sistema de gestión programados</t>
  </si>
  <si>
    <t>Informe de implementación del sistema de gestión</t>
  </si>
  <si>
    <t>Se realiza informe avances más relevantes de la implementación del Sistema de Gestión de la dependencia del primer semestre de la vigencia 2022, donde se muestran avances en los ítems de riesgos de gestión y corrupción, indicadores, control de documentos y otros.</t>
  </si>
  <si>
    <t>Se realiza informe de los avances más relevantes de la implementación del Sistema de Gestión de la SUBGIL correspondiente al segundo semestre de 2022, donde se muestran avances en los ítems de riesgos de gestión y corrupción, indicadores, control de documentos y otros.</t>
  </si>
  <si>
    <t xml:space="preserve">Elaborar el informe de implementación de la estrategia ETIS en las localidades. </t>
  </si>
  <si>
    <t>Informes de implementación de la ETIS en las localidades elaborados</t>
  </si>
  <si>
    <t>Número de informes de implementación de la ETIS en las localidades elaborados</t>
  </si>
  <si>
    <t>Informe de implementación de la ETIS en las localidades</t>
  </si>
  <si>
    <t xml:space="preserve">Se realiza informe avances de implementación de la Estrategia Territorial Integral Social - ETIS en el distrito durante el primer semestre de la vigencia 2022,  cuyo objetivo es dar respuesta a las necesidades sociales de manera integral, mediante acciones transectoriales en los diferentes territorios, configurando la apuesta política, social y de desarrollo para la ciudad. </t>
  </si>
  <si>
    <t xml:space="preserve">Se presenta informe de implementación de la Estrategia Etis en las localidades, correspondiente al período comprendido entre el 1 de julio y el 31 de diciembre del 2022 </t>
  </si>
  <si>
    <t>Generar el documento de criterios para las asistencia técnica a los Fondos de Desarrollo Local - FDL</t>
  </si>
  <si>
    <t>Documento de criterios para las asistencia técnica a los FDL elaborado</t>
  </si>
  <si>
    <t>Número de documentos de criterios para la asistencia técnica a los FDL elaborados</t>
  </si>
  <si>
    <t>Documento de criterios para las asistencia técnica a los FDL</t>
  </si>
  <si>
    <t>Se presenta Documento que da cuenta de los criterios para la asistencia tecnica a los Fondos de Desarrollo Local, durante la vigencia 2022.</t>
  </si>
  <si>
    <t>PP Para la Adultez; PP para el envejecimiento y vejez</t>
  </si>
  <si>
    <t>Elaborar el informe general del desarrollo de los Consejos Locales de Política Social - CLOPS</t>
  </si>
  <si>
    <t>Informes generales del desarrollo de los CLOPS elaborados</t>
  </si>
  <si>
    <t>Número de Informes generales del desarrollo de los CLOPS elaborados</t>
  </si>
  <si>
    <t>Informe general del desarrollo de los CLOPS</t>
  </si>
  <si>
    <t>Se realiza informe general del desarrollo de los Consejos Locales de Política Social - CLOPS, correspondiente al primer semestre de la vigencia 2022.</t>
  </si>
  <si>
    <t xml:space="preserve">Se presenta informe General del desarrollo de los CLOPS en las localidades correspondiente al período comprendido entre el 1 de julio y el 31 de diciembre del 2022 </t>
  </si>
  <si>
    <t>34.Implementar (1) una estrategia de  innovación social que permita la  construcción de acciones  transectoriales para aprender y responder a las necesidades emergentes de los territorios de Bogotá y de ésta con la Región Central.</t>
  </si>
  <si>
    <t>Elaborar el Informe de implementación de la estrategia de innovación social</t>
  </si>
  <si>
    <t>Informes de implementación de la estrategia de innovación social elaborados</t>
  </si>
  <si>
    <t>Número de informes de  implementación de la estrategia de innovación social elaborados</t>
  </si>
  <si>
    <t>Informe de  implementación de la estategia de innovación social</t>
  </si>
  <si>
    <t xml:space="preserve">Se realiza informe de avances obtenidos de la implementación de la estrategia de innovación social,durante el periodo comprendido entre enero a junio de 2022, que está relacionado con el desarrollo de las actividades derivadas del plan estratégico de alianzas, el proceso de identificación, caracterización y selección de iniciativas de Innovación Social, que han permitido dar cumplimiento a la meta No. 3 del proyecto de inversión 7735 y el cumplimiento de la meta 546 del Plan Distrital de Desarrollo, y de la implementación de la modalidad de servicios de fortalecimiento de procesos territoriales y de innovación social que integra el servicio Integración y Gestión en el Territorio (IGT) de la Dirección Territorial. </t>
  </si>
  <si>
    <t xml:space="preserve">Se presenta informe de implementación de la estrategia de innovacion social en las localidades, correspondiente al período comprendido entre el 1 de julio y el 31 de diciembre del 2022 </t>
  </si>
  <si>
    <t>Generar el informe de  implementación del Sistema Distrital del Cuidado a través de las unidades operativas que son ancla de las manzanas del cuidado</t>
  </si>
  <si>
    <t>Informes de  implementación del Sistema Distrital del Cuidado a través de las unidades operativas que son ancla de las manzanas del cuidado elaborados</t>
  </si>
  <si>
    <t>Número de Informes de  implementación del Sistema Distrital del Cuidado elaborado</t>
  </si>
  <si>
    <t>Informe de  implementación del Sistema Distrital del Cuidado a través de las unidades operativas que son ancla de las manzanas del cuidado</t>
  </si>
  <si>
    <t>Se realiza informe de implementación del Sistema Distrital del Cuidado a través de las unidades operativas que son ancla de las manzanas del cuidado, donde se da a conocer el proceso de transfomación que han surtido los Centros de Desarrollo Comunitario – CDC Bellavista en la Localidad de Kennedy, Porvenir en Bosa, Julio Cesar Sánchez en Usme – Sumapaz, Lourdes en Santa Fe, Simón Bolívar en Usaquén y Rafael Uribe Uribe como anclas de manzanas del cuidado y en los territorios de San Cristóbal, Mártires y Engativá como infraestructura social articuladora que da respuesta efectiva a las demandas de la ciudadanía en clave de sistema distrital del cuidado. Esto relacionado al primer semestre de la vigencia 2022.</t>
  </si>
  <si>
    <t xml:space="preserve">Se presenta informe de implementación del sistema distritral del cuidado a través de las unidades operativas que son anclas de las manzanas del cuidado, correspondiente al período comprendido entre el 1 de julio y el 31 de diciembre del 2022 </t>
  </si>
  <si>
    <t>15. Implementar una estrategia de acompañamiento de hogares pobres, en vulnerabilidad y riesgo social derivada de la pandemia del COVID 19, identificados poblacional diferencial y geográficamente en los barrios con mayor pobreza evidente y oculta del dist</t>
  </si>
  <si>
    <t>Elaborar el informe de acompañamiento a hogares en pobreza evidente y emergente</t>
  </si>
  <si>
    <t>Informes de acompañamiento a hogares en pobreza evidente y emergente elaborados</t>
  </si>
  <si>
    <t>Informe de acompañamiento a hogares en pobreza evidente y emergente</t>
  </si>
  <si>
    <t xml:space="preserve">Se realiza informe de acompañamiento a hogares en pobreza evidente y emergente correspondientes al primer semestre de la vigencia 2022. El documento muestra el avance en el proceso de vinculación de 7.644 hogares al servicio Tropa Social a tu Hogar, para el fortalecimiento de proyectos de vida de personas identificadas en pobreza, vulnerabilidad y fragilidad social mediante el modelo de acompañamiento familiar a los hogares de jefatura femenina focalizados y priorizados. </t>
  </si>
  <si>
    <t>Se presenta informe de la implementación del acompañamiento a hogares en pobreza evidente y emergergente, correspondiente al período comprendido entre el 1 de julio y el 31 de diciembre del 2022</t>
  </si>
  <si>
    <t>14. Implementar una (1) estrategia de gestión interinstitucional que permita la movilización social y el desarrollo de capacidades de los adultos y adultas identificados en pobreza oculta, vulnerabilidad, fragilidad social o afectados por emergencias sani</t>
  </si>
  <si>
    <t>25. Implementar una estrategia de  acompañamiento de hogares pobres,  en vulnerabilidad y riesgo social  derivada de la pandemia del COVID 19,  identificados poblacional diferencial y  geográficamente en los barrios con  mayor pobreza evidente y oculta del  distrito.</t>
  </si>
  <si>
    <t>Elaborar el informe de reactivación de redes de soporte de personas adultas en pobreza oculta  y sus familias</t>
  </si>
  <si>
    <t>suma</t>
  </si>
  <si>
    <t>Informes de reactivación de redes de soporte de personas adultas en pobreza oculta  y sus familias elaborados</t>
  </si>
  <si>
    <t>Informe de reactivación de redes de soporte de personas adultas en pobreza oculta  y sus familias</t>
  </si>
  <si>
    <t xml:space="preserve">Se realiza informe de reactivación de redes de soporte de personas adultas en pobreza oculta y sus familias, correspondiente al primer semestre de la vigencia 2022. El informe muestra avances y resultados en el proceso de alistamiento, enrutamiento y acompañamiento de las personas identificadas en pobreza oculta, en el marco de la modalidad de atención del proyecto 7768 “ implementación de la estrategia de acompañamiento a hogares con mayor pobreza evidente y Oculta de Bogotá” y su servicio social Tropa social a tu hogar: “Redes de soporte social para la reactivación del proyecto debilidad de personas adultas y sus familias en pobreza oculta.  </t>
  </si>
  <si>
    <t xml:space="preserve">Se presenta informe de reactivación de redes de soporte de personas adultas en pobreza oculta y sus familias, correspondiente al período comprendido entre el 1 de julio y el 31 de diciembre del 2022 </t>
  </si>
  <si>
    <t>Armonizar los servicios sociales prestados por el sector social al sistema distrital de cuidado</t>
  </si>
  <si>
    <t>1. Atender en las 20 localidades del  distrito a la población en flujos migratorios mixtos y retornados que solicitan la oferta de servicios de la  SDIS.</t>
  </si>
  <si>
    <t>Prestación de los servicios sociales para la inclusión social</t>
  </si>
  <si>
    <t xml:space="preserve">7749- Implementar una estrategia de territorios cuidadores en Bogotá </t>
  </si>
  <si>
    <t xml:space="preserve">Diseñar 1 estrategia de territorios cuidadores  </t>
  </si>
  <si>
    <t>Realizar el informe sobre el avance y la implementación de la estrategia de territorios cuidadores en los territorios priorizados.</t>
  </si>
  <si>
    <t>Informes ejecutivos sobre el avance del proceso de implementación de la Estrategia de territorios cuidadores 7749</t>
  </si>
  <si>
    <t>No de informes de reporte de actividades realizadas por el proyecto 7749 elaborados/No de informes de reporte de actividades realizadas por el proyecto 7749 programados</t>
  </si>
  <si>
    <t>Subdirección para la identificación, caracterización e integración</t>
  </si>
  <si>
    <t xml:space="preserve">Informes ejecutivos sobre el avance del proceso de implementación de la Estrategia de territorios cuidadores. </t>
  </si>
  <si>
    <t>Durante el primer trimestre del año 2022, el proyecto 7749 dio cumplimiento a la programación establecida en su plan de acción, en cuanto a la implementación de la estrategia de territorios cuidadores. Para ello, a través de un proceso de seguimiento se garantizó que las acciones ejecutadas estuvieran acordes con los objetivos planteados en el lineamiento técnico de la estrategia. Lo anterior, se valida a través de la ejecución de cada una de las metas, la cuales, en conjunto, constituyen las acciones que desde el proyecto se enfocan a reconocer y fortalecer las labores de cuidado en el marco de situaciones de emergencias sociales, sanitarias, naturales, antrópicas y de vulnerabilidad inminente en los territorios de Bogotá.</t>
  </si>
  <si>
    <t>Se recomienda ajustar el nombre del informe de acuerdo con el nombre de la evidencia programada y tramitar la firma por una herramienta diferente a AZ Digital.</t>
  </si>
  <si>
    <t>Se realiza informe sobre el avance y la implementación de la estrategia de territorios cuidadores en los territorios priorizados, relacionados al segundo trimestre de la vigencia 2022.</t>
  </si>
  <si>
    <t>Se realiza informe sobre el avance y la implementación de la estrategia de territorios cuidadores en los territorios priorizados, relacionados al tercer trimestre de la vigencia 2022.</t>
  </si>
  <si>
    <t> Se realiza informe sobre el avance y la implementación de la estrategia de territorios cuidadores en los territorios priorizados, relacionados al cuarto trimestre de la vigencia 2022.</t>
  </si>
  <si>
    <t>15.Promover en las 20 localidades una  estrategia de territorios cuidadores a partir  de la identificación y caracterización de las  acciones para la respuesta a emergencias  sociales, sanitarias, naturales, antrópicas y  de vulnerabilidad inminente}</t>
  </si>
  <si>
    <t xml:space="preserve">Implementar  un (1) modelo itinerante e intersectorial distrital con la vinculación de agentes comunitarios de la población proveniente de flujos migratorios mixtos, que permita la ampliación de servicios integrales a dicha población </t>
  </si>
  <si>
    <t xml:space="preserve">Elaborar el informe sobre el avance y la implementación del modelo itinerante para la atención de población en flujos migratorios mixtos. </t>
  </si>
  <si>
    <t>Informes sobre el avance del proceso de implementación del modelo itinerante para la atención de población en flujos migratorios mixtos 7730</t>
  </si>
  <si>
    <t>No de informes de reporte de actividades realizadas por el proyecto 7730 elaborados/No de informes de reporte de actividades realizadas por el proyecto 7730 programados</t>
  </si>
  <si>
    <t xml:space="preserve">Informes ejecutivos sobre el avance del proceso de implementación del modelo itinerante para la atención de población en flujos migratorios mixtos.  </t>
  </si>
  <si>
    <t>Durante el primer trimestre del año 2022, el proyecto 7730 dio cumplimiento a la programación establecida en su plan de acción, en cuanto a la implementación del modelo itinerante e intersectorial para migrantes, refugiados y retornado, el cual está dirigido a aportar, mediante la oferta de servicios sociales integrales y la referenciación a rutas de atención efectivas en las 20 localidades de Bogotá, a la integración socioeconómica y/o cultural de la población en flujos migratorios mixtos. A través de la realización de agendas territoriales durante los meses de enero, febrero y febrero, se materializan en el territorio las estrategias de integración socioeconómica y cultural generadas a través de la promoción de alianzas estratégicas con actores gubernamentales y no gubernamentales, así como los procesos de innovación con respuestas integradoras.</t>
  </si>
  <si>
    <t>Se realizan informes sobre el avance y la implementación del modelo itinerante para la atención de población en flujos migratorios mixtos, correspondientes al segundo trimestre de la vigencia 2022.</t>
  </si>
  <si>
    <t>Se realizan informes sobre el avance y la implementación del modelo itinerante para la atención de población en flujos migratorios mixtos, correspondientes al tercer trimestre de la vigencia 2022.</t>
  </si>
  <si>
    <t>Se realizan informes sobre el avance y la implementación del modelo itinerante para la atención de población en flujos migratorios mixtos, correspondientes al cuarto trimestre de la vigencia 2022.</t>
  </si>
  <si>
    <t>Cumplir el 100% de las actividades programadas en los planes de trabajo definidos</t>
  </si>
  <si>
    <t>Gestión Jurídica
Gestión presupuestal y eficiencia del gasto público</t>
  </si>
  <si>
    <t>Gestión Contractual
Gestión Jurídica</t>
  </si>
  <si>
    <t xml:space="preserve">Realizar informes ejecutivos de actividades realizadas por el área jurídica relacionado con las actividades a desarrollar. </t>
  </si>
  <si>
    <t>No. de informes de reporte de actividades realizadas por el área jurídicas elaborados /No. de informes de reporte de actividades realizadas por el área jurídicas programados</t>
  </si>
  <si>
    <t>Informe de actividades realizadas por el área jurídica.</t>
  </si>
  <si>
    <t>Se realiza informe de actividades realizadas por el área jurídica de la dependencia, correspondiente al primer semestre de la vigencia 2022.</t>
  </si>
  <si>
    <t>Se realiza informe de las actividades realizadas por el área jurídica de la Subdirección para la identificación, caracterización e integración.</t>
  </si>
  <si>
    <t>Fortalecimiento institucional y simplificación de procesos</t>
  </si>
  <si>
    <t>Elaborar el informe de actividades de implementación del sistema de gestión en la dependencia</t>
  </si>
  <si>
    <t> Se realiza informe avances más relevantes de la implementación del Sistema de la dependencia del primer semestre de la vigencia 2022, donde se muestran avances en los ítems de riesgos de gestión y corrupción, indicadores, control de documentos y otros.</t>
  </si>
  <si>
    <t>Se realiza informe de los avances más relevantes de la implementación del Sistema de Gestión de la SUBICI correspondiente al segundo semestre de 2022, donde se muestran avances en los ítems de riesgos de gestión y corrupción, indicadores, control de documentos y otros.</t>
  </si>
  <si>
    <t>7744-Generación de Oportunidades para el Desarrollo Integral de la Niñez y la Adolescencia de Bogotá</t>
  </si>
  <si>
    <t>Articular los espacios de política pública de infancia y adolescencia liderados por la SDIS, en las instancias CODIA, NODO COLIA y COLIAS</t>
  </si>
  <si>
    <t>Porcentaje de avance de las actas de los espacios de política pública de infancia y adolescencia liderados por la SDIS</t>
  </si>
  <si>
    <t>No. de actas de sesiones realizadas según periodicidad  /No. sesiones programadas según periodicidad* 100</t>
  </si>
  <si>
    <t>Actas de sesiones de política pública de infancia y adolescencia de acuerdo con la periodicidad establecida normativamente:  1 CODIA, 2 COLIAS y 1 NODO CODIA</t>
  </si>
  <si>
    <t xml:space="preserve">En el marco de las instancias de la Política pública, se realizaron las primeras sesiones del año, tanto del Comité Operativo Distrital de Infancia y Adolescencia -CODIA como de cada una de las mesas técnicas adscritas: Mesa Distrital para la Prevención y Erradicación del Trabajo Infantil Ampliado- PETIA, la Mesa para la Prevención del Reclutamiento, Uso y Utilización de Niños, Niñas y Adolescentes- PRUUNNA y la Mesa Distrital de Identidades de Género y Orientaciones Sexuales para primera infancia, infancia y adolescencia-IGOS. Estas instancias se ratifican como escenarios de análisis, articulación, conceptualización y de generación de recomendaciones para la formulación de la nueva política orientada a lograr el goce efectivo de derechos de las niñas, niños y adolescentes.
A través del trabajo articulado en el Nodo coordinador del CODIA, se validó del Plan de Trabajo para la vigencia 2022 que fue presentado para aprobación en la Plenaria del mes de marzo. De igual manera se aprobó la transformación de la Mesa Técnica para la Formulación de la Política. Allí se aprobaron los requisitos y elementos evaluativos necesarios para la convocatoria pública de la sociedad civil que hará parte de esta instancia en la actual vigencia.
En cuanto a los Comités Operativos Locales de Infancia y Adolescencia - COLIA, se dio inicio en el mes de febrero a las sesiones ordinarias en las 20 localidades del Distrito Capital, a su vez, se desarrollaron Mesas RIAPI y en algunas localidades Mesas locales PETIA, de acuerdo a los procesos y acuerdos de cada localidad. En este espacio se estableció la necesidad de generar Nodos Coordinadores en todas las localidades que propendan por una mayor coordinación y corresponsabilidad intersectorial frente a la instancia y al cumplimiento del plan de acción. 
Se planteó propuesta inicial del plan de acción de la instancia para que intersectorialmente se fortalezca y se apruebe para su implementación durante el 2022, el cual se armonizó con el plan de acción del CODIA, contando con las siguientes líneas de acción: 
•	Actualizar la política pública de infancia y adolescencia con la participación e incidencia de niñas, niños y adolescentes, sus familias y la movilización de la sociedad civil
•	Analizar y efectuar seguimiento cuantitativo y cualitativo al estado de realización de los derechos de Niños, Niñas y Adolescentes a partir de la información disponible y de las dinámicas locales
•	Establecer acuerdos en relación con la coordinación de las acciones de las partes involucradas e interesadas con la Política Pública Distrital de Infancia y Adolescencia
•	Proporcionar asistencia técnica y acompañamiento a los actores con competencia en Infancia y Adolescencia.  
Así mismo, se promovió en cada localidad, la revisión de las recomendaciones, conclusiones y alertas establecidas en documentos e informes como: Panorámicas Locales, Lectura integral de Realidades, Informe de la RIAGA, Alertas Tempranas, entre otros, para orientar y/o priorizar acciones intencionadas y articuladas que incidan localmente para esta vigencia. 
</t>
  </si>
  <si>
    <t>Actas de sesiones de política pública de infancia y adolescencia de acuerdo con la periodicidad establecida normativamente:  2 CODIA, 3 COLIAS y 2 NODO CODIA</t>
  </si>
  <si>
    <t xml:space="preserve">Durante el segundo trimestre de 2022 se realizaron las sesiones ordinarias del Comité Operativo Distrital de Infancia y Adolescencia -CODIA como de cada una de las mesas técnicas adscritas: Mesa Distrital para la Prevención y Erradicación del Trabajo Infantil Ampliado- PETIA, la Mesa para la Prevención del Reclutamiento, Uso y Utilización de Niños, Niñas y Adolescentes- PRUUNNA y la Mesa Distrital de Identidades de Género y Orientaciones Sexuales para primera infancia, infancia y adolescencia-IGOS, instancias que se han configurado como escenarios prioritarios para el desarrollo de la agenda pública en el marco de la formulación de la nueva política pública de infancia y adolescencia como espacios de análisis, articulación, conceptualización y de generación de recomendaciones orientados a lograr el goce efectivo de derechos de las niñas, niños y adolescentes, aportando al documento diagnóstico y de factores estratégicos para la formulación de la nueva Política, Pública de Infancia y Adolescencia.
A través del trabajo articulado en el Nodo coordinador del CODIA, se presentó y validó el cronograma de formulación y la agenda pública en el marco de la formulación de la Política Pública de Infancia y Adolescencia, la cual inició en el mes de mayo, avanzando en la identificación de los puntos críticos aportando al documento diagnóstico y de factores estratégicos para la formulación.
En cuanto a los Comités Operativos Locales de Infancia y Adolescencia - COLIA, se realizaron las sesiones ordinarias en las 20 localidades del Distrito Capital, a su vez, se desarrollaron Mesas RIAPI y en algunas localidades Mesas locales PETIA, de igual manera los Nodos Coordinadores de acuerdo con los procesos y acuerdos de cada localidad y en cumplimiento de los planes de acción definidos y aprobados en cada instancia. En el mes de abril se desarrolló en cada una de las localidades la Conmemoración del día de la Niñez de acuerdo con los lineamientos de la Brújula 2022; y se llevaron a cabo los CLOPS de Infancia y Adolescencia en el marco de la Agenda Pública de la Formulación de la PPIA.
Durante este periodo se desarrolló la agenda teniendo como prioridad los siguientes aspectos:
•	Construcción del Plan de Acción de los COLIA del año 2022.
•	Desarrollo de acciones de socialización, asistencia y/o fortalecimiento técnico tanto del SIDICU, ICBF, Sub Redes, entre otros. 
•	Conmemoración del día de la Niñez.
•	Procesos de reconocimiento y difusión de la oferta institucional en favor de la infancia y la adolescencia y actualización de la matriz de oferta institucional.
•	Aplicación de protocolo-metodología Formulación de la Política Pública de Infancia y Adolescencia. 
•	Eventos concernientes a la conmemoración del día mundial contra el Trabajo Infantil. 
•	Ejecución de acciones de socialización, asistencia y/o fortalecimiento 
Desde la instancia de los Consejos Consultivos, se llevó a cabo el ejercicio de la agenda pública para la formulación de la nueva PPIA donde las niñas, niños y adolescentes sienten que pueden generar transformaciones en sus territorios, evalúan positivamente el poder haber generado propuestas para la reformulación de la política pública y saben que podrán realizar acciones que beneficien a muchas comunidades.
</t>
  </si>
  <si>
    <t xml:space="preserve">Durante el tercer trimestre de 2022 se realizaron las sesiones ordinarias del Comité Operativo Distrital de Infancia y Adolescencia -CODIA como de cada una de las mesas técnicas adscritas: Mesa Distrital para la Prevención y Erradicación del Trabajo Infantil Ampliado- PETIA, la Mesa para la Prevención del Reclutamiento, Uso y Utilización de Niños, Niñas y Adolescentes- PRUUNNA y la Mesa Distrital de Identidades de Género y Orientaciones Sexuales para primera infancia, infancia y adolescencia-IGOS, instancias que se han configurado como escenarios prioritarios para aportar a la formulación de la nueva política pública para la primera infancia, infancia y adolescencia 2023-2033.
En lo relacionado con las instancias de la Política, en el Nodo CODIA se articularon las acciones para la construcción de los aportes para el documento de diagnóstico radicado en SDP. Asimismo, se presentaron los avances de la Mesa Distrital de Identidades de Género y Orientaciones Sexuales y de la Ruta Integral de Atenciones para Primera Infancia, Infancia, Adolescencia en el Distrito, de igual forma, la presentación del Cronograma ajustado de la Formulación de la nueva Política Pública de Infancia y Adolescencia.
En cuanto a la Mesa PETIA, se realizó el documento técnico y conceptual que aporte a la formulación de la nueva política pública de infancia y adolescencia. De igual manera desde la mesa IGOS, se validó y aprobó el documento de pronunciamiento de la instancia que fue remitido por la Secretaría técnica para ser divulgado en el marco de la instancia CODIA. Y desde la mesa PRUUNNA, se desarrollaron acciones de asistencia y fortalecimiento técnico, dando continuidad al plan de acción en particular lo relacionado con la identificación de mapeo de actores, servicios y rutas en el territorio para la PRUUNNA, igualmente, se abordaron las acciones que adelanta la Policía de Infancia y Adolescencia, el Programa Futuro Colombia de la Fiscalía y las iniciativas de los NNA en el marco de los PDET. 
En lo relacionado con los Comités Operativos Locales de Infancia y Adolescencia (COLIA), se desarrollaron las sesiones ordinarias en las 20 localidades del Distrito Capital. Se desarrolló proceso de seguimiento en la preselección de iniciativas de presupuestos participativos de las localidades de San Cristóbal y Suba. 
Los referentes locales de política pública desarrollaron acciones de socialización, asistencia y/o fortalecimiento técnico a los referentes de la Secretaría de Integración Social, IDIPRON, las distintas Subredes de la SDS, Secretaría de Educación Distrital, Migración Colombia, ICBF, Secretaría de Seguridad Justicia y convivencia, IDARTES, entre otros. De igual manera se avanzó en la construcción de las Panorámicas Locales, realizando seguimiento y presentación de los instrumentos de recolección de la información. Se recalcó la necesidad de actualizar la matriz de oferta institucional por localidad en favor de la infancia y la adolescencia. Igualmente, se planeó y desarrollaron acciones territoriales y académicas en torno a la conmemoración del mes de la Lactancia Materna; a su vez, se planearon acciones para la conmemoración del día internacional contra la Explotación Sexual y Comercial de Niñas, Niños, y Adolescentes (ESCNNA).
Las consejeras y consejeros escribieron cartas dirigidas a las y los concejales de Bogotá, con el propósito de darles a entender la importancia de la firma del acuerdo de Ciudad de Niñas y Niños, el cual está en proceso de ser aprobado por el Concejo de la Ciudad.
Se generaron avances en la mesa de participación distrital para lograr definir el cronograma de actividades que se llevaran a cabo en el mes de octubre, con ocasión del mes de la niñez en la ciudad de Bogotá, en la que se propone llevar a cabo acciones de orden distrital que permitan visibilizar a la niñez de la ciudad y sus lenguajes y estéticas  
Durante el periodo de reporte se realizaron la segunda y tercera sesión del Consejo Consultivo Local de niños, niñas y adolescentes logrando la participación de la mayoría de los sectores que hacen parte del Consejo de acuerdo con el decreto 121 de 2012 y movilizando las iniciativas de las y los consejeros. Se continúan generando articulaciones con las alcaldías para llevar a cabo las sesiones conforme al plan de acción de la instancia.
</t>
  </si>
  <si>
    <t>Durante el cuarto trimestre de 2022 se realizaron las sesiones ordinarias del Comité Operativo Distrital de Infancia y Adolescencia -CODIA como de cada una de las mesas técnicas adscritas: Mesa Distrital para la Prevención y Erradicación del Trabajo Infantil Ampliado- PETIA, la Mesa para la Prevención del Reclutamiento, Uso y Utilización de Niños, Niñas y Adolescentes- PRUUNNA y la Mesa Distrital de Identidades de Género y Orientaciones Sexuales para primera infancia, infancia y adolescencia-IGOS, instancias que se han configurado como escenarios prioritarios para aportar a la formulación de la nueva política pública para la primera infancia, infancia y adolescencia 2023-2033. Se da cierre a la gestión de la vigencia con la socialización de los logros del año y los retos como insumo para la planeación de la vigencia 2023.
En este marco, se realizaron los ajustes al documento de diagnóstico, producto de la Fase II de la formulación de la Política Pública de Infancia y Adolescencia; se destaca la participación en el proceso de consulta ciudadana y su gran rol en el foro de expertos el cual obtuvo un gran aporte para la caracterización de los participantes, Así mismo, se participó en la identificaron de puntos  críticos  en  las  mesas  intersectoriales  adscritas  al  CODIA  que,  en cumplimiento del marco normativo y técnico de la política pública de primera infancia, infancia y adolescencia, abordan situaciones problema particulares y que se desagregan como asuntos a ser atendidos de manera específica; y que en consecuencia deben ser recogidos de la misma manera en la nueva formulación. Gracias a la participación activa de la instancia del CODIA, se analizaron las relaciones de causalidad entre los puntos críticos por entorno de desarrollo priorizado. Para este análisis se partió de la revisión de la información disponible cualitativa y cuantitativa y producto de esto se materializa la nueva política y su plan de acción a partir del cronograma de concertación de productos.
En lo relacionado con los Comités Operativos Locales de Infancia y Adolescencia (COLIA), para el último trimestre de 2022, se desarrollaron las sesiones ordinarias en todas las 20 localidades del Distrito Capital, a su vez, se desarrollaron Mesas RIAPI, en algunas localidades mesas locales PETIA y nodos coordinadores de acuerdo con los procesos territoriales. En el marco del COLIA en algunas de las localidades se realizó sesión conjunta de COLIA-CCLONNA, con el propósito de fortalecer los procesos de articulación y coordinación en el desarrollo de las iniciativas de las niñas, niños y adolescentes.  Se planearon y desarrollaron acciones en conmemoración del día de la niña en las localidades, tanto de fortalecimiento técnico como de acciones territoriales. De igual manera se avanzó en la construcción de las Panorámicas Locales, realizando seguimiento y presentación de los instrumentos de recolección de la información. A su vez, se planeó y desarrolló acciones territoriales entorno a la conmemoración de la Semana de Buen Trato; así mismo se generó proceso de socialización y planeación de la sesión COLIA – CCLONNA, para las localidades que en el mes de octubre no se efectuaron
En general desde los COLIA, se desarrollaron acciones de articulación, socialización, asistencia y/o fortalecimiento técnico junto con los referentes de IDPAC, Secretaría Distrital de Movilidad, la Secretaría de Integración Social, las distintas Subredes de la SDS, Secretaría de Educación Distrital, Save The Children, ICBF, entre otros. Se planearon y desarrollaron acciones en función generar el balance y cierre de los procesos realizados en el año 2022 tanto del Comité Operativo Local de Infancia y Adolescencia como de las Mesas Locales, como insumos para los planes de acción de la vigencia 2023
En cuanto a la Mesa Distrital para la Prevención y Erradicación de Trabajo Infantil Ampliado-PETIA sesionó durante la vigencia para realizar acciones que permitieran eliminar de manera progresiva el trabajo infantil, de igual manera realizó diferentes acciones de articulación para conmemorar el día mundial contra el trabajo infantil y aportó de manera técnica a la formulación de la Política Pública de Primera Infancia, Infancia y Adolescencia de Bogotá D.C., también realizó la conceptualización de la mendicidad y el acompañamiento el cual se recogió en un documento técnico de ciudad.
La mesa de Prevención del Reclutamiento, Uso y Utilización de Niñas, Niños y Adolescentes - PRUUNNA, desarrolló acciones para la comprensión del reclutamiento, uso y utilización de niños, niñas y adolescentes, enfocadas en el fortalecimiento técnico a agentes del Sistema Nacional de Bienestar Familiar - SNBF y de la comunidad en general.
La Mesa Distrital de Identidades de Género y Orientaciones Sexuales -IGOS para primera infancia, infancia y adolescencia realizó diferentes acciones: Aporte a talleres, identificación de puntos críticos y pronunciamiento técnico en la vigencia 2022, aportando su experiencia y reflexiones teórico conceptuales para la formulación de la nueva PPIA.
Se logra incidencia en las decisiones de la ciudad, con la realización de las cuatro sesiones del Consejo Consultivo Distrital de Niños, Niñas y Adolescentes – CCDNNA del año, en el marco del Decreto 121 del 2012, en donde se destaca la “toma de poder” para la segunda sesión, con el nombramiento de algunas consejeras como secretarias de los sectores Integración Social, Mujer, Salud, Hábitat, entre otras y se establecieron compromisos con las y los secretarios frente a temas del interés de la niñez. Así mismo, se desarrollaron las cuatro sesiones del Consejo Consultivo Local de Niños, Niñas y Adolescentes - CCLONNA para las 20 Localidades de la ciudad, con la finalidad de materializar las iniciativas de las y los consejeros y generar participación incidente a nivel local 
La propuesta en temas de bienestar animal de las y los consejeros de la localidad de Bosa fue ganadora en el marco de los presupuestos participativos 2022; y la más votada con más de 5.000 votantes. Y Elección y apoyo de 7 iniciativas enfocadas en el Medio Ambiente presentada por las consejeras y consejeros locales de Sumapaz, Usme, Puente Aranda, Bosa, San Cristóbal, Engativá y Usaquén, en el marco de la Estrategia de la UNICEF “Territorios Amigos de la Niñez”.</t>
  </si>
  <si>
    <t>Subsanado por el área. Se encuentran en cargue las evidencias</t>
  </si>
  <si>
    <t>Generar el documento de Política Pública de Infancia y Adolescencia 2022-2033</t>
  </si>
  <si>
    <t xml:space="preserve">Nivel de avance en la construcción del documento actualizado de la Política Pública de Infancia y Adolescencia </t>
  </si>
  <si>
    <t>Suma de los porcentajes programados para cada periodo de reporte de avance</t>
  </si>
  <si>
    <t>Documento de resultados de la implementación del Diseño metodológico para la reformulación de la Política Pública de Infancia y Adolescencia</t>
  </si>
  <si>
    <t xml:space="preserve">Actualmente, la Secretaría Distrital de Integración Social-SDIS avanza en el proceso de reformulación de la nueva Política Pública de Infancia y Adolescencia Distrital, la cual se está desarrollando en primer lugar, con base en los resultados del proceso de evaluación adelantado en la vigencia 2021 que contienen los hallazgos, conclusiones y recomendaciones de política; y además, en cumplimiento de lo dispuesto en el Decreto 668 de 2017 , y de acuerdo con las orientaciones definidas por el CONPES D.C. para su aprobación. 
En ese orden, el proceso se encuentra en fase preparatoria; el documento correspondiente y requerido por la Guía para la Formulación e Implementación de las Políticas Públicas del Distrito Capital fue aprobado por el Comité Institucional de Gestión y Desempeño de la SDIS y será puesto a consideración del Comité Sectorial en el marco del CODIA, como siguiente paso antes de ser revisado por la Subsecretaría de Planeación Socioeconómica de la Secretaría Distrital de Planeación, quien emitirá Concepto Técnico Unificado sobre la formulación de la política.
</t>
  </si>
  <si>
    <t>Documento de la Política Pública de Infancia y Adolescencia 2022-2032</t>
  </si>
  <si>
    <t xml:space="preserve">Actualmente, la Secretaría Distrital de Integración Social-SDIS avanza en el proceso de reformulación de la nueva Política Pública de Infancia y Adolescencia Distrital, la cual se está desarrollando con base en los hallazgos, conclusiones y recomendaciones de política, resultado del proceso de evaluación adelantado en la vigencia 2021; así como, en cumplimiento de lo dispuesto en el Decreto 668 de 20171, y de acuerdo con las orientaciones definidas por el CONPES D.C. para su aprobación.  
En ese marco, se finalizó la Fase I. Preparatoria de la Formulación de la Nueva Política Pública de Infancia y Adolescencia, con la radicación y aprobación del documento de propuesta de formulación de la Política a la Mesa Técnica CONPES de la Secretaría Distrital de Planeación, entidad que autorizó el inicio de la Fase II Agenda Pública, la cual, actualmente se encuentra en proceso de implementación, sistematización y escritura de su respectivo producto: documento diagnóstico, así como los marcos jurídicos, conceptual, de enfoques, la articulación con las demás políticas públicas, la definición de factores estratégicos y el reconocimiento de buenas prácticas y nuevos desarrollos conceptuales.  
Este proceso se ha realizado con comunidad en general, instituciones, expertos y niñas, niños y adolescentes, a través de una consulta virtual a ciudadana, a implementadores, a estudiantes, y mediante 23 grupos focales, 22 talleres protocolo, 8 conversatorios con expertos, 7 mesas incidentales en clave de formulación, nodos CODIA; y se proyecta un gran Foro para el mes de julio. 
Por otro parte, se ha iniciado la revisión documental e histórica para la construcción del Plan de Acción de la nueva política, de tal manera que se tenga un panorama de lo que las entidades han avanzado para atención a la primera infancia, infancia y adolescencia que deben continuar, pero también identificar temas que no hayan tenido atención y que requieran ser resaltados en la formulación del nuevo plan de acción una vez se identifiquen los puntos críticos.
</t>
  </si>
  <si>
    <t xml:space="preserve"> Documento diagnóstico de la Fase II Agenda Pública</t>
  </si>
  <si>
    <t xml:space="preserve">Actualmente, la Secretaría Distrital de Integración Social-SDIS avanza en el proceso de formulación de la nueva Política Pública de Infancia y Adolescencia Distrital, la cual se está desarrollando con base en los hallazgos, conclusiones y recomendaciones de política, resultado del proceso de evaluación adelantado en la vigencia 2021; así como, en cumplimiento de lo dispuesto en el Decreto 668 de 20171, y de acuerdo con las orientaciones definidas por el CONPES D.C. para su aprobación.  
En ese marco, se finalizaron las 2 primeras fases, i) Fase I. Preparatoria de la Formulación de la Nueva Política Pública de Infancia y Adolescencia, con la radicación y aprobación del documento de propuesta de formulación de la Política a la Mesa Técnica CONPES de la Secretaría Distrital de Planeación, entidad que autorizó el inicio de la siguiente fase; ii) Fase II. Agenda Pública, producto de este ejercicio, se remitió el 11 de agosto el documento de diagnóstico y factores estratégicos a la Secretaría Distrital de Planeación para el respectivo concepto. Se recibió retroalimentación en el mes de septiembre y actualmente se está complementando su contenido. Se espera concepto aprobatorio en octubre.
Durante el mes de septiembre se avanzó en la Fase III. Formulación de la Política de Infancia y Adolescencia. Con base en el documento diagnóstico y de factores estratégicos, se avanzó en la construcción de la propuesta del plan de acción a partir de los 75 puntos críticos identificados para la definición del problema público y las causas principales dando como resultado el árbol de problemas que fue presentado y retroalimentado por el despacho de la SDIS. Con este panorama se actualizó el cronograma general para radicar documentos finales al 15 de noviembre.
</t>
  </si>
  <si>
    <t>Documento de la Política Pública de Infancia y Adolescencia 2023-2033</t>
  </si>
  <si>
    <t xml:space="preserve">A diciembre, se logra el 100% de cumplimiento de la actividad propuesta con la formulación participativa de la nueva Política Pública para las niñas, niños y adolescentes de la ciudad, la cual se desarrolló con base en los hallazgos, conclusiones y recomendaciones de política, resultado del proceso de evaluación adelantado en la vigencia 2021; así como, en cumplimiento de lo dispuesto en el Decreto 668 de 20171, y de acuerdo con las orientaciones definidas por el CONPES D.C. para su aprobación.  
Es así que, Bogotá construye ciudad con las niñas, los niños y adolescentes, favoreciendo espacios de diálogo, entre ellos y los actores del gobierno Distrital, procurando que sus voces sean tenidas en cuenta, logrando la participación activa e incidente de consejeras y consejeros locales y distritales desde sus propuestas y aportes durante el proceso de Agenda Pública desarrollado previo a la formulación. En este contexto se logró:
•	19.358 personas, entre niñas, niños, adolescentes, padres, madres, cuidadoras y cuidadoras, implementadores de la política y expertos participaron presencialmente en las 20 localidades de Bogotá durante la fase II. de Agenda Pública para la formulación de la nueva Política.
•	Construcción y radicación del documento CONPES de la Política Pública de Primera Infancia, Infancia y Adolescencia 2023-2033 a la Secretaría Distrital de Planeación-SDP, que contiene el diagnóstico, puntos críticos y factores estratégicos; y la formulación de la política con sus objetivos, finalidades, aspectos más relevantes y financiamiento. 
•	Consolidación de la línea de base con 101 indicadores estratégicos como insumo fundamental para el seguimiento y la evaluación intermedia de la nueva política y su plan de acción con 96 productos concertados en el marco del Comité Operativo Distrital de Infancia y Adolescencia-CODIA, que involucran el compromiso de 12 sectores del distrito, 14 entidades de nivel distrital y 1 de nivel nacional.  Para este plan de acción se vinculan 3 nuevos sectores: Hábitat, Cultura y Mujer. 
</t>
  </si>
  <si>
    <t xml:space="preserve">Meta cumplida </t>
  </si>
  <si>
    <t xml:space="preserve">05. 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
</t>
  </si>
  <si>
    <t>Elaborar los documentos de Panorámicas Locales actualizadas dónde se reconocen las acciones de garantía  protección de derechos de niñas, niños y adolescentes.</t>
  </si>
  <si>
    <t>Número de documentos de las 20 panorámicas locales</t>
  </si>
  <si>
    <t>20 panorámicas locales</t>
  </si>
  <si>
    <t xml:space="preserve">Documentos definitivos de las 20 panorámicas locales </t>
  </si>
  <si>
    <t xml:space="preserve">Se finaliza la construcción de las 20 panorámicas locales concernientes a cada una de las localidades de Bogotá, en donde se presentan contextos territoriales y demográficos, contexto de las instancias y líneas de inversión local dirigidas a la primera infancia, infancia y adolescencia. Estas panorámicas locales, se constituyen en un documento que recopila la descripción cuantitativa y cualitativa de cada una de las hojas de vida de los indicadores territorializados del Sistema de Monitoreo de las Condiciones de Vida de las niñas, niños y adolescentes de Bogotá-SMIA correspondientes al año 2021, así como el contexto de las instancias locales de infancia y adolescencia, la territorialización de la Ruta Integral de Atenciones y el aporte a las alertas tempranas de la Defensoría del Pueblo.
Su construcción inició a partir de la articulación intersectorial para contextualizar las hojas de vida del SMIA de cada uno de los sectores participantes del Comité Distrital de Infancia y Adolescencia-CODIA, posterior entrega de la información Distrital del SMIA al Concejo de Bogotá en el primer trimestre de la vigencia, fortaleciendo la información cualitativa y de gestión local, resaltando logros, dificultades, retos y recomendaciones, siendo consolidado y diagramado para para presentación y difusión, en el mes de diciembre de 2022.
Las Panorámicas Locales son una herramienta de análisis y toma de decisiones en la localidad, tanto para la proyección del plan de acción de los Comités Operativos Locales de Infancia y Adolescencia, como la coordinación y articulación de acciones intersectoriales en favor de la infancia y la adolescencia; y de igual manera constituye un proceso de seguimiento a la implementación de la Política Pública de Infancia y Adolescencia.
</t>
  </si>
  <si>
    <t>Cumplir con las metas del proyecto de inversión 7744</t>
  </si>
  <si>
    <t>Se generará la alerta por parte del equipo de analistas</t>
  </si>
  <si>
    <t xml:space="preserve">114. 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 </t>
  </si>
  <si>
    <t>19. Hacer el reporte a través del sistema de seguimiento y monitoreo de políticas públicas del distrito.</t>
  </si>
  <si>
    <t>2. Incrementar en 100% el número de  jóvenes atendidos con estrategias móviles,  canales virtuales y servicios sociales con  especial énfasis en jóvenes NiNis y  vulnerables,.</t>
  </si>
  <si>
    <t xml:space="preserve">Inversión y Funcionamiento </t>
  </si>
  <si>
    <t>7740 - Generación “Jóvenes con derechos” en Bogotá.</t>
  </si>
  <si>
    <t>Incrementar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</si>
  <si>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Realizar informes de avance de la implementación de los productos del plan de acción de la política pública de juventud a cargo de la Subdirección para la Juventud.</t>
  </si>
  <si>
    <t xml:space="preserve">Informes de avance de la implementación de los productos del plan de acción de la política pública de juventud </t>
  </si>
  <si>
    <t>Numero de informes realizados</t>
  </si>
  <si>
    <t xml:space="preserve">Informe de Gestión de avance de la implementación de los productos del plan de acción de la política pública de juventud </t>
  </si>
  <si>
    <t xml:space="preserve">Se consolida la información correspondiente a articulación de la política publica de juventud con lo diferentes actores distritales y nacionales, así mismo se describen los avances cualitativos y cuantitativos de las actividades relacionadas con la socialización de la política en las diferentes localidades de Bogotá , llegando en el primer trimestre a 1691 jóvenes beneficiados. </t>
  </si>
  <si>
    <t>Se realiza la consolidación y reporte al informe de seguimiento de implementación de la política pública de juventud para el segundo trimestre del 2022, en el cual se presentan las socializaciones de la divulgación de política pública, las atenciones integrales de la Ruta de Oportunidades Integrales para la juventud, entre otros logros en el marco del de la implementación del Plan de Acción Indicativo del Conpes no. 8 de la Política Pública de Juventud 2019 – 2030 amparados bajo siete (7) objetivos de política.</t>
  </si>
  <si>
    <t>Se realiza la consolidación y reporte al informe de seguimiento de implementación de la política pública de juventud para el tercer trimestre del año 2022, en el cual se presentan las socializaciones de la divulgación de política pública, las atenciones integrales de la ruta de oportunidades para la juventud, Se desarrollan actividades de socialización de la ruta y sus 12 atenciones, principalmente en las Casas de Juventud. Así mismo se realiza difusión de la ruta y sus atenciones a través de los medios oficiales y de grupos focalizados en el territorio tales como grupos de FB, grupos de WTSP, plataformas virtuales y en menor proporción actividades presenciales como la Estrategia RETO o actividades en las Casas de Juventud.</t>
  </si>
  <si>
    <t xml:space="preserve">Se realiza la consolidación y reporte al informe de seguimiento de implementación de la política pública de juventud para el cuarto  trimestre del año 2022, en el cual se desarrollan actividades de socialización de la ruta y sus 12 atenciones, principalmente en las Casas de Juventud. Así mismo se realiza difusión de la ruta y sus atenciones a través de los medios oficiales y de grupos focalizados en el territorio tales como grupos de FB, grupos de WTSP, plataformas virtuales y en menor proporción actividades  presenciales como la Estrategia RETO o actividades en las Casas de Juventud.
A través del equipo de la Subdirección para la Juventud se ha atenido a jóvenes a través de distintas modalidades, como lo son Oportunidades Juveniles; Política Pública de Juventud; Prevención Integral; Libertad Asistida  jóvenes del Servicio Forjar Restaurativo. 
</t>
  </si>
  <si>
    <t>Consolidar el reporte registros SIRBE vigencia 2022 de niñas, niños, adolescentes, jóvenes y sus familias formadas e informadas en derechos sexuales y derechos reproductivos</t>
  </si>
  <si>
    <t>Reporte de niñas, niños, adolescentes, jóvenes y sus familias formadas e informadas en derechos sexuales y derechos reproductivos</t>
  </si>
  <si>
    <t>No. de reportes realizados</t>
  </si>
  <si>
    <t xml:space="preserve">Base de datos DATASET_NCS, DATAMART-Sistema para el Registro de Beneficiarios -SIRBE </t>
  </si>
  <si>
    <t>Durante el primer trimeste del 2022 el proyecto 7753 logró formar e informa a 3.553 niñas, niños, adolescentes, jóvenes y sus familias en derechos sexuales y derechos reproductivos, promoviendo el ejercicio de los derechos y la prevención de la maternidad y paternidad temprana. Adicionalmente, el equipo realizó 4 ferias de la sexualidad, que permitieron acercarse a niñas, niños, adolescentes y jóvenes en su ambiente, y reconociendo la importancia de estos espacios para la prevención de la maternidad y paternidad temprana. También, se realizaron talleres con padres de familia de instituciones educativas, con el fin de entender la prevención como una estrategia integral donde se debe permear a toda la familia, para la toma de decisión consciente e informada. Por último, se adelantaron ejercicios de intercambios de saberes con comunidades indígenas y raizales, entendiendo que las necesidad de estas poblaciones son diferentes, y el ejercicio de la promoción de derechos sexuales y derechos reproductivos debe ser a su vez, diferente.</t>
  </si>
  <si>
    <t> 11.940 niños, niñas, adolescentes, jóvenes y sus familias formados e informados en derechos sexuales y reproductivos, en espacios de participación e instituciones educativas, lo que ha permitido transformar imaginarios sobre la sexualidad impactando el índice de reducción de la maternidad y paternidad temprana en mujeres menores o iguales a 19 años; así como, la violencia sexual contra niñas y mujeres jóvenes, lo cual se verá reflejado en los resultados de la implementación del modelo:  Salud con enfoque poblacional diferencial, de género, participativo, resolutivo y territorial aportando a la modificación de los determinantes sociales de la salud.</t>
  </si>
  <si>
    <t>17.558  niñas, niños, adolescentes, jóvenes y sus familias formados en derechos sexuales y derechos reproductivos con enfoque diferencial y de género, en espacios de participación e instituciones educativas, así como el desarrollo de la sema andina, lo que permite transformación de imaginarios sobre la sexualidad, reduciendo el índice de la maternidad y paternidad temprana en mujeres menores o iguales a 19 años, así como la violencia sexual contra niñas y mujeres jóvenes.</t>
  </si>
  <si>
    <t>19.259  niñas, niños, adolescentes, jóvenes y sus familias formados en derechos sexuales y derechos reproductivos con enfoque diferencial y de género, en espacios de participación e instituciones educativas, así como el desarrollo de la sema andina, lo que permite transformación de imaginarios sobre la sexualidad, reduciendo el índice de la maternidad y paternidad temprana en mujeres menores o iguales a 19 años, así como la violencia sexual contra niñas y mujeres jóvenes.</t>
  </si>
  <si>
    <t>Cumplir con las metas del proyecto de inversión 7740</t>
  </si>
  <si>
    <t>El equipo de analistas de la Subdirección de Diseño, Evaluación y Sistematización, reporta un cumplimiento del 40% de acuerdo con lo programado para el trimestre</t>
  </si>
  <si>
    <t>Cumplir con las metas del proyecto de inversión 7753</t>
  </si>
  <si>
    <t>El equipo de analistas de la Subdirección de Diseño, Evaluación y Sistematización, reporta un cumplimiento del 50% de acuerdo con lo programado para el trimestre</t>
  </si>
  <si>
    <t>02. Formular un plan de trabajo de cada una de las entidades que componen el sector integración social que contenga las acciones dirigidas a fortalecer las necesidades identificadas en los diagnósticos, 03. Cumplir el 100% de las actividades programadas en los planes de trabajo definidos.</t>
  </si>
  <si>
    <t>36. 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t>
  </si>
  <si>
    <t>Elaborar Informes de la implementación de la Política Pública Social para el Envejecimiento y la Vejez</t>
  </si>
  <si>
    <t>Informes de  la implemetación de la Política Pública Social para el Envejecimiento y la Vejez PPSEV</t>
  </si>
  <si>
    <t>Sumatoria de informes de la implementación de la Política Pública Social para el Envejecimiento y la Vejez PPSEV</t>
  </si>
  <si>
    <t>Informe de seguimiento a la implementación de la PPSEV</t>
  </si>
  <si>
    <t>Se entrega informe de seguimiento a la implementación de la PPSEV</t>
  </si>
  <si>
    <t>Con el propósito de dar cumplimiento al artículo 16 del Decreto 345 de 2010, el Equipo de Política Pública de la Subdirección para la Vejez, a inicios del mes de septiembre procedió a elevar la solicitud tanto a las entidades de la administración corresponsables de la implementación de la Política Pública Social para el Envejecimiento y la Vejez, como a las dependencias de la Secretaría Distrital de Integración Social que implementan productos de la política para que se enviaran los respectivos informes cualitativos. Posteriormente, se inició la consolidación del informe a partir de lo que a la fecha han enviado las distintas entidades y dependencias. Por tal motivo, se reporta el envío de un informe preliminar pues aún hay sectores que no han enviado su respectivo informe, se espera que la segunda semana de octubre sea enviado a DADE para su validación y entrega oficial. 
Ahora bien, para el segundo informe de la vigencia 2022 se debe precisar que, como la información debe ser enviada con corte al 31 de diciembre de 2022, es muy probable que la consolidación, envío y aprobación del informe solo pueda realizarse entre finales del mes de enero y las primeras semanas de febrero.</t>
  </si>
  <si>
    <t>Se adjunta el informe de Política Pública Social para el Envejecimiento y la Vejez del primer semestre de 2022, que da cumplimento al artículo 16 del Decreto 345 de 2010. Lo anterior, se debe a que la entrega del informe del segundo semestre de la vigencia 2022, se realizará durante la vigencia 2023; toda vez que, este documento se consolidará a finales del mes de enero y se enviará para aprobación en las primeras semanas de febrero del 2023, como se reportó en el avance cualitativo del tercer trimestre del plan de acción institucional.</t>
  </si>
  <si>
    <t>Subsanado por el área. Se recomienda validar el porcentaje de cumplimiento de la meta, teniendo en cuenta la programación para el periodo de reporte.</t>
  </si>
  <si>
    <t>Cumplir con las metas del proyecto de inversión 7770</t>
  </si>
  <si>
    <t>El equipo de analistas de la Subdirección de Diseño, Evaluación y Sistematización, reporta un cumplimiento del 83% de acuerdo con lo programado para el trimestre</t>
  </si>
  <si>
    <t>38.Aumentar 5 puntos en la calificación del  índice distrital de servicio a la ciudadanía,  de la Secretaría Distrital de Integración
Social</t>
  </si>
  <si>
    <t xml:space="preserve">Elaborar el informe de gestión SIAC publicado en la página Web de la SDIS. </t>
  </si>
  <si>
    <t xml:space="preserve">Informes de gestión SIAC realizados y publicados </t>
  </si>
  <si>
    <t>Número de informes de gestión SIAC realizados y publicados en la web de la SDIS en el periodo</t>
  </si>
  <si>
    <t>Informe de gestión SIAC publicado-cuarto trimestre 2021</t>
  </si>
  <si>
    <t>Para el periodo reportado, el Servicio Integral de Atención a la Ciudadania -SIAC, elaboró el Informe de Gestión y sus 8 anexos, correspondiente al cuarto trimestre de 2021 (corte del 01 de octubre a 15 de diciembre del 2021):
*Anexo 1. Peticiones por dependencia, subtema y tipología.                                  
*Anexo 2. Reporte de solicitudes de información pública.                                     
*Anexo 3. Peticiones con evaluación de calidad de la respuesta.                             
*Anexo 4. Reporte de respuestas a peticiones ciudadanas fuera de términos.                                                                                     
*Anexo 5. Avance estrategia comunicativa y divulgativa.                                        
*Anexo 6. Reporte atención telefónica.                                                                    
*Anexo 7. Reporte implementación plan de sensibilización en cultura del servicio.                                                                             
*Anexo 8. Reporte resultados encuestas de satisfacción y percepción.                       
El informe de gestión se encuentra publicado en la página Web de la entidad en el  siguiente vínculo: https://www.integracionsocial.gov.co/index.php/atencion-ciudadana/nuestra-gestion </t>
  </si>
  <si>
    <t>Informe de gestión SIAC publicado -primer trimestre 2022</t>
  </si>
  <si>
    <t xml:space="preserve">Para el periodo reportado, el equipo SIAC elaboró el informe de gestión correspondiente al primer trimestre 2022. Se relaciona vínculo de acceso al informe y sus anexos publicado en la página web de la entidad: https://www.integracionsocial.gov.co/index.php/atencion-ciudadana/nuestra-gestion </t>
  </si>
  <si>
    <t>Informe de gestión SIAC publicado-segundo trimestre 2022</t>
  </si>
  <si>
    <t xml:space="preserve">Para el periodo reportado, el equipo SIAC elaboró el informe de gestión trimestral (corte 1 de abril 2021 al 30 de junio de
2022), el cual se encuentra publicado en la página Web de la entidad junto con los anexos correspondientes. Se adjunta vínculo de acceso al informe en referencia: https://www.integracionsocial.gov.co/index.php/atencion-ciudadana/nuestra-gestion 
El informe de gestión del SIAC correpondiente al tercer  trimestre del año en curso (corte 1 julio a 30 de septiembre de 2022) se encuentra en construcción. </t>
  </si>
  <si>
    <t>Informe de gestión SIAC publicado - tercer trimestre  2022</t>
  </si>
  <si>
    <t xml:space="preserve">Para el periodo reportado, el equipo SIAC elaboró el informe de gestión trimestral (corte 1 de julio 2022 al 30 de septiembre de
2022), el cual se encuentra publicado en la página Web de la entidad junto con los anexos correspondientes. Se adjunta vínculo de acceso al informe en referencia: https://www.integracionsocial.gov.co/index.php/atencion-ciudadana/nuestra-gestion
El informe de gestión del SIAC correpondiente al cuarto  trimestre del año en curso (corte 1 octubre a 31 de diciembre de 2022) se encuentra en construcción. </t>
  </si>
  <si>
    <t xml:space="preserve">Elaborar el documento de lineamientos para la Política de Calidad de los Servicios Sociales </t>
  </si>
  <si>
    <t>Documento de lineamientos para la Política de Calidad de los Servicios Sociales elaborado</t>
  </si>
  <si>
    <t xml:space="preserve">Nivel de avance en el diseño y elaboración del documento de lineamientos para la Política de Calidad de los Servicios Sociales </t>
  </si>
  <si>
    <t>Borrador del avance en el documento de lineamientos para la Política de Calidad de los Servicios Sociales del documento de lineamientos para la política de calidad de los servicios sociales</t>
  </si>
  <si>
    <t>0,2</t>
  </si>
  <si>
    <t xml:space="preserve">Durante el segundo trimestre se avanzó en la elaboración del "Lineamiento para la Política de Calidad", definiendo los objetivos, alcance, marco conceptual y el marco normativo del documento. </t>
  </si>
  <si>
    <t>0,3</t>
  </si>
  <si>
    <t>Durante el tercer trimestre se continuo con el avance del  "lineamiento para la Política de Calidad" ,a través de la formulación  de la  justificación, los principios y el desarrollo metódologico.</t>
  </si>
  <si>
    <t xml:space="preserve">De acuerdo con lo programado durante el cuarto trimestre de 2022, se avanzó en la construcción del "documento lineamientos para la Política de Calidad de los servicios sociales , el cual finalizó el mes de diciembre, dando cumplimiento a lo programado para 2022. </t>
  </si>
  <si>
    <t>Diligenciar el repositorio de respuestas y requerimientos de Control Político</t>
  </si>
  <si>
    <t>Repositorio de respuestas y requerimientos Control Político diseñado y diligenciado</t>
  </si>
  <si>
    <t xml:space="preserve">Número de actividades realizadas para el diseño y diligenciamiento del repositorio de respuestas y requerimientos de Control Político </t>
  </si>
  <si>
    <t>Diseño de la herramienta "Repositorio de respuestas y requerimientos"</t>
  </si>
  <si>
    <t>El equipo de Control Político diseñó la herramienta para el “repositorio de respuestas y requerimientos de Control Político”, y en el marco de lo anterior se han venido realizando las siguientes actividades:
1. La consolidación de la información de la base de datos “2022 BASE ÚNICA EQUIPO DE CONTROL POLÍTICO_SUBSECRETARÍA_ÚNICA_2022”, base en la cual se relaciona toda la información respecto de las respuestas de los requerimientos allegados al equipo de control político.
2. Se están adelantando actividades para la digitalización de las respuestas requerimientos allegados al equipo de control político para la vigencia 2020.</t>
  </si>
  <si>
    <t>Sistematización de requerimientos y respuestas de Control Político - semestre I de 2020</t>
  </si>
  <si>
    <t>0,4</t>
  </si>
  <si>
    <t xml:space="preserve">El equipo de Control Político en el segundo trimestre de la vigencia realizó la sistematización de respuestas y requerimientos de Control Político, correspondiente al primer semestre de la vigencia 2020, consolidando así la información de la “BASE ÚNICA EQUIPO DE CONTROL POLÍTICO_SUBSECRETARÍA”.
Lo anterior puede ser consultado en el siguiente enlace drive: https://sdisgovco-my.sharepoint.com/:f:/g/personal/ymontenegrog_sdis_gov_co/EsfFiEo6q89Fh7wZIRshwMIBZGav-SoXFamdtyBVuDFkvQ?e=uqzPNf </t>
  </si>
  <si>
    <t>Sistematización de requerimientos y respuestas de Control Político - semestre II de 2020</t>
  </si>
  <si>
    <t>0,7</t>
  </si>
  <si>
    <t>Durante el tercer trimestre del 2022, el equipo de Control Político realizó la sistematización de las respuestas que se dieron a los Entes de Control Político, correspondientes al segundo semestre del año 2021, conforme con lo programado. 
La evidencia de este reporte, se puede consultar en el siguiente enlace: https://sdisgovco-my.sharepoint.com/personal/ymontenegrog_sdis_gov_co/_layouts/15/onedrive.aspx?ct=1664813747439&amp;or=OWA%2DNT&amp;cid=28278f2b%2De775%2D5a27%2D756f%2Df764e7ae2ad9&amp;ga=1&amp;id=%2Fpersonal%2Fymontenegrog%5Fsdis%5Fgov%5Fco%2FDocuments%2FARCHIVO%20DIGITAL%20CONTROL%20POL%C3%8DTICO%2FARCHIVO%202020</t>
  </si>
  <si>
    <t>Sistematización de requerimientos y respuestas de Control Político - semestre I de 2021</t>
  </si>
  <si>
    <t>Durante el cuarto trimestre del 2022, el equipo de control político realizó la sistematización de las respuestas que se dieron a los Entes de Control Político, correspondientes al semestre I- de 2021 de acuerdo con lo programado para el IV trimestre. La evidencia del reporte se puede consultar en el siguiente enlace: https://sdisgovco-my.sharepoint.com/personal/ymontenegrog_sdis_gov_co/_layouts/15/onedrive.aspx?ct=1672757583235&amp;or=OWA%2DNT&amp;cid=9a16bb68%2Dc28f%2D1b70%2D3af9%2De165b4e77bd0&amp;ga=1</t>
  </si>
  <si>
    <t>Ajustar el decreto que modifica el Decreto 460 de 2008</t>
  </si>
  <si>
    <t>Decreto Distrital modificatorio del Decreto 460 de 2008</t>
  </si>
  <si>
    <t>Número de actividades realizadas para el Decreto Distrital modificatorio del Decreto 460 de 2008 sancionado</t>
  </si>
  <si>
    <t>Actas de reuniones de socialización con los actores externos</t>
  </si>
  <si>
    <t xml:space="preserve">Durante el primer trimestre de 2022, la Subsecretaría adelantó la solicitud de 12 practicantes para el inicio del trabajo local, en lo que respecta al levantamiento de información con los actores institucionales y de la sociedad civil que hacen parte de los CLOPS. No obstante, a pesar de solicitud de pasantes a diversas universidades, no fue posible tener este acompañamiento por lo que se hizo un ajuste a la metodología propuesta. En este sentido, en reunión previa con el Sr. Subsecretario se optó por llevar la decisión a la Secretaria de Integración Social. La reunión esta prevista para el viernes 8 de abril. En esta reunión se presentará: i) el documento inicial de propuesta de modificación del Decreto realizado por la Subsecretaría y complementado con la Oficina Asesora Jurídica; ii) el documento propuesta con los comentarios de la Secretaría Jurídica Distrital; y, iii) la presentación que recopila la filosofía de la modificación y la propuesta metodológica. Adicionalmente, ya se cuenta con la retroalimentación de tres (3) actores externos de la Secretaría Jurídica de la Alcaldía, quienes ya enviaron los comentarios para el ajuste del Decreto 460 de 2008. </t>
  </si>
  <si>
    <t>Actas de reuniones de socialización con Consejeros y Referentes Locales</t>
  </si>
  <si>
    <t>0,30</t>
  </si>
  <si>
    <t>0,15</t>
  </si>
  <si>
    <t>Durante el segundo trimestre de 2022, la Subsecretaría adelantó reunión de socialización sobre la actualización y armonización normativa del Decreto 460 de 2008 “Por el cual se actualiza el Consejo Distrital de Política Social, de conformidad con lo dispuesto en la Ley 1098 de 2006 y en el Acuerdo Distrital 257 de 2006”  con actores internos y externos como la Oficina Asesora Jurídica de la SDIS, la Secretaría Técnica del CDPS, la Secretaría Jurídica Distrital y el ICBF en las instalaciones de la Secretaría Distrital de Integración Social-SDIS, el día 17 de junio del 2022, donde se abordaron los siguientes temas:
- La armonización normativa, esto es, concordar la norma con los decretos relacionados con el Sistema Nacional de Bienestar Familiar.
- Actualizar e integrar al Consejo Distrital de Política Social -CDPS, nuevas entidades y nuevos actores, luego de catorce (14) años de modificaciones a la estructura orgánica de la administración distrital.
- Reafirmar la autonomía de las Alcaldías Locales frente al liderazgo de los Consejos Locales de Política Social -CLOPS.
Estas propuestas de modificación están condensadas en un borrador de decreto que fue presentado a la Secretaría Jurídica Distrital a inicios del presente año. Ese decreto tiene varios comentarios y ajustes que la Secretaría Distrital de Integración Social ha acogido. Bajo ese marco, la intención de actualizar el Decreto 460 de 2008 continúa vigente, con la posibilidad de que una sesión -de las cuatro anuales- del Consejo Distrital de Política Social -CDPS, se destine al análisis de problemáticas locales.
Con base en lo anterior, el borrador de decreto con los ajustes solicitados se encuentra listo para ser estudiado y analizado por la Oficina Asesora Jurídica de la entidad, por la Dirección de Desarrollo Institucional y por la Secretaría Jurídica Distrital. A este respecto, luego de la reunión, se realizará lo pertinente para proceder a socializar el documento con los Consejeros y las Consejeras, así como con la Unidad de Apoyo Técnico y otros actores locales asociados al CDPS.</t>
  </si>
  <si>
    <t>Borrador de Decreto que modifica el Decreto 460 de 2008, enviado a Secretaría General para estudio</t>
  </si>
  <si>
    <t>0,80</t>
  </si>
  <si>
    <t>Se realizó análisis jurídico sobre las dos propuestas de modificación del decreto 460 con el fin de avanzar en las etapas posteriores en los meses siguientes.</t>
  </si>
  <si>
    <t>Decreto Distrital modificatorio del Decreto 460 de 2008 sancionado</t>
  </si>
  <si>
    <t xml:space="preserve">El 9 de noviembre de 2022 fue socializado a la Secretaría General el Proyecto de Decreto Distrital que actualiza el Consejo Distrital de Política Social a través del Radicado S2022162931. El 25 de noviembre de 2022 la Secretaría General emitió concepto jurídico y observaciones a la solicitud denominada proyecto de decreto distrital (Radicado 2-2022-3381), por medio del cual se actualiza el consejo distrital de política social y se deroga el decreto distrital 460 de 2008. La Subsecretaría de SDIS el 7 de diciembre de 2022 remitió a la Oficina Asesora Jurídica de la SDIS el análisis a las observaciones de la Secretaría General, brindando elementos para proyectar la respuesta. Al cierre del cuarto trimestre del año 2022, la Oficina Asesora Jurídica de la SDIS, cursa el análisis jurídico que dará respuesta a las observaciones de la Secretaría General al Proyecto de Decreto Distrital que actualiza el Consejo Distrital de Política Social.
Igualmente, se presentan las evidencias que dan cuental del cumplimiento de las actividades programadas para el segundo y el tercer semestre del 2022 de la siguiente manera: Documento con el análisis jurídico sobre la modificación o derogación del decreto 460 del 2008 y el acta de reunión con consejeros del CDPS y referentes locales. 
De esta manera se da cumplimiento a las actividades del primer, segundo y tercer trimestre relacionadas a la meta. Por lo cual se llega a un 0.8 u 80% en el cumplimiento de la misma, toda vez que la sanción del nuevo Decreto, se encuentra en una etapa avanzada, no obstante, aún la SDIS y la Secretaría General deben culminar el proceso, lo cual se espera que suceda en el primer trimestre de 2023.
</t>
  </si>
  <si>
    <t>0,8</t>
  </si>
  <si>
    <t>Meta cumplida al 80%</t>
  </si>
  <si>
    <t xml:space="preserve">Rezago en el cumplimiento de la acción teniendo en cuenta que la sanción del Decreto se encuentra en una etapa avanzada, no obstante, aún la SDIS y la Secretaría General deben culminar el proceso, lo cual se espera que suceda en el primer trimestre de 2023.
</t>
  </si>
  <si>
    <t>Implementar la Inspección y Vigilancia con la aplicación de los estandares de calidad a 2 nuevos servicios sociales</t>
  </si>
  <si>
    <t>Implementación de la Inspección y Vigilancia con la aplicación de los estandares de calidad a 2 nuevos servicios sociales</t>
  </si>
  <si>
    <t>(Número de actividades realizadas para la implementación de la Inspección y Vigilancia con la aplicación de los estandares de calidad a 2 nuevos servicios sociales / Número de actividades  programadas)*100</t>
  </si>
  <si>
    <t>Actas de las mesas de trabajo para la formulación, modificación y/o ajustes de los Instrumentos Únicos de Verificación –IUV.</t>
  </si>
  <si>
    <t>Durante el primer trimestre se programaron y realización 2 reuniones sobre la actualización de estándares de calidad del  servicio para Dignificación  y Resignificación del Fenómeno de Habitabilidad en Calle con la Subdirección para la Adultez.
De igual forma se realizó una reunión con la Subdirección para la Infancia sobre la actualización de los estándares de calidad de Educación Inicial en el marco de la Resolución 2151 de 2021.</t>
  </si>
  <si>
    <t>El avance cualitativo indica que se realizaron 2 reuniones, se encuentra el acta de la reunión del 11 de marzo únicamente.
Se recomienda incluir la trazabilidad de firmas de quien elabora, revisa y aprueba. Adicionalmente, estas firmas deben gestionarse por una herramienta diferente a AZ Digital.</t>
  </si>
  <si>
    <t>1. Instrumentos Únicos de Verificación (IUV)de los estándares de calidad elaborados. 
2. Manual de aplicación de los IUV para implementar la inspección y vigilancia en los nuevos servicios sociales.</t>
  </si>
  <si>
    <t>Durante el segundo trimestre de 2022 se construyeron los Instrumentos Únicos de Verificación junto con el respectivo manual de aplicacion de los IUV para los servicios sociales Centros Proteger y Hogar de Paso de Habitante de Calle, de acuerdo con la fase de Inspección y Vigilancia contemplada en el procedimiento formulación, implementación y verificación de estándares y teniendo en cuenta la normatividad vigente resolución 509 de 2021 "Por la cual se definen las reglas aplicables a los servicios sociales, los instrumentos de focalización de la SDIS, y se dictan otras disposiciones". Durante el trimestre se realizaron diferentes actividades para finalmente llegar a la construcción de los IUV y manual de diligenciamiento, como: reuniones de avances para la construcción del Instrumento Único de Verificación y manual de aplicación para cada pregunta: Centros Proteger y Hogar de Paso, visitas a los centros para la revisión de la propuesta de IUV, pruebas piloto al instrumento, manual y reuniones de unificacion de criterios.
En importante denotar que la construcción del Instrumento Único de Verificación para los estándares de calidad de los dos nuevos servicios se realizó junto con el manual de diligenciamineto para cada pregunta el mismo formato, lo anterior considerando que se tomó como base el formato instrumento único de veriicación de estándares de calidad establecido por el proceso de Diseño e Innovación de los Servicios Sociales en el marco del Sistema de Gestión.</t>
  </si>
  <si>
    <t>Reporte de la Inspección y Vigilancia realizadas a 2 nuevos servicios sociales implementando los estandares de calidad</t>
  </si>
  <si>
    <t>Durante el tercer trimestre se realizaron todas las actividades prepratorias requeridas para dar incio a la verificación de condiciones de operación a los nuevos servicios sociales, incluyendo reuniones para la ponderación de los nuevos servicios: Centros Proteger y Hogar de Paso, reuniones de unificacion de criterios, elaboracion de la metodologia de ponderación; así como, la elaboración y preparación de las bases de datos de condicion de operacion para los servicios sociales Centros Proteger y Hogar de Paso de Habitante de Calle. Por lo cual, esta fase inicial de estructuración del proceso de verificación en los dos nuevos servicios se constituye en un avance importante, que permitirá en el mes siguiente la entrega del reporte de su aplicación en los servicios.</t>
  </si>
  <si>
    <t>Se recomienda validar el porcentaje del avance cuantitativo registrado, teniendo en cuenta que la programación corresponde al 100% y se reportó el 50%, en ese sentido, se sugiere relacionar los motivos del retraso en el cumplimiento.</t>
  </si>
  <si>
    <t>Un (1) informe de gestión de las aciones desarrolladas para la Inspección y Vigilancia de 2 nuevos servicios sociales implementando los estandares de calidad</t>
  </si>
  <si>
    <t>Durante el último trimestre 2022 el equipo de Inspección y Vigilancia, en el marco de la visitas de verificación de estándares Técnicos de calidad a los servicios sociales del Distrito Capital efectuó las visitas de verificación  a los  6  Centro Proteger de las SDIS (CURNN, Antonia Santos, La María, Camilo Torres, Alvaro López, Jairo Anibal Niño)y los 3 Hogares de paso para Habitantes de la Calle (Bakata, La Sabana y Los Mártires), aplicando el Instrumento Único de Verificación IUV de cada servicio social. De igual forma  se realizaron los infomes de gestión y de resultados correspondientes a cada servicio, con lo cual se da cabal cumplimiento a la acción programa de realizar dicha verificación en dos nuevos servicios sociales de la SDIS. 
Así mismo, se presenta el "Reporte de IVC a nuevos servicios sociales" el cual se encoentraba programdo para el III trimestre, con lo cual se da cumplimiento a lo programado en los trimestres III y IV de 2022.</t>
  </si>
  <si>
    <t xml:space="preserve">38.Aumentar 5 puntos en la calificación del  índice distrital de servicio a la ciudadanía,  de la Secretaría Distrital de Integración_x000D_
Social_x000D_
</t>
  </si>
  <si>
    <t>Hacer reporte de las respuestas emitidas por la entidad a solicitudes realizadas por victimas del conflicto armado y alertas de la defensoría del pueblo</t>
  </si>
  <si>
    <t>Reportes con las respuestas emitidas por la entidad a solicitudes realizadas por victimas del conflicto armado y alertas de la defensoría del pueblo</t>
  </si>
  <si>
    <t xml:space="preserve">Número de reportes con las respuestas emitidas por la entidad a solicitudes realizadas por victimas del conflicto armado y alertas de la defensoría del pueblo realizados </t>
  </si>
  <si>
    <t>Reporte con las respuestas emitidas por la entidad a solicitudes realizadas por víctimas del conflicto armado y alertas de la defensoría del pueblo durante el primer trimestre 2022</t>
  </si>
  <si>
    <t>Para el periodo comprendidio de enero a marzo 2022 se realizó lo siguiente:
 1. Se ha dado respuesta al fallo de tutela de 560 – 2021. En el cual nos vincula a las entidades del distrito en la asistencia humanitaria en el Parque Nacional y proponer un lugar de reubicación de las comunidades.
2. Se ha dado respuesta a las preposiciones del Concejo de Bogotá 150 y 207 del 2022, en relación con las acciones realizadas para la atención a víctimas y las acciones para atender a las comunidades indígenas asentada en el Parque Nacional      
Alertas Tempranas de la Defensoría del Pueblo:
• Se recibió por parte de la Defensoría la matriz para el diligenciamiento que da cuenta de las acciones que debe adelantar la entidad para generar alertas tempranas. 
• Se realizó reporte bimensual de las alertas tempranas 46/2019 y 010/2021 de los meses de diciembre 2021 y enero de 2022 sobre las recomendaciones a las localidades y poblaciones que están en riesgo de violencias y acciones de grupos armados organizados.</t>
  </si>
  <si>
    <t>Reporte con las respuestas emitidas por la entidad a solicitudes realizadas por victimas del conflicto armado y alertas de la defensoría del pueblo durante el segundo trimestre 2022</t>
  </si>
  <si>
    <t>Durante el segundo trimestre se realizó el reporte de las respuestas a las solicitudes de la víctimas del conflicto armado y de los entes de control, en términos de la atención social de la secretaria Distrital de Integración Social. En donde la Subsecretaría en el segundo trimestre de la vigencia 2022 ha respondido a los requerimientos, derechos de petición, preposiciones y alertas tempranas, emitidas por la ciudadanía o por los entes de control, de los cuales son 3 preposiciones del Concejo de Bogotá, 7 requerimientos de las Personería Distrital, de la Ciudadanía y del Congreso de la República y los reportes de las acciones en el marco de las Alertas Tempranas 046/2019 y 010 de 2021</t>
  </si>
  <si>
    <t>Se recomienda incluir la trazabilidad de firmas de quien elabora, revisa y aprueba. Adicionalmente, estas firmas deben gestionarse por una herramienta diferente a AZ Digital. 15/07/2022 se subsana por parte del área y no se generan más observaciones</t>
  </si>
  <si>
    <t>Reporte con las respuestas emitidas por la entidad a solicitudes realizadas por victimas del conflicto armado y alertas de la defensoría del pueblo durante el tercer trimestre 2022</t>
  </si>
  <si>
    <t>La secretaria Distrital de Integración Social en el trecer trimestre de año 2022 ha respondido a los Requerimientos, Derechos de Petición, Preposiciones y alertas Tempranas, emitidas por la ciudadanía o por los entes de control, como es la Personería Distrital, la Defensoría del Pueblo, el Concejo de Bogotá o el Congreso de la Republica.
2 Alertas tempranas: Defensoría del Pueblo: 010 de 2021 y la 005 de 2022
Una Solicitud de las víctimas, derechos de petición
4 Requerimientos de entes de control: Personería Distrital.
Una Proposición 483-2022  de Control político: Concejo de Bogotá, Congreso de la Republica
7 Respuestas a Juzgados de restitución de tierras.</t>
  </si>
  <si>
    <t>Reporte con las respuestas emitidas por la entidad a solicitudes realizadas por victimas del conflicto armado y alertas de la defensoría del pueblo durante el cuarto trimestre 2022</t>
  </si>
  <si>
    <t>En el último trimestre de 2022 se dió respuesta a las siguientes solicitudes:
2 Alertas tempranas: Defensoría del Pueblo: 010 de 2021 y la 005 de 2022 
Una Solicitud de las víctimas, derechos de petición 
4 Requerimientos de entes de control: Personería Distrital. 
Una Proposición 646 de 2022 de Control político: Concejo de Bogotá.
4 Respuestas a Juzgados de restitución de tierras.</t>
  </si>
  <si>
    <t>Subsanado por el área. Se recomienda incluir la trazabilidad de las firmas de quien elabora, revisa y firma.</t>
  </si>
  <si>
    <t>Cumplir con las metas del proyecto de inversión 7733</t>
  </si>
  <si>
    <t>El equipo de analistas de la Subdirección de Diseño, Evaluación y Sistematización, reporta un cumplimiento del 750% de acuerdo con lo programado para el trimestre</t>
  </si>
  <si>
    <t>Transparencia y Servicio al Ciudadano</t>
  </si>
  <si>
    <t> 2. Gestionar el 100% de las peticiones ciudadanas allegadas a través de los canales de interacción dispuestos por la SDIS
3. Implementar el 100% de las acciones del plan de acción de la Política Pública de Transparencia de la Secretaría Distrital de Integración Social</t>
  </si>
  <si>
    <t>PP Transparencia 
PP Servicio a la Ciudadanía</t>
  </si>
  <si>
    <t>Cumplir con las metas del Plan de Ajuste y Sostenibilidad MIPG: Políticas Transparencia y Servicio al Ciudadano</t>
  </si>
  <si>
    <t>Nivel porcentual de cumplimiento de las metas del Plan de Ajuste y Sostenibilidad MIPG Políticas: Transparencia y Servicio al Ciudadano</t>
  </si>
  <si>
    <t>(No. Metas cumplidas de acuerdo con lo programado en el trimestre / No. metas programadas en el trimestre)*100%</t>
  </si>
  <si>
    <t>El Plan de Ajuste y Sostenibilidad MIPG, reporta un avance del 32% para la política de servicio al ciudadano y un 100% para la política de transparencia</t>
  </si>
  <si>
    <t>El plan de ajuste y sostenibilidad MIPG reporta el siguiente cumplimiento: Transparencia 100%, Servicio al ciudadano 90%</t>
  </si>
  <si>
    <t>El plan de ajuste y sostenibilidad MIPG reporta el siguiente cumplimiento: Transparencia 100%, Servicio al ciudadano 86%</t>
  </si>
  <si>
    <t>El plan de ajuste y sostenibilidad MIPG reporta el siguiente cumplimiento: Transparencia 25%, Servicio al ciudadano 90%</t>
  </si>
  <si>
    <t>Meta cumplida al 82%</t>
  </si>
  <si>
    <t>SECRETARÍA DISTRITAL DE INTEGRACIÓN SOCIAL
PLAN DE ACCIÓN INSTITUCIONAL 2022
PROGRAMACIÓN DE OBJETIVOS Y METAS PROYECTOS DE INVERSIÓN - AÑO 2022</t>
  </si>
  <si>
    <t>CÓDIGO PROYECTO</t>
  </si>
  <si>
    <t>NOMBRE PROYECTO</t>
  </si>
  <si>
    <t>OBJETIVO GENERAL PROYECTO DE INVERSIÓN</t>
  </si>
  <si>
    <t>META</t>
  </si>
  <si>
    <t>DESCRIPCIÓN META</t>
  </si>
  <si>
    <t>PERIODICIDAD DE MEDICIÓN</t>
  </si>
  <si>
    <t>TIPO DE META</t>
  </si>
  <si>
    <t xml:space="preserve">PROGRAMADO CUATRIENO </t>
  </si>
  <si>
    <t>PROGRAMADO 2022</t>
  </si>
  <si>
    <t>EJECUTADO MARZO</t>
  </si>
  <si>
    <t>EJECUTADO JUNIO2</t>
  </si>
  <si>
    <t>EJECUTADO SEPTIEMBRE 2022</t>
  </si>
  <si>
    <t>EJECUTADO DICIEMBRE 2022</t>
  </si>
  <si>
    <t>Mejorar la capacidad de respuesta de las Comisarías de Familia para el acceso a la justicia y la protección de
derechos de las víctimas de violencia intrafamiliar.</t>
  </si>
  <si>
    <t>7564- Implementar un plan de acción para el fortalecimiento de las Comisarias de Familia en la atención integral para el acceso a la justicia y la garantía de derechos frente a la violencia intrafamiliar</t>
  </si>
  <si>
    <t>Mensual</t>
  </si>
  <si>
    <t xml:space="preserve"> 0,28 </t>
  </si>
  <si>
    <t xml:space="preserve"> 0,24 </t>
  </si>
  <si>
    <t>0,28</t>
  </si>
  <si>
    <t>7564- Atender oportunamente el 100% de las víctimas de violencia intrafamiliar</t>
  </si>
  <si>
    <t>85,60%</t>
  </si>
  <si>
    <t>85,7%</t>
  </si>
  <si>
    <t>Suministrar infraestructura social incluyente con estándares de calidad para garantizar la prestación de los servicios sociales en condiciones adecuadas y seguras.</t>
  </si>
  <si>
    <t xml:space="preserve">7565-Construir 3 centros día para la atención al adulto mayor que cumplan con la normatividad vigente </t>
  </si>
  <si>
    <t>Anual</t>
  </si>
  <si>
    <t>7565-Construir 1 Centro de Protección para Adulto Mayor que cumpla la normatividad vigente entre 2020 y 2024</t>
  </si>
  <si>
    <t>No programada</t>
  </si>
  <si>
    <t>7565-Completar la construcción de 6 jardines infantiles de acuerdo a la normatividad vigente para niñas y niños de 0 a 3 años</t>
  </si>
  <si>
    <t>7565-Construir 1 Centro de Protección del adulto mayor y habitante de calle  para población vulnerable entre 2020 y 2024</t>
  </si>
  <si>
    <t>7565-Reforzar y/o restituir 6 equipamientos administrados por la SDIS para la prestación de los servicios sociales</t>
  </si>
  <si>
    <t>7565-Adecuar el 100% de los equipamientos solicitados para atención transitoria o permanente con ocasión a situaciones de impacto poblacional debido a emergencias sanitarias o sociales</t>
  </si>
  <si>
    <t xml:space="preserve">7565-Realizar mantenimiento al 60% de los equipamientos de SDIS </t>
  </si>
  <si>
    <t>60,00%</t>
  </si>
  <si>
    <t>66,00%</t>
  </si>
  <si>
    <t xml:space="preserve">7565-Atender el 100% de solicitudes de viabilidades de equipamientos para garantizar infraestructura en condiciones adecuadas y seguras </t>
  </si>
  <si>
    <t>25,00%</t>
  </si>
  <si>
    <t>7565-Realizar a 10  predios administrados por la SDIS,  el saneamiento jurídico y urbanístico</t>
  </si>
  <si>
    <t>7565-Avanzar en el 100% de etapa de preconstrucción para el reforzamiento estructural y/o restitución de equipamientos administrados por la SDIS</t>
  </si>
  <si>
    <t>0,00%</t>
  </si>
  <si>
    <t>7565-Avanzar en el 100% en la etapa de Preconstrucción para Centros de Protección para población Vulnerable</t>
  </si>
  <si>
    <t>55,00%</t>
  </si>
  <si>
    <t>Aportar a la integración socioeconómica y/o cultural de la población migrante-refugiada-retornada a partir de la oferta de servicios sociales integrales y la referenciación a rutas de atención efectivas en las 20 localidades de Bogotá</t>
  </si>
  <si>
    <t xml:space="preserve">7730-Implementar  un (1) modelo itinerante e intersectorial distrital con la vinculación de agentes comunitarios de la población proveniente de flujos migratorios mixtos, que permita la ampliación de servicios integrales a dicha población </t>
  </si>
  <si>
    <t>0,14</t>
  </si>
  <si>
    <t>7730-Promover 16 alianzas estratégicas para generar medios de vida, procesos de participación y de fortalecimiento dirigidos a la población de flujos migratorios mixtos</t>
  </si>
  <si>
    <t>Trimestral</t>
  </si>
  <si>
    <t>7730-Beneficiar a 65.151 personas de flujos migratorios mixtos  mediante estabilización e inclusión socioeconómica y cultural</t>
  </si>
  <si>
    <t>Fortalecer la capacidad institucional para dar respuesta a las demandas ciudadanas en cumplimiento de las políticas públicas de atención a la ciudadanía y transparencia en el marco de la misionalidad de la Secretaría Distrital de Integración Social.</t>
  </si>
  <si>
    <t>7733-Aumentar el 43% la inspección y vigilancia en los servicios y programas prestados por la Secretaria Distrital de Integración Social que cuentan con estándares de calidad</t>
  </si>
  <si>
    <t>22,75%</t>
  </si>
  <si>
    <t>7733-Gestionar el 100% de las peticiones ciudadanas allegadas a través de los canales de interacción dispuestos por la SDIS</t>
  </si>
  <si>
    <t>61,52%</t>
  </si>
  <si>
    <t>7733-Implementar el 100% de las acciones del plan de acción de la Política Pública de Transparencia de la Secretaría Distrital de Integración Social</t>
  </si>
  <si>
    <t>64,00%</t>
  </si>
  <si>
    <t>7733-Realizar el análisis de la gestión al 100% de las políticas públicas que lidera la SDIS</t>
  </si>
  <si>
    <t>57,48%</t>
  </si>
  <si>
    <t>Fortalecer la gestión local-institucional-comunitaria para brindar respuestas integradoras en el territorioinvolucrando la participación</t>
  </si>
  <si>
    <t>7735-Diseñar e implementar Una (1) estratégia territorial integral social -ETIS - , para la gestión del territorio con el  involucramiento de sus actores institucionales, sociales y comunitarios</t>
  </si>
  <si>
    <t>0,0615</t>
  </si>
  <si>
    <t>0,24</t>
  </si>
  <si>
    <t>7735-Fortalecer  técnica y/o financieramente 100 procesos territoriales y organizaciones sociales</t>
  </si>
  <si>
    <t xml:space="preserve">anual </t>
  </si>
  <si>
    <t>7735-Diseñar e implementar Una (1) estratégia de innovación social</t>
  </si>
  <si>
    <t>0,01875</t>
  </si>
  <si>
    <t>0,12225</t>
  </si>
  <si>
    <t>0,21</t>
  </si>
  <si>
    <t>7735-Realizar 280000 atenciones a personas por medio del servicio social Centros de Desarrollo de Comunitario</t>
  </si>
  <si>
    <t>7735-Asistir 20 Alcaldías Locales en los procesos de formulación, implementación y seguimiento de los proyectos de inversión - Fondos de Desarrollo Local-</t>
  </si>
  <si>
    <t>Ampliar las oportunidades de inclusión social, con especial atención en los y las jóvenes que se encuentran en riesgo social, vulnerabilidad y pobreza manifiesta.</t>
  </si>
  <si>
    <t>7740-Coordinar 1 implementación en el distrito de  la Política Pública de Juventud y el funcionamiento del Sistema Distrital de Juventud</t>
  </si>
  <si>
    <t>0,25</t>
  </si>
  <si>
    <t>0,0552</t>
  </si>
  <si>
    <t>0,13</t>
  </si>
  <si>
    <t>0,18</t>
  </si>
  <si>
    <t>7740-Diseñar e implementar  1 estrategia de comunicación y difusión de los servicios sociales dirigidos a la población joven</t>
  </si>
  <si>
    <t>0,0634</t>
  </si>
  <si>
    <t>0,19</t>
  </si>
  <si>
    <t>7740-Entregar a 19720 jóvenes transferencias monetarias condicionadas en el marco de la estrategia de oportunidades juveniles</t>
  </si>
  <si>
    <t>Incrementar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</si>
  <si>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30,9%</t>
  </si>
  <si>
    <t>4,36%</t>
  </si>
  <si>
    <t>15,97%</t>
  </si>
  <si>
    <t>22,20%</t>
  </si>
  <si>
    <t>30,90%</t>
  </si>
  <si>
    <t>7740-Atender el 100% de jovenes y adolescentes con sansiones no privativas de la libertad que requieran el apoyo para el restablecimiento de sus derechos a través de Centros Forjar</t>
  </si>
  <si>
    <t>Fortalecer la capacidad Institucional frente a la gestión oportuna de la información y el conocimiento, que permita la toma de decisiones acertada y promueva la participación de la ciudadanía.</t>
  </si>
  <si>
    <t>7741-Modernizar y mantener el 100% de la Infraestructura tecnológica de la Entidad para garantizar la operación de la Secretaría</t>
  </si>
  <si>
    <t>24,99%</t>
  </si>
  <si>
    <t>74,98%</t>
  </si>
  <si>
    <t>7741-Actualizar y mantener el 100% de los sistemas de información de la entidad para contar con información accesible, confiable y oportuna</t>
  </si>
  <si>
    <t>49,98%</t>
  </si>
  <si>
    <t>7741-Construir 1 estrategia de gestión del conocimiento y la información</t>
  </si>
  <si>
    <t>0,70</t>
  </si>
  <si>
    <t>0,45</t>
  </si>
  <si>
    <t>0,51</t>
  </si>
  <si>
    <t>7741-Formular e implementar 1 estrategia de focalización en el marco de la Estrategia Territorial Integral Social - ETIS</t>
  </si>
  <si>
    <t>0,48</t>
  </si>
  <si>
    <t>0,57</t>
  </si>
  <si>
    <t>0,62</t>
  </si>
  <si>
    <t>7741-Asesorar técnicamente al 100% de las áreas  en la formulación y seguimiento de las políticas públicas, planes, programas, proyectos y gasto público</t>
  </si>
  <si>
    <t>18,8%</t>
  </si>
  <si>
    <t>51,5%</t>
  </si>
  <si>
    <t>67,41%</t>
  </si>
  <si>
    <t>7741-Cumplir el 100% del programa implementación y sostenibilidad del sistema de gestión de la Secretaría Distrital de Integración Social</t>
  </si>
  <si>
    <t>75,00%</t>
  </si>
  <si>
    <t>7741-Formular o actualizar 9 estándares de calidad de los servicios sociales de la Entidad</t>
  </si>
  <si>
    <t>7741-Implementar el 100% de la política de comunicacion institucional</t>
  </si>
  <si>
    <t>74,50%</t>
  </si>
  <si>
    <t>100,00%</t>
  </si>
  <si>
    <t>Contribuir a la atención integral de niñas, niños y adolescentes con enfoque diferencial y de género de Bogotá, generando oportunidades y condiciones de acceso flexibles acorde con sus realidades territoriales, sociales, económicas y culturales</t>
  </si>
  <si>
    <t>7744-Actualizar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</si>
  <si>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0,65</t>
  </si>
  <si>
    <t>0,46</t>
  </si>
  <si>
    <t>0,54</t>
  </si>
  <si>
    <t>0,56</t>
  </si>
  <si>
    <t>7744-Atender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</si>
  <si>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 xml:space="preserve">7744-Atender a 18500 niñas niños y adolescentes con discapacidad, alteraciones en el desarrollo, restricciones médicas, pertenecientes a grupos étnicos y víctimas por el conflicto armado con enfoque diferencial y de género </t>
  </si>
  <si>
    <t>7744-Consolidar 1 herramienta de medición de la atención integral a niñas, niños y adolescentes que permita la trazabilidad de la Ruta Integral de Atenciones desde la Gestación hasta la Adolescencia -RIAGA-</t>
  </si>
  <si>
    <t>0,32</t>
  </si>
  <si>
    <t>0,400</t>
  </si>
  <si>
    <t>7744-Atender a 15000 niñas, niños y adolescentes del distrito en riesgo de trabajo infantil y violencias sexuales; y migrantes en riesgo de vulneración de sus derechos de manera flexible con enfoque diferencial y de género  </t>
  </si>
  <si>
    <t>7744-Atender a 8300 niñas niños y adolescentes  víctimas y afectados por el conflicto armado en el marco del acuerdo de paz, la memoria, la convivencia y la reconciliación con enfoque diferencial y de género</t>
  </si>
  <si>
    <t>Contribuir a la reducción del riesgo de inseguridad alimentaria de la población identificada por la Secretaría Distrital de Integración Social, en los territorios de pobreza, vulnerabilidad y/o fragilidad social con apoyos alimentarios y procesos de inclusión social</t>
  </si>
  <si>
    <t>7745-Beneficiar a 4.500 hogares mediante apoyos económicos</t>
  </si>
  <si>
    <t xml:space="preserve">mensual </t>
  </si>
  <si>
    <t>7745-Beneficiar el 100% de personas programadas mediante raciones de comida caliente en comedores comunitarios</t>
  </si>
  <si>
    <t>99,20%</t>
  </si>
  <si>
    <t>99,40%</t>
  </si>
  <si>
    <t>7745-Implementar 2 comedores móviles para la entrega de comida caliente</t>
  </si>
  <si>
    <t>7745-Beneficiar el 100% de personas programadas con la entrega de apoyos alimentarios mediante bonos canjeables por alimentos y apoyos en especie</t>
  </si>
  <si>
    <t>97,38%</t>
  </si>
  <si>
    <t>94,90%</t>
  </si>
  <si>
    <t>7745-Entregar el 100% de kits alimentarios  humanitarios programados para atender necesidades poblacionales territoriales</t>
  </si>
  <si>
    <t>7745-Entregar el 100% de ayudas humanitarias dirigidas a atender emergencias sociales</t>
  </si>
  <si>
    <t xml:space="preserve">7745-Fortalecer las capacidades de 1.200 profesionales vinculados a la prestación de los servicios sociales de la Secretaría, en acciones de vigilancia nutricional </t>
  </si>
  <si>
    <t>7745-Orientar a 56.000 personas frente a la promoción de estilos de vida saludable con énfasis alimentación, nutrición y actividad física</t>
  </si>
  <si>
    <t>7745-Formular e implementar una estrategia de inclusión social</t>
  </si>
  <si>
    <t>0,6</t>
  </si>
  <si>
    <t>0,58</t>
  </si>
  <si>
    <t>0,60</t>
  </si>
  <si>
    <t>7745-Implementar 1 estrategia de agricultura urbana orgánica, manejo, disposición y aprovechamiento de residuos sólidos para los servicios sociales de la Secretaría.</t>
  </si>
  <si>
    <t>7745-Beneficiar a 15.000 mujeres gestantes, lactantes y niños menores de 2 años con un apoyo alimentario articulado a la  estrategia de nutrición, alimentación y salud  basada en "1000 días de oportunidades para la vida”</t>
  </si>
  <si>
    <t>7748 - Fortalecimiento de la Gestión Institucional y Desarrollo Integral del Talento Humano en Bogota</t>
  </si>
  <si>
    <t>Fortalecer la capacidad técnica y operativa para la prestación y seguimiento delos servicios logísticos,de gestión documental,de gestión ambiental y la gestión y desarrollo integral del talentohumano y sus condicionesde seguridad y salud en eltrabajo.</t>
  </si>
  <si>
    <t>7748-Implementar el 100 por ciento de las soluciones en materia de servicios logísticos para la atención eficiente y oportuna de las necesidades operativas de la Entidad</t>
  </si>
  <si>
    <t>7748-Implementar el 48 por ciento del Sistema Interno de Gestión Documental y Archivo</t>
  </si>
  <si>
    <t>47,20%</t>
  </si>
  <si>
    <t>47,06%</t>
  </si>
  <si>
    <t>7748-Gestionar la implementación del 100 por ciento de los lineamientos Ambientales en las Unidades Operativas activas de la Entidad</t>
  </si>
  <si>
    <t>54,63%</t>
  </si>
  <si>
    <t>65,00%</t>
  </si>
  <si>
    <t>7748-Contar con el 100 por ciento del Recurso Humano acorde a las necesidades de la Entidad</t>
  </si>
  <si>
    <t>72,50%</t>
  </si>
  <si>
    <t>7748-Realizar 1 proceso de Rediseño Institucional para ajustar la estructura organizacional y la planta de personal a las necesidades de la SDIS</t>
  </si>
  <si>
    <t>0,59</t>
  </si>
  <si>
    <t>7748-Implementar el 100 por ciento del plan de acción del  Sistema de Seguridad y Salud en el Trabajo</t>
  </si>
  <si>
    <t>58,80%</t>
  </si>
  <si>
    <t>7748-Implementar el 100 por ciento del plan de acción de la política pública de gestión y desarrollo integral del Talento Humano en la SDIS</t>
  </si>
  <si>
    <t>Implementar una estrategia de territorios cuidadores que reconozca y fortalezca acciones de cuidado en el marco de las situaciones de emergencias sociales, sanitarias, naturales, antrópicas y de vulnerabilidad inminente en los territorios de Bogotá.</t>
  </si>
  <si>
    <t xml:space="preserve">7749-Diseñar 1 estrategia de territorios cuidadores  </t>
  </si>
  <si>
    <t>0,29</t>
  </si>
  <si>
    <t>0,40</t>
  </si>
  <si>
    <t>7749-Caracterizar 412 territorios de Bogotá  de acuerdo a   las necesidades de las familias  en condición de pobreza, vulnerabilidad y exclusión social</t>
  </si>
  <si>
    <t>7749-Atender a 151418 personas,  de acuerdo a sus realidades  por servicios en  emergencia social, natural, antrópica, sanitaria y de vulnerabilidad inminente</t>
  </si>
  <si>
    <t>7749-Fortalecer 20 redes comunitarias de cuidado y gestión del riesgo en las localidades</t>
  </si>
  <si>
    <t>NA</t>
  </si>
  <si>
    <t>Proteger los derechos de las familias especialmente de sus integrantes afectados por la violencia intrafamiliar en la ciudad de Bogotá</t>
  </si>
  <si>
    <t>7752-Atender integralmente al 100% niños, niñas y adolescentes en los Centros Proteger</t>
  </si>
  <si>
    <t xml:space="preserve">7752-Implementar un plan de acción para coordinar la implementación y el seguimiento de la PPPF </t>
  </si>
  <si>
    <t>7752-Implementar un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</si>
  <si>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Disminuir la maternidad y Paternidad temprana y el embarazo infantil en la ciudad</t>
  </si>
  <si>
    <t>7753-Formar e Informar a 70000 niñas, niños, adolescentes, jóvenes y sus familias en derechos sexuales y derechos reproductivos con enfoque diferencial y de género</t>
  </si>
  <si>
    <t>7753-Fortalecer las capacidades de 10000 agentes de cambio social, servidores públicos y contratistas de entidades públicas con enfoque diferencial y de género a través de la implementación de estrategias</t>
  </si>
  <si>
    <t xml:space="preserve">7753-Implementar un plan de acción intra e interinstitucional para la promoción de los derechos sexuales y derechos reproductivos de niñas, niños, adolescentes y jóvenes </t>
  </si>
  <si>
    <t>0,63</t>
  </si>
  <si>
    <t xml:space="preserve">7753-Desarrollar una estrategia de comunicación para la prevención de la maternidad y la paternidad temprana,  embarazo en niñas menores de 14 años y la violencia sexual contra niñas, niños, adolescentes y jóvenes </t>
  </si>
  <si>
    <t>0,1</t>
  </si>
  <si>
    <t>0,06</t>
  </si>
  <si>
    <t>0,10</t>
  </si>
  <si>
    <t>Generar estrategias de inclusión social para las personas de los sectores sociales LGBTI de Bogotá.</t>
  </si>
  <si>
    <t>7756-Implementar un modelo de inclusión social que permita la  vinculación de personas de los sectores sociales lgbti en vulnerabilidad  a la oferta de servicios sociales de la sdis</t>
  </si>
  <si>
    <t>0,09</t>
  </si>
  <si>
    <t>0,22</t>
  </si>
  <si>
    <t>7756-Beneficiar a 7544 personas de los sectores lgbti identificadas en vulnerabilidad con apoyos económicos para la ampliación de capacidades</t>
  </si>
  <si>
    <t>7756-Implementar un plan de acción para la transversalización de la política pública lgbti desde el sector social</t>
  </si>
  <si>
    <t>7756-Poner en funcionamiento dos (2) nuevos centros comunitarios para la atención de personas de los sectores sociales lgbti en los territorios priorizados</t>
  </si>
  <si>
    <t>0,82</t>
  </si>
  <si>
    <t>0,231</t>
  </si>
  <si>
    <t>0,37</t>
  </si>
  <si>
    <t>0,49</t>
  </si>
  <si>
    <t>7756-Brindar atención a 16000 personas de los sectores lgbti, sus familias y redes de apoyo desde los servicios sociales de la subdirección para asuntos lgbti y la estrategia territorial integral social</t>
  </si>
  <si>
    <t>Mitigar los conflictos sociales asociados al fenómeno de habitabilidad en calle, mejorando la calidad de vida de las personas habitantes de calle o en riesgo de estarlo.</t>
  </si>
  <si>
    <t xml:space="preserve">7757-Implementar una (1) estrategia territorial para el desarrollo de procesos de prevención y atención a la población en riesgo de habitar en calle </t>
  </si>
  <si>
    <t>0,33</t>
  </si>
  <si>
    <t>0,44</t>
  </si>
  <si>
    <t xml:space="preserve">7757-Implementar una (1) estrategia de abordaje comunitaria del fenómeno de habitabilidad en calle dirigida al mejoramiento de la convivencia ciudadana </t>
  </si>
  <si>
    <t>7757-Realizar 17000 atenciones  a ciudadanos y ciudadanas habitantes de calle a través de la estrategia móvil de abordaje en calle</t>
  </si>
  <si>
    <t>7757-Atender 9795 ciudadanas y ciudadanos en riesgo y habitantes de calle mediante la mitigación de riesgos y daños asociados al fenómeno de habitabilidad en calle</t>
  </si>
  <si>
    <t>7757-Desarrollar un (1) estrategia de seguimiento y monitoreo de las acciones que contribuyen con la implementación y articulación de la Política Pública Distrital para la Habitabilidad en Calle</t>
  </si>
  <si>
    <t>Implementar una estrategia de acompañamiento a hogares con pobreza histórica y emergente por COVID19, acentuada en territorios con segregación socio espacial, para mejorar calidad de vida, acceso a oportunidades y desarrollo de proyectos de vida.</t>
  </si>
  <si>
    <t>7768-Identificar en el 100% de los territorios a intervenir con la estrategia, las dinamicas de segregacion sociespacial</t>
  </si>
  <si>
    <t>7768-Acompañar 27025 hogares pobres o en pobreza emergente</t>
  </si>
  <si>
    <t xml:space="preserve">7768-Monitorear la movilidad social de 15000 hogares pobres o en pobreza emergente acompañados a través de la estrategia </t>
  </si>
  <si>
    <t>7768-Apoyar la reactivación económica de 4300 personas adultas y sus familias con pobreza oculta, vulenerabilidad, fragilidad social o afectados por emergencia sanitaria, identificadas  en la estrategia</t>
  </si>
  <si>
    <t>Desarrollar capacidades para el ejercicio de derechos de las personas mayores que permita la reducción de la desigualdad, dependencia y vulnerabilidad social mediante nuevas estrategias de atención con participación ciudadana y enfoques territorial, género y diferencial.</t>
  </si>
  <si>
    <t>7770-Ofertar 92500 cupos para personas mayores en el servicio de apoyos económicos, proporcionándoles un ingreso económico para mejorar su autonomía y calidad de vida</t>
  </si>
  <si>
    <t>mensual</t>
  </si>
  <si>
    <t>7770-Vincular a 38300 personas mayores a procesos ocupacionales y de desarrollo humano a través de la atención integral en Centros Día</t>
  </si>
  <si>
    <t>7770-Atender 940 personas mayores en procesos de autocuidado y dignificación a través de servicios de cuidado transitorio (día-noche)</t>
  </si>
  <si>
    <t>7770-Atender 2800 personas mayores en servicios de cuidado integral y protección en modalidad institucionalizada</t>
  </si>
  <si>
    <t>7770-Dinamizar en 20 localidades de Bogotá redes de cuidado comunitario entre las personas mayores y actores del territorio con la participación de 5000 personas</t>
  </si>
  <si>
    <t xml:space="preserve">7770-Implementar el 100% de acciones del Plan de Acción de la Politica Publica Social para el Envejecimiento y la Vejez </t>
  </si>
  <si>
    <t>7770-Realizar 3 estudios que aporten las bases para la reformulacion de la Política Pública Social para el Envejecimiento y la Vejez</t>
  </si>
  <si>
    <t>Fortalecer la inclusión en los entornos para el desarrollo de competencias de personas con discapacidad, sus familias y cuidadores-as en Bogotá, mediante respuestas integrales y de articulación transectorial teniendo en cuenta el contexto social.</t>
  </si>
  <si>
    <t>7771-Atender 10000 cuidadores-as en la estrategia territorial, para cuidadores y cuidadoras de personas con discapacidad, que contribuya al reconocimiento socioeconómico y redistribución de roles en el marco del Sistema Distrital de Cuidado</t>
  </si>
  <si>
    <t>7771-Atender 4275 personas con discapacidad, sus familias y cuidadores-as en los servicios sociales a cargo del proyecto, a través de procesos de articulación transectorial</t>
  </si>
  <si>
    <t>7771-Incrementar a 2561 personas con discapacidad, sus familias y cuidadores-as en procesos de inclusión en los entornos educativo y productivo con enfoque territorial y diferencial, en el marco de una articulación transectorial</t>
  </si>
  <si>
    <t>7771-Contribuir en una (1) Política Pública de Discapacidad en el Distrito Capital, en su refomulación e implementación mediante el desarrollo de acciones interseccionales con otras políticas públicas para favorecer la inclusión de las personas con discapacidad, sus cuidadoras y cuidadores</t>
  </si>
  <si>
    <t>0,47</t>
  </si>
  <si>
    <t>0,12</t>
  </si>
  <si>
    <t>0,223</t>
  </si>
  <si>
    <t>7771-Brindar a 3200 personas con discapacidad, sus familias y cuidadores-as apoyo en el desarrollo de sus competencias orientadas a la inclusión social, en el marco de una articulación transectorial</t>
  </si>
  <si>
    <t xml:space="preserve">PROPOSITO </t>
  </si>
  <si>
    <t>PROGRAMA ESTRATÉGICO</t>
  </si>
  <si>
    <t xml:space="preserve">PROYECTO ASOCIADO </t>
  </si>
  <si>
    <t>CODIGO META SECTORIAL</t>
  </si>
  <si>
    <t xml:space="preserve">DESCRIPCIÓN META SECTORIAL </t>
  </si>
  <si>
    <t>NOMBRE INDICADOR</t>
  </si>
  <si>
    <t xml:space="preserve">PROGRAMADO CUATRIENIO </t>
  </si>
  <si>
    <t>MAGNITUD PROGRAMADO 2022</t>
  </si>
  <si>
    <t>EJECUTADO 31 MARZO</t>
  </si>
  <si>
    <t>EJECUTADO 30 JUNIO</t>
  </si>
  <si>
    <t>EJECUTADO 30 SEPTIEMBRE</t>
  </si>
  <si>
    <t>EJECUTADO 31 DICIEMBRE</t>
  </si>
  <si>
    <t>Hacer un nuevo contrato social con igualdad de oportunidades para la inclusión social, productiva y política.</t>
  </si>
  <si>
    <t>Mejores ingresos de los hogares y combatir la feminización de la pobreza</t>
  </si>
  <si>
    <t>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t>
  </si>
  <si>
    <t>Nivel de implementación de la  estrategia de prevención. participación y movilización social</t>
  </si>
  <si>
    <t>Implementar una (1) estrategia de gestión interinstitucional que permita la  movilización social y el desarrollo de capacidades de los adultos y adultas identificados en pobreza oculta. vulnerabilidad.  fragilidad social o afectados por emergencias sanitarias en la  ciudad de Bogotá. </t>
  </si>
  <si>
    <t>Nivel de implementación de la estrategia de gestión interinstitucional para la movilización social y el desarrollo de capacidades de los adultos identificados en pobreza oculta</t>
  </si>
  <si>
    <t>0,141</t>
  </si>
  <si>
    <t>0,225</t>
  </si>
  <si>
    <t xml:space="preserve">Implementar una estrategia de acompañamiento de hogares pobres.  en vulnerabilidad y riesgo social derivada de la pandemia del COVID 19.  identificados poblacional diferencial  y geográficamente en los barrios con mayor pobreza evidente  y oculta del distrito. </t>
  </si>
  <si>
    <t>Nivel de implementación de la estrategia de acompañamiento de hogares pobres en vulnerabilidad y riesgo social</t>
  </si>
  <si>
    <t>0,03</t>
  </si>
  <si>
    <t>0,165</t>
  </si>
  <si>
    <t>0,2475</t>
  </si>
  <si>
    <t xml:space="preserve">Número de hogares pobres en vulnerabilidad y riesgo social con búsqueda activa por parte de la Tropa Social
</t>
  </si>
  <si>
    <t xml:space="preserve">Porcentaje de hogares priorizados por tipología de alertas inmediatas con gestión de respuestas sectoriales </t>
  </si>
  <si>
    <t>Implementar una estrategia móvil de abordaje en calle dirigida a ciudadanos y ciudadanas habitantes de calle acorde al contexto social y sanitario de la emergencia.</t>
  </si>
  <si>
    <t xml:space="preserve">Nivel de implementación de la de la estrategia móvil de abordaje en calle </t>
  </si>
  <si>
    <t xml:space="preserve">Numero de atenciones realizadas  a ciudadanos y ciudadanas habitantes de calle a través de la estrategia móvil de abordaje en calle </t>
  </si>
  <si>
    <t>Incrementar en 825 cupos la atención integral de ciudadanas y ciudadanos  habitantes de calle en los  servicios sociales que  tiene la Secretaría Distrital de Integración Social dispuestos para su atención, que considere los impactos sociales y sanitarios de la emergencia</t>
  </si>
  <si>
    <t>Número de cupos para la atención de ciudadanos y ciudadanas habitantes de calle en Bogotá</t>
  </si>
  <si>
    <t>*</t>
  </si>
  <si>
    <t>Sistema Distrital de cuidado</t>
  </si>
  <si>
    <t>Atender en las 20 localidades del distrito a la población en flujos migratorios mixtos y retornados que solicitan la oferta de servicios de la SDIS</t>
  </si>
  <si>
    <t>Número de personas en flujos migratorios mixtos y retornados atendidas en las 20 localidades del distrito</t>
  </si>
  <si>
    <t>Fortalecer la implementación de la Política Pública LGBTI a través de la puesta en marcha de 2 nuevos centros comunitarios LGBTI con enfoque territorial para la prestación de servicios sociales bajo modelos flexibles de atención integral en el marco de la PPLGBTI.</t>
  </si>
  <si>
    <t xml:space="preserve">Número de personas atendidas mediante la implementación de 2 centros comunitarios LGBTI. para fortalecer la implementación de la política publica. </t>
  </si>
  <si>
    <t>Implementar un modelo de inclusión social. a través de la vinculación de personas de los sectores sociales LGBTI en pobreza extrema y vulnerabilidad social a la oferta de servicios sociales de seguridad alimentaria. transferencias monetarias y/o de cuidado de la Secretaría Distrital de Integración Social. teniendo en cuenta los impacto de la emergencia social y sanitaria sobre esta población.</t>
  </si>
  <si>
    <t>Nivel de implementación del modelo de inclusión social para las personas de los sectores LGBTI.</t>
  </si>
  <si>
    <t>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t>
  </si>
  <si>
    <t>Porcentaje de avance en la actualización, implementación y de seguimiento de la Política Pública de Infancia y Adolescencia.</t>
  </si>
  <si>
    <t>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los niños, así como prevenir situaciones de riesgo para la garantía de sus derechos.</t>
  </si>
  <si>
    <t xml:space="preserve"> Número de niñas y niños atendidos en servicios de educación inicial de la SDIS (Incluye gestantes de acuerdo a la Ley 1804 de 2016) .</t>
  </si>
  <si>
    <t>Atender con enfoque diferencial y de manera flexible a 15.000 niñas, niños y adolescentes del distrito en riesgo de trabajo infantil y violencias sexuales; y migrantes en riesgo de vulneración de sus derechos.</t>
  </si>
  <si>
    <t>Número de niñas, niños y adolescentes atendidos en riesgo o situación de vulneración de derechos como trabajo infantil y violencia sexual, asi como población migrante.</t>
  </si>
  <si>
    <t>Atender integralmente al 100% de niñas y niños en ubicación institucional. generando procesos de fortalecimiento de sus familias para la garantía de sus derechos y para el reintegro familiar.</t>
  </si>
  <si>
    <t>Porcentaje de niños niñas en ubicación institucional atendidos integralmente</t>
  </si>
  <si>
    <t>Beneficiar a 15.000 mujeres gestantes, lactantes y niños menores de 2 años con servicios nutricionales, con énfasis en los mil días de oportunidades para la vida</t>
  </si>
  <si>
    <t>Número de mujeres gestantes, lactantes y niños menores de 2 años beneficiados con servicios nutricionales.</t>
  </si>
  <si>
    <t>Beneficiar a 4.500 familias en situación de pobreza, vulnerabilidad y/o fragilidad social a través de una estrategia de inclusión social y de apoyos económicos, dirigidos a garantizar el acceso y consumo de alimentos, que favorezcan hábitos de vida saludable.</t>
  </si>
  <si>
    <t xml:space="preserve"> Número de familias en situación de pobreza, vulnerabilidad y/o fragilidad social beneficiadas a través de una estrategia de inclusión social y de apoyos económicos</t>
  </si>
  <si>
    <t>Contribuir a la construcción de la memoria, la convivencia y la reconciliación en el marco del acuerdo de paz, a través de la atención de 8.300 niños, niñas y adolescentes víctimas y afectados por el conflicto armado, desde un enfoque territorial.</t>
  </si>
  <si>
    <t>Número de niños, niñas y adolescentes víctimas y afectados por el conflicto armado atendidos por la Estrategia Atrapasueños</t>
  </si>
  <si>
    <t>Dinamizar la creación de redes de cuidado comunitario en las 20 localidades entre las personas mayores y actores del territorio que promuevan la asociación. el acompañamiento. la vinculación a procesos de arte. cultura. recreación. deporte y hábitos de vida saludable y la disminución de la exclusión por razones de edad a través de estrategias móviles en la ciudad.</t>
  </si>
  <si>
    <t>Número de localidades con redes de cuidado comunitario dinamizadas</t>
  </si>
  <si>
    <t>Entregar el 100% de apoyos alimentarios a través de los comedores comunitarios en sus diferentes modalidades,  teniendo en cuenta las necesidades de los territorios y poblaciones</t>
  </si>
  <si>
    <t>Porcentaje de apoyos  alimentarios entregados a través de los comedores comunitarios en sus diferentes modalidades</t>
  </si>
  <si>
    <t>98,49</t>
  </si>
  <si>
    <t>99,2</t>
  </si>
  <si>
    <t>99,4%</t>
  </si>
  <si>
    <t>Entregar el 100% de los apoyos alimentarios requeridos por la población beneficiaria de los servicios sociales de integración social</t>
  </si>
  <si>
    <t xml:space="preserve">Porcentaje de apoyos alimentarios entregados a población beneficiaria de los servicios sociales </t>
  </si>
  <si>
    <t>97,48</t>
  </si>
  <si>
    <t>97,38</t>
  </si>
  <si>
    <t>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t>
  </si>
  <si>
    <t xml:space="preserve">1 estrategia de inclusión social formulada e implementada  dirigida a los participantes de los servicios sociales con apoyo alimentario  </t>
  </si>
  <si>
    <t>0,55</t>
  </si>
  <si>
    <t>Formular. implementar. monitorear y evaluar un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</si>
  <si>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Nivel de avance del Plan Distrital de Prevención Integral de las Violencias contra las niñas. los niños. adolescentes. mujeres y personas mayores.</t>
  </si>
  <si>
    <t>0,34</t>
  </si>
  <si>
    <t>0,41</t>
  </si>
  <si>
    <t>Implementar una (1) estrategia territorial para cuidadores y cuidadoras de personas con discapacidad que contribuya al reconocimiento socioeconómico y redistribución de roles en el marco del Sistema Distrital de Cuidado</t>
  </si>
  <si>
    <t>Nivel de implementación de la estrategia
territorial para cuidadores y cuidadoras de
personas con discapacidad</t>
  </si>
  <si>
    <t>0,07</t>
  </si>
  <si>
    <t>0,23</t>
  </si>
  <si>
    <t>0,3357</t>
  </si>
  <si>
    <t>Incrementar en 30% la atención de las personas con discapacidad. mediante procesos de articulación intersectorial. con mayor capacidad de respuesta integral teniendo en cuenta el contexto social e implementar el registro distrital de cuidadoras y cuidadores de personas con discapacidad. garantizando así el cumplimiento del Art 10 del acuerdo distrital 710 de 2018</t>
  </si>
  <si>
    <t>Porcentaje  de personas con
discapacidad en Bogotá atendidas</t>
  </si>
  <si>
    <t>28,8%</t>
  </si>
  <si>
    <t>26,15</t>
  </si>
  <si>
    <t>27,03</t>
  </si>
  <si>
    <t>27,89</t>
  </si>
  <si>
    <t>Numero de personas con discapacidad atendidas</t>
  </si>
  <si>
    <t>Incrementar en 40% los procesos de inclusión educativa y productiva de las personas con discapacidad. sus cuidadores y cuidadoras</t>
  </si>
  <si>
    <t>Porcentaje de personas con discapacidad y sus cuidadores que participan en procesos de inclusión educativa y productiva</t>
  </si>
  <si>
    <t>10,81%</t>
  </si>
  <si>
    <t>1,34</t>
  </si>
  <si>
    <t>4,55</t>
  </si>
  <si>
    <t>8,65</t>
  </si>
  <si>
    <t>Numero de personas con discapacidad y sus cuidadores que participan en procesos de inclusión educativa y productiva</t>
  </si>
  <si>
    <t>Incrementar en un 57% la participación de personas mayores en procesos que fortalezcan su autonomía. el desarrollo de sus capacidades. el reentrenamiento laboral para la generación de ingresos y la integración a la vida de la ciudad a través de la ampliación. cualificación e innovación en los servicios sociales con enfoque diferencial.</t>
  </si>
  <si>
    <t xml:space="preserve">porcentaje  la participación de personas mayores en procesos que fortalezcan su autonomía, desarrollando sus capacidades y reentreanmiento laboral </t>
  </si>
  <si>
    <t>46,0%</t>
  </si>
  <si>
    <t>43,4</t>
  </si>
  <si>
    <t>54,5</t>
  </si>
  <si>
    <t>57,30%</t>
  </si>
  <si>
    <t xml:space="preserve">Numero de personas mayores participantes en procesos que fortalezcan su auntonomìa, desarrollo de sus capacidades  y reentrenamiento laboral </t>
  </si>
  <si>
    <t>Incrementar progresivamente en un 60% el valor de los apoyos económicos y ampliar los cupos para personas mayores contribuyendo a mejorar su calidad de vida e incrementar su autonomía en el entorno familiar y social.</t>
  </si>
  <si>
    <t>Porcentaje de incremento del valor del apoyo económico</t>
  </si>
  <si>
    <t xml:space="preserve">numero de cupos en el servicio de apoyos econòmicos </t>
  </si>
  <si>
    <t>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t>
  </si>
  <si>
    <t>Porcentaje de unidades operativas optimizadas</t>
  </si>
  <si>
    <t>12,14</t>
  </si>
  <si>
    <t>17,89</t>
  </si>
  <si>
    <t>20,13%</t>
  </si>
  <si>
    <t>21,80%</t>
  </si>
  <si>
    <t xml:space="preserve">Numero de obras nuevas construidas </t>
  </si>
  <si>
    <t xml:space="preserve">Porcentaje de equipamientos con mantenimiento </t>
  </si>
  <si>
    <t>54,6</t>
  </si>
  <si>
    <t>60,20%</t>
  </si>
  <si>
    <t>65,62%</t>
  </si>
  <si>
    <t xml:space="preserve">Numero de equipamientos administrados por la  SDIS con reforzamiento </t>
  </si>
  <si>
    <t>Promover en las 20 localidades una estrategia de territorios cuidadores a partir de la identificación y caracterización de las acciones para la respuesta a emergencias sociales. sanitarias. naturales. antrópicas y de vulnerabilidad inminente.</t>
  </si>
  <si>
    <t>Nivel de implementacion de la estrategia de territorios cuidadores en las 20 localidades</t>
  </si>
  <si>
    <t>0,20</t>
  </si>
  <si>
    <t>0,04</t>
  </si>
  <si>
    <t xml:space="preserve">Numero de personas atendidas de acuerdo a sus realidades por servicios en emergencia social, natural, antropica, sanitaria y de vulnerabilidad inminente </t>
  </si>
  <si>
    <t>Suministrar el 100% de apoyos humanitarios, impulsando las compras locales y el consumo sostenible, teniendo en cuenta las necesidades territoriales y poblacionales diferenciales.</t>
  </si>
  <si>
    <t xml:space="preserve">Porcentaje de apoyos humanitarios suministrados por emergencia </t>
  </si>
  <si>
    <t>Reducir la maternidad y paternidad temprana en mujeres menores o iguales a 19 años. así como la violencia sexual contra las niñas y mujeres jóvenes. fortaleciendo capacidades de niñas. niños. adolescentes. jóvenes y sus familias sobre derechos sexuales y derechos reproductivos.</t>
  </si>
  <si>
    <t>Número de niñas. niños. adolescentes y jóvenes informados y sensibilizados en derechos sexuales y derechos reproductivo</t>
  </si>
  <si>
    <t>Oportunidades de educación, salud y cultura para mujeres, jóvenes, niños, niñas y adolescentes</t>
  </si>
  <si>
    <t>Atender 2400 adolescentes y jovenes con sanciones no privativas de la libertado en apoyo al restablecimiento en administraicón de justicia en los centros Forjar.</t>
  </si>
  <si>
    <t xml:space="preserve">Numero de jovenes atendidos con sanciones no privativas de la libertad o en apoyo al restablecimiento de derechos en administración de justicia en Centros Forjar </t>
  </si>
  <si>
    <t>Implementar una estrategia de oportunidades juveniles, por medio de la entrega de transferencias monetarias condicionadas a 5.900 jóvenes con alto grado de vulnerabilidad</t>
  </si>
  <si>
    <t>Número de Jóvenes beneficiados con Transferencias Monetarias condicionadas</t>
  </si>
  <si>
    <t>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</si>
  <si>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Porcentaje de Jóvenes atendidos por la Secretaría de Integración Social</t>
  </si>
  <si>
    <t>4,36</t>
  </si>
  <si>
    <t>15,97</t>
  </si>
  <si>
    <t>22,18</t>
  </si>
  <si>
    <t>Numero de jóvenes atendidos por la Secretaría de Integración Social_x000D_</t>
  </si>
  <si>
    <t>numero de jovenes en riesgo identificados y caracterizados en el marco de la imploementaciòn de la estrategia RETo</t>
  </si>
  <si>
    <t>Inspirar confianza y legitimidad para vivir sin miedo y ser epicentro de cultura ciudadana, paz y reconciliación.</t>
  </si>
  <si>
    <t xml:space="preserve">Seguridad, convivencia y justicia </t>
  </si>
  <si>
    <t>Fortalecer el 100% de las Comisarías de Familia en su estructura organizacional y su capacidad operativa. humana y tecnológica. para garantizar a las víctimas de violencia intrafamiliar el oportuno acceso a la justicia y la garantía integral de sus derechos.</t>
  </si>
  <si>
    <t>Porcentjaje  de Comisarías de Familia fortalecidas</t>
  </si>
  <si>
    <t>28,0%</t>
  </si>
  <si>
    <t>Construir Bogotá Región con gobierno abierto, transparente y ciudadanía consciente.</t>
  </si>
  <si>
    <t xml:space="preserve">Gestión pública efectiva, abierta y transparente </t>
  </si>
  <si>
    <t>Diseñar e implementar una estrategia de focalización ajustada a las realidades poblacionales y territoriales
en el marco de la Estrategia Territorial Integral Social - ETIS</t>
  </si>
  <si>
    <t>Nivel de avance  de la estrategia de focalización</t>
  </si>
  <si>
    <t>70,0%</t>
  </si>
  <si>
    <t>47,5</t>
  </si>
  <si>
    <t>57,5</t>
  </si>
  <si>
    <t>61,88</t>
  </si>
  <si>
    <t>Diseñar e implementar una solución tecnológica que facilite la participación de la ciudadanía en la gestión
y oferta institucional</t>
  </si>
  <si>
    <t>Nivel de avance de la solución tecnologica</t>
  </si>
  <si>
    <t>100,0%</t>
  </si>
  <si>
    <t>92,5</t>
  </si>
  <si>
    <t>Aumentar 5 puntos en la calificación del índice distrital de servicio a la ciudadanía. de la Secretaria Distrital de Integración Social</t>
  </si>
  <si>
    <t>Índice distrital de servicios a la ciudadanía</t>
  </si>
  <si>
    <t>88,37</t>
  </si>
  <si>
    <t>Aumentar en un 43% la inspección y vigilancia en los servicios y programas prestados por la Secretaría Distrital de Integración Social que cuentan con estándares de calidad.</t>
  </si>
  <si>
    <t xml:space="preserve">Porcentaje de servicios sociales con inspección y vigilancia  </t>
  </si>
  <si>
    <t>25,0%</t>
  </si>
  <si>
    <t>19,6</t>
  </si>
  <si>
    <t>22,3</t>
  </si>
  <si>
    <t>22,75</t>
  </si>
  <si>
    <t>Garantizar la eficiencia y la eficacia ambiental. logística. operativa y de gestión documental de la entidad. para la oportuna prestación de los servicios sociales incluyendo componentes que demanden la reformulación de los programas.</t>
  </si>
  <si>
    <t>Porcentaje de unidades operativas con servicios logísticos. operativos. de gestión ambiental y documental.</t>
  </si>
  <si>
    <t>59,46</t>
  </si>
  <si>
    <t>70,05</t>
  </si>
  <si>
    <t>85,25</t>
  </si>
  <si>
    <t>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t>
  </si>
  <si>
    <t>Porcentaje de implementación del plan de acción de la política pública de gestión integral del talento humano</t>
  </si>
  <si>
    <t>47,14</t>
  </si>
  <si>
    <t>64,41</t>
  </si>
  <si>
    <t>81,55</t>
  </si>
  <si>
    <t xml:space="preserve">Fortalecer procesos territoriales en las 20 localidades. a partir de la Estrategia Territorial Social - ETIS. vinculando instancias de participación local. formas organizativas  solidarias  y comunitarias de la ciudadanía. </t>
  </si>
  <si>
    <t>Número de localidades fortalecidas en procesos territoriales</t>
  </si>
  <si>
    <t xml:space="preserve"> Implementar (1) una estrategia de innovación social que permita la construcción de acciones transectoriales para aprender y responder a las necesidades emergentes de los territorios de Bogotá y de ésta con la Región Central</t>
  </si>
  <si>
    <t>Nivel de avance de la estrategia de innovación social</t>
  </si>
  <si>
    <t>1,87</t>
  </si>
  <si>
    <t>12,22</t>
  </si>
  <si>
    <t>25,5</t>
  </si>
  <si>
    <t>SECRETARÍA DISTRITAL DE INTEGRACIÓN SOCIAL
PLAN DE ACCIÓN INSTITUCIONAL 2022
PROGRAMACIÓN DE PRESUPUESTO</t>
  </si>
  <si>
    <t xml:space="preserve">Fuente: Bogdata </t>
  </si>
  <si>
    <t>Avance 31 de marzo de 2022</t>
  </si>
  <si>
    <t>Avance 30 de junio de 2022</t>
  </si>
  <si>
    <t>Avance 30 de septiembre de 2022</t>
  </si>
  <si>
    <t>Avance 31 de diciembre de 2022</t>
  </si>
  <si>
    <t>Proyecto de Inversión</t>
  </si>
  <si>
    <t xml:space="preserve">Nombre </t>
  </si>
  <si>
    <t>Fuente de Financiación</t>
  </si>
  <si>
    <t>Presupuesto enero 2022</t>
  </si>
  <si>
    <t>Presupuesto vigente</t>
  </si>
  <si>
    <t>Compromisos</t>
  </si>
  <si>
    <t>% Avance</t>
  </si>
  <si>
    <t>1-100-F001  VA-Recursos distrito</t>
  </si>
  <si>
    <t>1-601-F001  PAS-Otros distrito</t>
  </si>
  <si>
    <t>Implementación de  estrategias y servicios integrales para el abordaje del fenómeno de habitabilidad en calle en Bogotá</t>
  </si>
  <si>
    <t>1-100-I008  VA-Fondo de pobres y espectáculos</t>
  </si>
  <si>
    <t>1-601-I008  PAS-Fondo pobres y espectáculos p</t>
  </si>
  <si>
    <t>1-601-I052  PAS-SGP propósito general</t>
  </si>
  <si>
    <t>1-602-I008  PAS-RB-Fondo pobres y espectáculo</t>
  </si>
  <si>
    <t>1-602-I049  PAS-RB-SGP propósito general</t>
  </si>
  <si>
    <t>2-100-I009  VA-SGP propósito general</t>
  </si>
  <si>
    <t>Implementación de una estrategia de acompañamiento  a  hogares  con mayor pobreza evidente y oculta  de Bogotá</t>
  </si>
  <si>
    <t>1-100-F039  VA-Crédito</t>
  </si>
  <si>
    <t>Servicio de atención a la población proveniente de flujos migratorios mixtos en Bogotá</t>
  </si>
  <si>
    <t>Compromiso social por la diversidad en Bogotá</t>
  </si>
  <si>
    <t>Espacios adecuados, inclusivos y seguros para el desarrollo social integral</t>
  </si>
  <si>
    <t>1-100-I012  VA-Estampilla propersonas mayores</t>
  </si>
  <si>
    <t>1-601-I012  PAS-Estampilla propersonas mayore</t>
  </si>
  <si>
    <t>1-300-I010  REAF-Estampilla propersonas mayor</t>
  </si>
  <si>
    <t>1-601-I037  PAS-Crédito</t>
  </si>
  <si>
    <t>Generación de Oportunidades para el Desarrollo Integral de la Niñez y la Adolescencia de Bogotá</t>
  </si>
  <si>
    <t>1-200-I049  RB-SGP propósito general</t>
  </si>
  <si>
    <t>1-601-I039  PAS-Otras nación</t>
  </si>
  <si>
    <t>2-100-I016  VA-Otras transferencias nación</t>
  </si>
  <si>
    <t>Compromiso por una alimentación integral en Bogotá</t>
  </si>
  <si>
    <t>1-200-F001  RB-Otros distrito</t>
  </si>
  <si>
    <t>1-601-I004  PAS-1% ingresos corrientes-Ley 99</t>
  </si>
  <si>
    <t>1-601-I015  PAS-Multas de tránsito</t>
  </si>
  <si>
    <t>1-601-I025  PAS-Derechos de tránsito</t>
  </si>
  <si>
    <t>1-200-I012  RB-Estampilla propersonas mayores</t>
  </si>
  <si>
    <t>Estrategia de territorios cuidadores que reconozca y fortalezca las acciones de cuidado en el marco de las situciones de emergencias sociales, sanitarias, naturales, antrópicas y de vulnerabilidad inminente, en los territorios de Bogotá.</t>
  </si>
  <si>
    <t>Contribución a la protección de los derechos de las familias especialmente de sus integrantes afectados por la violencia intrafamiliar en la ciudad de Bogotá</t>
  </si>
  <si>
    <t>Compromiso con el envejecimiento activo y una Bogotá cuidadora e incluyente.</t>
  </si>
  <si>
    <t>Fortalecimiento de las oportunidades de  inclusión de las personas con discapacidad y sus familias, cuidadores-as en Bogotá</t>
  </si>
  <si>
    <t>1-604-I023  PAS-RF-SGP propósito general</t>
  </si>
  <si>
    <t>Prevención de la Maternidad y la Paternidad Temprana en Bogotá</t>
  </si>
  <si>
    <t>Generación "Jóvenes con derechos" en Bogotá.</t>
  </si>
  <si>
    <t>Mejoramiento de la capacidad de respuesta institucional de las Comisarías de Familia en Bogotá</t>
  </si>
  <si>
    <t>Fortalecimiento de la gestión de la información y el conocimiento con enfoque participativo y territorial</t>
  </si>
  <si>
    <t>Fortalecimiento institucional para una gestión pública efectiva y transparente en la ciudad de Bogotá</t>
  </si>
  <si>
    <t>Fortalecimiento de la Gestión Institucional y Desarrollo Integral del Talento Humano</t>
  </si>
  <si>
    <t>Fortalecimiento de los procesos territoriales y la construcción de respuestas integradoras e innovadoras en los territorios de la Bogotá – Región</t>
  </si>
  <si>
    <t>Total</t>
  </si>
  <si>
    <t>PROCESO SISTEMA DE GESTIÓN
FORMATO FORMULACIÓN Y SEGUIMIENTO A INDICADORES DE GESTIÓN</t>
  </si>
  <si>
    <t>Código: FOR-SG-010</t>
  </si>
  <si>
    <t>Versión: 2</t>
  </si>
  <si>
    <t>Fecha: Memo  I2021033080 - 02/11/2021</t>
  </si>
  <si>
    <t>PERIODO DEL SEGUIMIENTO:</t>
  </si>
  <si>
    <t>De</t>
  </si>
  <si>
    <t>Enero</t>
  </si>
  <si>
    <t>A</t>
  </si>
  <si>
    <t>Septiembre</t>
  </si>
  <si>
    <t>FORMULACIÓN DEL INDICADOR</t>
  </si>
  <si>
    <t>SEGUIMIENTO DEL INDICADOR</t>
  </si>
  <si>
    <t>Cuadro de control 1: Seguimiento indicadores según lo programado hasta el corte del informe</t>
  </si>
  <si>
    <t>Cuadro de control 2: Seguimiento indicadores según meta anual programada</t>
  </si>
  <si>
    <t>Ubicación estratégica</t>
  </si>
  <si>
    <t>Identificación general</t>
  </si>
  <si>
    <t>Características indicador</t>
  </si>
  <si>
    <t>Horizonte</t>
  </si>
  <si>
    <t>Febrero</t>
  </si>
  <si>
    <t>Marzo</t>
  </si>
  <si>
    <t>Abril</t>
  </si>
  <si>
    <t>Mayo</t>
  </si>
  <si>
    <t>Junio</t>
  </si>
  <si>
    <t>Julio</t>
  </si>
  <si>
    <t>Agosto</t>
  </si>
  <si>
    <t>Octubre</t>
  </si>
  <si>
    <t>Noviembre</t>
  </si>
  <si>
    <t>Diciembre</t>
  </si>
  <si>
    <t>Proceso institucional</t>
  </si>
  <si>
    <t>Objetivo estratégico al que aporta el Indicador</t>
  </si>
  <si>
    <t>Código del indicador</t>
  </si>
  <si>
    <t>Fecha de oficialización del indicador</t>
  </si>
  <si>
    <t>Nombre del indicador</t>
  </si>
  <si>
    <t>Objetivo del indicador</t>
  </si>
  <si>
    <t>Factor crítico de éxito</t>
  </si>
  <si>
    <t>Tipo de indicador</t>
  </si>
  <si>
    <t>Fórmula de cálculo</t>
  </si>
  <si>
    <t>Fuente de datos</t>
  </si>
  <si>
    <t>Descripción del método de cálculo</t>
  </si>
  <si>
    <t>Unidad de medida del indicador</t>
  </si>
  <si>
    <t>Evidencia</t>
  </si>
  <si>
    <t>Periodicidad del indicador</t>
  </si>
  <si>
    <t>Tendencia anual del indicador</t>
  </si>
  <si>
    <t>Línea base</t>
  </si>
  <si>
    <t>Unidad de medida de la línea base</t>
  </si>
  <si>
    <t>Meta del indicador</t>
  </si>
  <si>
    <t>Análisis anual</t>
  </si>
  <si>
    <t>Resultado del indicador acumulado</t>
  </si>
  <si>
    <t>Programado del indicador acumulado</t>
  </si>
  <si>
    <t>Porcentaje de avance acumulado</t>
  </si>
  <si>
    <t>Resultado del indicador para la vigencia</t>
  </si>
  <si>
    <t>Meta anual del indicador para la vigencia</t>
  </si>
  <si>
    <t>Porcentaje de avance para la vigencia</t>
  </si>
  <si>
    <t>Gráfica</t>
  </si>
  <si>
    <t>No Aplica</t>
  </si>
  <si>
    <t>ATC-001</t>
  </si>
  <si>
    <t>Circular No. 007 del 28/02//2022</t>
  </si>
  <si>
    <t>Respuestas a requerimientos realizados por la ciudadanía, entregadas oportunamente</t>
  </si>
  <si>
    <t xml:space="preserve">Determinar el nivel de cumplimiento en los tiempos de entrega, de las respuestas a los requerimientos de la ciudadanía </t>
  </si>
  <si>
    <t>Reporte oportuno al SIAC del cambio del designado por parte de las áreas.
Agilidad en la aprobación de la respuesta, para continuar con su respectivo trámite.</t>
  </si>
  <si>
    <t>Eficiencia</t>
  </si>
  <si>
    <t>(No. de respuestas a requerimientos de la ciudadanía entregadas dentro de los términos en el periodo / No. total de requerimientos con respuesta definitiva en el periodo) *100</t>
  </si>
  <si>
    <t>Bogotá te escucha Sistema Distrital de quejas y soluciones - SDQS.</t>
  </si>
  <si>
    <t xml:space="preserve">Identificar en el reporte del SDQS, la hoja denominada "Indicadores de gestión":
1. Numerador: corresponde al valor de la columna "Gestión oportuna".
2. Denominador: corresponde al valor de la columna "Total general".
Nota: para el cálculo del indicador de la vigencia, tanto el numerador como el denominador corresponderán a la suma de todos los periodos. </t>
  </si>
  <si>
    <t>Porcentaje</t>
  </si>
  <si>
    <t>Reporte SDQS</t>
  </si>
  <si>
    <t>Para el período reportado (enero), el quipo SIAC no contaba con la totalidad del talento humano para realizar las obligaciones asociadas al trámite de requerimientos ciudadanos, por lo que se priorizó la asignación de peticiones a las dependencias competentes de emitir respuesta, así como la remisión de alertas tempranas, a través de correo electrónico, a las dependencias con peticiones próximas a vencer como acción preventiva para la entrega oportuna de las respuestas. 
De igual manera, se continúa en contacto permanente con designados (as), a través del grupo de WhatsApp, para brindar soporte en tiempo real sobre las dudas respecto al trámite de las peticiones y operación de la plataforma Bogotá te escucha.</t>
  </si>
  <si>
    <t xml:space="preserve">11/03/2022:
No se generan observaciones respecto al análisis reportado para el seguimiento del indicador. </t>
  </si>
  <si>
    <r>
      <t xml:space="preserve">Durante el mes de febrero el equipo SIAC (componente trámite de requerimientos ciudadanos), en función del cumplimiento de la oportunidad en la entrega de respuestas a peticiones ciudadanas realizó las siguientes actividades:
• Coordinación en mesa de trabajo con la Secretaría General para definir acuerdos entre entidades que permitan el adecuado y oportuno direccionamiento de las peticiones ciudadanas entre el Distrito y la Nación, específicamente con el Instituto Colombiano de Bienestar Familiar -ICBF-. 
• Socialización vía mailing, al talento humano de la entidad de pieza comunicativa relacionada con el criterio de oportunidad recordando las tipologías de las peticiones y los tiempos de respuesta definidos por la Ley 1755 de 2015. 
• De igual manera, se continúa enviando alertas semanales a través de correos electrónicos, como acción preventiva para la entrega oportuna de las respuestas; así como el soporte permanente con designados (as), a través del grupo de WhatsApp, para aclarar dudas respecto al trámite de las peticiones y operación de la plataforma </t>
    </r>
    <r>
      <rPr>
        <i/>
        <sz val="9"/>
        <rFont val="Arial"/>
        <family val="2"/>
      </rPr>
      <t xml:space="preserve">Bogotá te escucha. </t>
    </r>
  </si>
  <si>
    <t xml:space="preserve">08/04/2022:
No se generan observaciones respecto al análisis y evidencias reportados para el seguimiento del indicador. </t>
  </si>
  <si>
    <r>
      <t xml:space="preserve">Durante el periodo reportado el equipo SIAC (componente trámite de requerimientos ciudadanos), en función del cumplimiento de la oportunidad en la entrega de respuestas a peticiones ciudadanas realizó las siguientes actividades:
* Envío de alertas tempranas a través de correo electrónico a las dependencias con peticiones próximas a vencer como acción preventiva para la entrega oportuna de las mismas. 
* Contacto permanente con designados (as), a través del grupo de WhatsApp, para brindar soporte en tiempo real sobre las dudas respecto al trámite de las peticiones y operación de la plataforma </t>
    </r>
    <r>
      <rPr>
        <i/>
        <sz val="9"/>
        <rFont val="Arial"/>
        <family val="2"/>
      </rPr>
      <t>Bogotá Te Escucha</t>
    </r>
    <r>
      <rPr>
        <sz val="9"/>
        <rFont val="Arial"/>
        <family val="2"/>
      </rPr>
      <t xml:space="preserve">.      
* Socialización a través de correos masivos al talento humano de la entidad, pieza comunicativa relacionada con el criterio de oportunidad recordando las tipologías de las peticiones y los tiempos de respuesta definidos por la Ley 1755 de 2015. 
Es de resaltar que durante el mes de abril se evidenció que la Subdirección para la Discapacidad y Subdirección Local Barrios Unidos han respondido a requerimientos ciudadanos dentro de los términos legales, superando de esta manera la recurrencia en el incumplimiento presentado en meses anteriores.  </t>
    </r>
  </si>
  <si>
    <t xml:space="preserve">10/05/2022:
No se generan observaciones respecto al análisis reportado para el seguimiento del indicador. </t>
  </si>
  <si>
    <r>
      <t xml:space="preserve">Durante el mes de mayo el equipo SIAC (componente trámite de requerimientos ciudadanos), en función del cumplimiento de la oportunidad en la entrega de respuestas a peticiones ciudadanas realizó las siguientes actividades:
* Envío de correo electrónico los días 18 y 24 de mayo de 2022, dirigido a Jefes de Dependencia, Designados del sistema SDQS y Referentes SIAC, socializando la Ley 2207 de  2022 </t>
    </r>
    <r>
      <rPr>
        <i/>
        <sz val="9"/>
        <rFont val="Arial"/>
        <family val="2"/>
      </rPr>
      <t>"Por medio de la cual se deroga el artículo 5 del Decreto Legislativo 491de 2020"</t>
    </r>
    <r>
      <rPr>
        <sz val="9"/>
        <rFont val="Arial"/>
        <family val="2"/>
      </rPr>
      <t>, expedido durante el estado de emergencia económica, social y ecológica por causa de la pandemia de COVID-19, con ello, se restablecen los tiempos de respuesta a las peticiones ciudadanas en los términos establecidos por la Ley 1755 de 2015 “</t>
    </r>
    <r>
      <rPr>
        <i/>
        <sz val="9"/>
        <rFont val="Arial"/>
        <family val="2"/>
      </rPr>
      <t>Por el cual se regula el derecho fundamental de petición(...)”</t>
    </r>
    <r>
      <rPr>
        <sz val="9"/>
        <rFont val="Arial"/>
        <family val="2"/>
      </rPr>
      <t xml:space="preserve">.  A su vez la Subdirección de Gestión y Desarrollo del Talento Humano y la Defensora de la Ciudadanía socializaron vía mailing y página Web, piezas comunicativas sobre la normalización en los tiempos de respuesta a las peticiones ciudadanas.
* Envío de alertas semanales a través de correos electrónicos, como acción preventiva para la entrega oportuna de las respuestas.                                                                  
* Soporte permanente con designados(as), a través del grupo de WhatsApp, para aclarar dudas respecto al trámite de las peticiones y operación de la plataforma </t>
    </r>
    <r>
      <rPr>
        <i/>
        <sz val="9"/>
        <rFont val="Arial"/>
        <family val="2"/>
      </rPr>
      <t>Bogotá Te Escucha.</t>
    </r>
    <r>
      <rPr>
        <sz val="9"/>
        <rFont val="Arial"/>
        <family val="2"/>
      </rPr>
      <t xml:space="preserve">
* Realización de tres (3) jornadas de reinducción presencial dirigidas a setenta y nueve (79)   designados de la operación del Sistema Distrital para la gestión de peticiones ciudadanas. 
* Realización de una (1) mesa de trabajo con la Subdirección para la Gestión del Desarrollo del Talento Humano la cual tuvo como objetivo tratar el tema de peticiones con respuestas fuera de términos y definir las acciones de mejora.</t>
    </r>
  </si>
  <si>
    <t xml:space="preserve">13/06/2022:
No se generan observaciones respecto al análisis reportado para el seguimiento del indicador. </t>
  </si>
  <si>
    <r>
      <t xml:space="preserve">En el segundo trimestre de 2022, el indicador de oportunidad a las respuestas de las peticiones ciudadanas allegadas a la SDIS, alcanzó un 97,89% respecto a la meta programada, es decir, de ocho mil quinientas veinte nueve (8.529) peticiones ciudadanas gestionadas, ocho mil trecientas cuarenta y nueve (8.349) se respondieron dentro de los términos legales.   
Las causas por las cuales no se alcanzó la meta del 100% son las siguientes:  
● Se continúan recibiendo un número considerable de peticiones ciudadanas a través del canal virtual (medio correo electrónico y Contáctenos), de competencia y no competencia de la SDIS. 
● Rotación del talento humano responsable de la emisión de respuestas a peticiones ciudadanas en los diferentes proyectos y servicios de la entidad.  
● Alto volumen de peticiones recibidas por algunas dependencias como la Dirección de Nutrición y Abastecimiento en el período reportado, lo que influyó en la oportunidad del trámite de respuestas a la ciudanía. 
● Cargue extemporáneo de respuestas a peticiones ciudadanas, en la plataforma </t>
    </r>
    <r>
      <rPr>
        <i/>
        <sz val="9"/>
        <color theme="1"/>
        <rFont val="Arial"/>
        <family val="2"/>
      </rPr>
      <t>Bogotá Te Escucha</t>
    </r>
    <r>
      <rPr>
        <sz val="9"/>
        <color theme="1"/>
        <rFont val="Arial"/>
        <family val="2"/>
      </rPr>
      <t xml:space="preserve">, aun cuando la entrega se realizó en los términos de ley, por lo cual, el SIAC continúa implementado el “Instrumento de verificación a respuestas a peticiones entregadas oportunamente"; con el propósito que las dependencias indiquen la fecha real en la que se emitió respuesta a la ciudadanía.  
● El equipo SIAC viene implementado estrategias de mejora a través de acciones de seguimiento, que han incidido positivamente para que se mantenga un nivel de oportunidad mayor al 96%.   
● Seguimiento permanente a la entrega oportuna de las respuestas a las peticiones ciudadanas, a través del envío semanal de alertas tempranas (correos electrónicos) a las dependencias parametrizadas, con requerimientos próximos a vencer.  
● Soporte permanente (a través de WhatsApp) a los designados para la operación de </t>
    </r>
    <r>
      <rPr>
        <i/>
        <sz val="9"/>
        <color theme="1"/>
        <rFont val="Arial"/>
        <family val="2"/>
      </rPr>
      <t>Bogotá Te Escucha</t>
    </r>
    <r>
      <rPr>
        <sz val="9"/>
        <color theme="1"/>
        <rFont val="Arial"/>
        <family val="2"/>
      </rPr>
      <t xml:space="preserve">, sobre el trámite de peticiones ciudadanas en la entidad, y el uso eficiente de la plataforma.  
● Acompañamiento a la Subdirección de Talento Humano, dependencia que  ha sido reiterativa en la falta de oportunidad en la emisión de respuestas.
● Inducción y reinducción a los designados de la operación del Sistema Distrital para la Gestión de Peticiones ciudadanas </t>
    </r>
    <r>
      <rPr>
        <i/>
        <sz val="9"/>
        <color theme="1"/>
        <rFont val="Arial"/>
        <family val="2"/>
      </rPr>
      <t>Bogotá Te Escucha</t>
    </r>
    <r>
      <rPr>
        <sz val="9"/>
        <color theme="1"/>
        <rFont val="Arial"/>
        <family val="2"/>
      </rPr>
      <t xml:space="preserve">.  
● Socialización del trámite de peticiones ciudadanas dirigida a ciento setenta y cinco (175)  servidores y colaboradores  de la SDIS, en 11 espacios. </t>
    </r>
  </si>
  <si>
    <t xml:space="preserve">08/07/2022:
No se generan observaciones respecto al análisis y evidencias reportados para el seguimiento del indicador. </t>
  </si>
  <si>
    <r>
      <t xml:space="preserve">Durante el mes de julio el equipo SIAC (componente trámite de requerimientos ciudadanos), en función del cumplimiento de la oportunidad en la entrega de respuestas a peticiones ciudadanas realizó las siguientes actividades:
• Mesa de trabajo con la Subdirección de Nutrición y Abastecimiento la cual tuvo como objetivo realizar seguimiento a la oportunidad de respuesta a las peticiones ciudadanas, dado que es la dependencia con mayor número de peticiones con respuesta fuera de términos en el periodo reportado. 
• Alertas semanales a través de correos electrónicos, como acción preventiva para la entrega oportuna de las respuestas.                                                                                                                                                                • Soporte permanente con designados(as), a través del grupo de WhatsApp, para aclarar dudas respecto al trámite de las peticiones y operación de la plataforma </t>
    </r>
    <r>
      <rPr>
        <i/>
        <sz val="9"/>
        <rFont val="Arial"/>
        <family val="2"/>
      </rPr>
      <t>Bogotá Te Escucha</t>
    </r>
    <r>
      <rPr>
        <sz val="9"/>
        <rFont val="Arial"/>
        <family val="2"/>
      </rPr>
      <t>.
• Es de resaltar que durante este mes la Subdirección para la Discapacidad no presentó peticiones fuera de términos.</t>
    </r>
  </si>
  <si>
    <t xml:space="preserve">09/08/2022:
No se generan observaciones respecto al análisis y evidencias reportados para el seguimiento del indicador. </t>
  </si>
  <si>
    <r>
      <t xml:space="preserve">Durante el mes de agosto el equipo SIAC (componente trámite de peticiones ciudadanas), en función del cumplimiento de la oportunidad en la entrega de respuestas a peticiones ciudadanas realizó las siguientes actividades:
• Alertas semanales a través de correos electrónicos, como acción preventiva para la entrega oportuna de las respuestas.                                                                                                                    • Soporte permanente con designados (as) a través del grupo de WhatsApp, para aclarar dudas respecto al trámite de las peticiones y operación de la plataforma </t>
    </r>
    <r>
      <rPr>
        <i/>
        <sz val="9"/>
        <rFont val="Arial"/>
        <family val="2"/>
      </rPr>
      <t>Bogotá te Escucha</t>
    </r>
    <r>
      <rPr>
        <sz val="9"/>
        <rFont val="Arial"/>
        <family val="2"/>
      </rPr>
      <t xml:space="preserve">.
• Realización de dos (2) jornadas de inducción virtual por la plataforma teams dirigidas a catorce (14) nuevos designados de la operación del Sistema Distrital para la Gestión de peticiones ciudadanas. 
Es de resaltar que durante el mes de agosto se evidenció que la dependencia Dirección de Nutrición y Abastecimiento disminuyó la cantidad de peticiones vencidas y sin respuesta, superando de esta manera la recurrencia en el incumplimiento presentado en los dos últimos meses (mayo y junio).  </t>
    </r>
  </si>
  <si>
    <t xml:space="preserve">08/09/2022:
No se generan observaciones respecto al análisis y evidencias reportados para el seguimiento del indicador. </t>
  </si>
  <si>
    <t xml:space="preserve">14/10/2022:
No se generan observaciones respecto al análisis y evidencias reportados para el seguimiento del indicador. </t>
  </si>
  <si>
    <t xml:space="preserve">11/11/2022:
No se generan observaciones respecto al análisis reportado para el seguimiento del indicador. </t>
  </si>
  <si>
    <t xml:space="preserve">13/12/2022:
No se generan observaciones respecto al análisis reportado para el seguimiento del indicador. </t>
  </si>
  <si>
    <t>ATC-002</t>
  </si>
  <si>
    <t>Respuestas coherentes con los requerimientos realizados por la ciudadanía</t>
  </si>
  <si>
    <t>Determinar el nivel de  coherencia en las respuestas a los requerimientos de la ciudadanía.</t>
  </si>
  <si>
    <t>Conocimiento del tema por parte del designado para dar la respuesta. 
Tener claridad sobre los servicios sociales para dar respuesta a los requerimientos.</t>
  </si>
  <si>
    <t>Efectividad</t>
  </si>
  <si>
    <t>(No. de respuestas coherentes con los requerimientos de la ciudadanía (establecido por el aplicativo Epi-info) en el periodo / No. total de requerimientos de la muestra establecida por el aplicativo Epi-info, del periodo) * 100</t>
  </si>
  <si>
    <t>Bogotá te escucha Sistema Distrital de quejas y soluciones
Reporte estadístico del aplicativo Epi-info</t>
  </si>
  <si>
    <t>Reporte Epi-info</t>
  </si>
  <si>
    <t xml:space="preserve">En el mes de enero, el equipo del Servicio Integral de Atención a la Ciudadanía -SIAC (nivel central), realizó seguimiento a la calidad de la respuesta (criterio de coherencia) de las peticiones ciudadanas tramitadas en la SDIS. Este análisis se llevó a cabo a partir de la muestra generada en el aplicativo de Epiinfo encontrando que la totalidad de respuestas analizadas cumplieron con este criterio. </t>
  </si>
  <si>
    <t xml:space="preserve">Durante el mes de febrero, el equipo del Servicio Integral de Atención a la Ciudadanía -SIAC (nivel central), realizó seguimiento a la calidad de la respuesta (criterio de coherencia) de las peticiones ciudadanas tramitadas en la SDIS. Este análisis se llevó a cabo a partir de la muestra generada en el aplicativo de Epiinfo encontrando que la totalidad de respuestas analizadas cumplieron con este criterio. 
Por otra parte, se socializó, vía mailing, al talento humano de la entidad pieza comunicativa relacionada con el criterio de claridad recordando aspectos clave a tener en cuenta en la emisión de respuestas a las peticiones ciudadanas. </t>
  </si>
  <si>
    <t xml:space="preserve">Para este periodo el equipo del Servicio Integral de Atención a la Ciudadanía -SIAC (nivel central), realizó seguimiento a la calidad de la respuesta (criterio de coherencia) de las peticiones ciudadanas tramitadas en la SDIS. Este análisis se llevó a cabo a partir de la muestra generada en el aplicativo de Epi-info encontrando que la totalidad de respuestas analizadas cumplieron con este criterio.
Por otra parte, el equipo SIAC continúa la socialización vía mailing, al talento humano de la entidad, a través de pieza comunicativa relacionada con el criterio de coherencia recordando los tips que nos ayuden a dar respuesta a lo que el ciudadano está solicitando. Así mismo, mediante memorando interno se informó a las áreas responsables sobre el incumplimiento a los criterios evaluados en el análisis realizado aportando alternativas de mejora (tips de lenguaje claro, claves para la redacción, entre otros) para cumplir con los criterios de calidad. </t>
  </si>
  <si>
    <t xml:space="preserve">Para este periodo  el equipo del Servicio Integral de Atención a la Ciudadanía -SIAC (nivel central), realizó las siguientes acciones:
* Seguimiento a la calidad de la respuesta (criterio de coherencia) de las peticiones ciudadanas tramitadas en la SDIS. Este análisis se llevó a cabo a partir de la muestra generada en el aplicativo de Epiinfo encontrando que la totalidad de respuestas analizadas cumplieron con este criterio.
* Socialización vía mailing al Talento Humano de pieza comunicativa relacionada con los criterios de calidad recordando los tips para dar respuesta a lo que la ciudadanía solicita.    
                                                                      </t>
  </si>
  <si>
    <r>
      <t xml:space="preserve">En el segundo trimestre de la vigencia 2022, el indicador alcanzó un 99.98% respecto a la meta programada. El equipo del Servicio Integral de Atención a la Ciudadanía -SIAC, realizó seguimiento al cumplimiento del criterio de coherencia a las respuestas a peticiones ciudadanas emitidas por la entidad, de un universo tomado a partir de las  bases reportadas mensualmente para un total de siete mil trescientas ochenta y nueve (7.389) peticiones con respuesta definitiva, se tomó una muestra aleatoria (a través del aplicativo Epi-info) de ciento noventa y siete (197), para analizar el cumplimiento de criterios de calidad (coherencia, claridad y calidez) de las cuales, ocho (8) hacen referencia a reconocimientos positivos y dos (2) peticiones no tienen la respuesta formal cargada en el sistema de </t>
    </r>
    <r>
      <rPr>
        <i/>
        <sz val="9"/>
        <color theme="1"/>
        <rFont val="Arial"/>
        <family val="2"/>
      </rPr>
      <t>Bogotá Te Escucha</t>
    </r>
    <r>
      <rPr>
        <sz val="9"/>
        <color theme="1"/>
        <rFont val="Arial"/>
        <family val="2"/>
      </rPr>
      <t xml:space="preserve"> o se utilizaron documentos  que no permiten realizar el análisis por lo tanto no aplican.  
En este orden de ideas, se verifica el cumplimiento a ciento ochenta y siete (187) respuestas, encontrando que una (1) respuesta  no cumple  con el criterio de coherencia, cinco (5) respuestas no cumplen con el criterio de calidez y dos (2) respuestas  no cumplen con el criterio de claridad. 
Como estrategia de mejora el equipo SIAC realizó durante este periodo las siguientes acciones: 
*Memorando interno informando a las áreas responsables sobre los hallazgos encontrados en el análisis realizado aportando alternativas de mejora (tips de lenguaje claro, claves para la redacción, entre otros) para cumplir con los criterios de calidad. 
*Soporte permanente a los/as designados/as para la operación Sistema Distrital para la Gestión de Peticiones Ciudadanas (a través de WhatsApp) sobre el trámite de requerimientos ciudadanos, entre ellos, los criterios de calidad de las respuestas.
•Socialización vía e-mail de tres piezas comunicativas acerca de los de tips de lenguaje claro sobre el criterio de coherencia, calidad y claridad.
•Durante el trimestre se realizaron inducciones y reinducciones a servidores y colaboradores de la SDIS en los cuales se socializaron los criterios de calidad (coherencia, calidez, claridad) que se deben tener en cuenta al momento de emitir respuestas a los ciudadanos.</t>
    </r>
  </si>
  <si>
    <t>Durante el período reportado (julio 2022), el equipo del Servicio Integral de Atención a la Ciudadanía -SIAC-, nivel central, realizó las siguientes acciones: 
• Seguimiento a la calidad de la respuesta (criterio de coherencia) a las peticiones ciudadanas tramitadas en la SDIS, encontrando que dos de las respuestas analizadas incumplieron con este criterio, dado que emitieron respuesta con nombres diferentes a la de los peticionarios.  
• Remisión de memorandos a las dependencias con incumplimiento en alguno de los criterios de calidad, en los cuales se establecen pautas para tener en cuenta en la elaboración de las respuestas.</t>
  </si>
  <si>
    <t xml:space="preserve">Para este periodo  el equipo del Servicio Integral de Atención a la Ciudadanía -SIAC (nivel central), realizó las siguientes acciones:
• Seguimiento a la calidad de la respuesta (criterio de coherencia) de las peticiones ciudadanas tramitadas en la SDIS. Este análisis se llevó a cabo a partir de la muestra generada en el aplicativo de Epiinfo encontrando que la totalidad de respuestas analizadas cumplieron con este criterio.
• Socialización vía mailing al talento humano de la entidad  de pieza comunicativa relacionada con el criterio de coherencia, recordando los tips para dar respuesta al a las solicitudes ciudadanas.                                                                                                                  
• Memorando interno  informando a las áreas responsables sobre el incumplimiento a los criterios  evaluados  en el análisis realizado,  aportando alternativas de mejora (tips de lenguaje claro, claves para la redacción, entre otros) para cumplir con los criterios de calidad.
</t>
  </si>
  <si>
    <t xml:space="preserve">En el Tercer trimestre de la vigencia 2022, el indicador alcanzó un 99% respecto a la meta programada. El equipo del Servicio Integral de Atención a la Ciudadanía -SIAC, realizó seguimiento al cumplimiento del criterio de coherencia a las respuestas a peticiones ciudadanas emitidas por la entidad, de un universo tomado a partir de las bases reportadas mensualmente para un total de cuatro mil setecientos veintidós (4.722) peticiones con respuesta definitiva, se tomó una muestra aleatoria (a través del aplicativo Epi-info) de ciento noventa y cuatro (194), para analizar el cumplimiento de criterios de calidad (coherencia, claridad y calidez) de las cuales, cuatro (4) hacen referencia a reconocimientos positivos y (1) una petición no tienen la respuesta formal cargada en el sistema de Bogotá Te Escucha o se utilizaron documentos que no permiten realizar el análisis por lo tanto no aplican.  
En este orden de ideas, se verifica el cumplimiento a ciento ochenta y nueve (189) respuestas, encontrando que dos (2) respuestas no cumplen  con el criterio de coherencia, cinco (5) respuestas no cumplen con el criterio de calidez y tres (3) respuestas  no cumplen con el criterio de claridad. 
Como estrategia de mejora el equipo SIAC realizó durante este periodo las siguientes acciones:
• Memorando interno informando a las áreas responsables sobre los hallazgos encontrados en el análisis realizado aportando alternativas de mejora (tips de lenguaje claro, claves para la redacción, entre otros) para cumplir con los criterios de calidad.
• Soporte permanente a los(as) designados(as) para la operación Sistema Distrital para la Gestión de Peticiones Ciudadanas (a través de WhatsApp) sobre el trámite de requerimientos ciudadanos, entre ellos, los criterios de calidad de las respuestas.
• Socialización vía e-mail de tres piezas comunicativas acerca de los de tips de lenguaje claro sobre el criterio de coherencia, calidad y claridad la cual es trasmitida por el boletín semanal de comunicaciones
• Durante el trimestre se realizaron inducciones a servidores y colaboradores de la SDIS en los cuales se socializaron los criterios de calidad (coherencia, calidez, claridad) que se deben tener en cuenta al momento de emitir respuestas a los ciudadanos.
Así mismo, a fin de brindar herramientas que contribuyan a la emisión de respuestas a peticiones ciudadanas con criterios de calidad (claridad, calidez y coherencia), se implementó un taller de lenguaje claro dirigido a los colaboradores de la Subdirección de Gestión y Desarrollo del Talento Humano y referentes de las Subdirecciones técnicas de Nivel central.
</t>
  </si>
  <si>
    <t xml:space="preserve">En el mes de octubre, el equipo del Servicio Integral de Atención a la Ciudadanía -SIAC (nivel central), realizó seguimiento a la calidad de la respuesta (criterio de coherencia) de las peticiones ciudadanas tramitadas en la SDIS. Este análisis se llevó a cabo a partir de la muestra generada en el aplicativo de Epiinfo encontrando que la totalidad de respuestas analizadas cumplieron con este criterio. </t>
  </si>
  <si>
    <t>ATC-7733-001</t>
  </si>
  <si>
    <t>Respuestas a requerimientos de Control Político entregadas oportunamente</t>
  </si>
  <si>
    <t xml:space="preserve">Determinar el nivel de cumplimiento en los tiempos de entrega de las respuestas proyectadas a los requerimientos (Proposiciones, Derechos de petición) allegados a la SDIS por el Concejo y el Congreso de la República. </t>
  </si>
  <si>
    <t>(No. de respuestas a requerimientos del Concejo y el Congreso de la República entregadas dentro de los términos en el periodo / No. Total de requerimientos del Concejo y el Congreso de la República cuyo tiempo de respuesta vence en el periodo) *100</t>
  </si>
  <si>
    <t>Archivo físico y registros digitales.
Matriz de seguimiento.</t>
  </si>
  <si>
    <t xml:space="preserve">Identificar en la matriz de seguimiento:
1. Cantidad total de requerimientos cuyos términos vencen en el periodo (denominador)
2. De ese total, la cantidad de respuestas realizadas en los términos (numerador).
Nota: para el cálculo del indicador de la vigencia, tanto el numerador como el denominador corresponderán a la suma de todos los periodos. </t>
  </si>
  <si>
    <t>Matriz de seguimiento</t>
  </si>
  <si>
    <t>No aplica</t>
  </si>
  <si>
    <t>Para el mes de enero el indicador presenta un resultado del 86%, el cual corresponde a 36 respuestas a requerimientos y proposiciones entregados dentro de los términos legales, de un total de 42 requerimientos y proposiciones cuyos tiempos de respuesta vencían en el período.
Es de anotar que los retrasos en las respuestas, obedecen a la calidad de los insumos que se allegan, lo cual impide proyectar y entregar una respuesta con oportunidad y calidad, sin embargo, se han venido adelantando diferentes estrategias que permitan fortalecer la calidad y oportunidad de los insumos y así mejorar los tiempos de respuesta.
A su vez, se viene realizando un trabajo articulado con las demás dependencias de la Secretaría Distrital de Integración Social, con el propósito de minimizar los reprocesos en las solicitudes de insumos, y que los mismos permitan dar una respuesta efectiva y de calidad.
Ahora bien, con el fin de cumplir con la respuesta en términos los requerimientos recibidos, el equipo de Direccionamiento Político emite alertas a las áreas a través de la remisión de una matriz que permite evidenciar a las dependencias el estado de los requerimientos y si la remisión de insumos está en oportunidad o fuera de plazo. En consecuencia, se emiten alertas tempranas para mitigar el riesgo de incumplimiento de respuesta en los términos de tiempo correspondientes.
El conjunto de acciones de control contribuyó al seguimiento y gestión efectiva de los requerimientos.</t>
  </si>
  <si>
    <t xml:space="preserve">11/03/2022:
No se generan observaciones respecto al análisis y evidencias reportados para el seguimiento del indicador. </t>
  </si>
  <si>
    <t xml:space="preserve">Para el mes de febrero el indicador presenta un resultado del 93%, el cual corresponde a 64 respuestas a requerimientos y proposiciones entregados dentro de los términos legales, de un total de 69 requerimientos y proposiciones cuyos tiempos de respuesta vencían en el período.
Es de anotar que los retrasos en las respuestas, obedecen a la calidad de los insumos que se allegan, lo cual impide proyectar y entregar una respuesta con oportunidad y calidad. sin embargo, se han venido adelantando diferentes estrategias que permitan fortalecer la calidad y oportunidad de los insumos y así mejorar los tiempos de respuesta.
A su vez, se viene realizando un trabajo articulado con las demás dependencias de la Secretaría Distrital de Integración Social, con el propósito de minimizar los reprocesos en las solicitudes de insumos, y que los mismos permitan dar una respuesta efectiva y de calidad.
El conjunto de acciones de control contribuyó al seguimiento y gestión efectiva de los requerimientos.
</t>
  </si>
  <si>
    <t>Para el mes de marzo el indicador presenta un resultado del 98%, el cual corresponde a 65 respuestas a requerimientos y proposiciones entregados dentro de los términos legales, de un total de 66 requerimientos y proposiciones cuyos tiempos de respuesta vencían en el período.
Es de anotar que el retraso en la respuesta, obedece a la calidad de los insumos que se allegan, lo cual impide proyectar y entregar una respuesta con oportunidad y calidad. Sin embargo, se han venido adelantando diferentes estrategias que permitan fortalecer la calidad y oportunidad de los insumos y así mejorar los tiempos de respuesta.
A su vez, se viene realizando un trabajo articulado con las demás dependencias de la Secretaría Distrital de Integración Social, con el propósito de minimizar los reprocesos en las solicitudes de insumos, y que los mismos permitan dar una respuesta efectiva y de calidad.
El conjunto de acciones de control contribuyó al seguimiento y gestión efectiva de los requerimientos.</t>
  </si>
  <si>
    <t>Para el mes de abril el indicador presenta un resultado del 100%, el cual corresponde a 62 respuestas a requerimientos y proposiciones entregados dentro de los términos legales, de un total de 62 requerimientos y proposiciones cuyos tiempos de respuesta vencían en el período. Se continúa fortaleciendo las estrategias que permiten entregar respuestas a los requerimientos con calidad y oportunidad.
A su vez, se viene realizando un trabajo articulado con las demás dependencias de la Secretaría Distrital de Integración Social, con el propósito de minimizar los reprocesos en las solicitudes de insumos, y que los mismos permitan dar una respuesta efectiva y con calidad.</t>
  </si>
  <si>
    <t xml:space="preserve">06/05/2022:
No se generan observaciones respecto al análisis y evidencias reportados para el seguimiento del indicador. </t>
  </si>
  <si>
    <t>Para el mes de mayo el indicador presenta un resultado del 100%, el cual corresponde a 91 respuestas a requerimientos y proposiciones entregados dentro de los términos legales, de un total de 91 requerimientos y proposiciones cuyos tiempos de respuesta vencían en el período.
Se continúa fortaleciendo las estrategias que permiten entregar respuestas a los requerimientos con calidad y oportunidad.
A su vez, se viene realizando un trabajo articulado con las demás dependencias de la Secretaría Distrital de Integración Social, con el propósito de minimizar los reprocesos en las solicitudes de insumos, y que los mismos permitan dar una respuesta efectiva y con calidad.</t>
  </si>
  <si>
    <t xml:space="preserve">07/06/2022:
No se generan observaciones respecto al análisis y evidencias reportados para el seguimiento del indicador. </t>
  </si>
  <si>
    <t xml:space="preserve">Para el mes de junio el indicador presenta un resultado del 100%, el cual corresponde a 68 respuestas a requerimientos y proposiciones entregados dentro de los términos legales, de un total de 68 requerimientos y proposiciones cuyos tiempos de respuesta vencían en el período.
Se continúa fortaleciendo las estrategias que permiten entregar respuestas a los requerimientos con calidad y oportunidad.
A su vez, se viene realizando un trabajo articulado con las demás dependencias de la Secretaría Distrital de Integración Social, con el propósito de minimizar los reprocesos en las solicitudes de insumos, y que los mismos permitan dar una respuesta efectiva y con calidad.
Finalmente, se realizó jornada de sensibilización en el presente periodo, de acuerdo con lo programado.
</t>
  </si>
  <si>
    <t xml:space="preserve">07/07/2022:
No se generan observaciones respecto al análisis y evidencias reportados para el seguimiento del indicador. </t>
  </si>
  <si>
    <t>Para el mes de julio el indicador presenta un resultado del 100%, el cual corresponde a 51 respuestas a requerimientos y proposiciones entregados dentro de los términos legales, de un total de 51 requerimientos y proposiciones cuyos tiempos de respuesta vencían en el período.
Se continúan fortaleciendo las estrategias que permiten entregar respuestas a los requerimientos con calidad y oportunidad.
A su vez, se viene realizando un trabajo articulado con las demás dependencias de la Secretaría Distrital de Integración Social, con el propósito de minimizar los reprocesos en las solicitudes de insumos, y que los mismos permitan dar una respuesta efectiva y con calidad.</t>
  </si>
  <si>
    <t xml:space="preserve">08/08/2022:
No se generan observaciones respecto al análisis y evidencias reportados para el seguimiento del indicador. </t>
  </si>
  <si>
    <t xml:space="preserve">Para el mes de agosto el indicador presenta un resultado del 97%, el cual corresponde a 67 respuestas a requerimientos y proposiciones entregados dentro de los términos legales, de un total de 69 requerimientos y proposiciones cuyos tiempos de respuesta vencían en el período. Se continúan fortaleciendo las estrategias que permiten entregar respuestas a los requerimientos con calidad y oportunidad.
Teniendo en cuenta lo anterior, a partir del próximo mes se va a implementar un control interno con semáforos, para que las respuestas que se envían por parte del equipo de Control Político para revisión del despacho, se remitan como mínimo un día antes del vencimiento, y de esta manera mejorar los tiempos de respuesta, y evitar vencimientos. 
A su vez, se viene realizando un trabajo articulado con las demás dependencias de la Secretaría Distrital de Integración Social, con el propósito de minimizar los reprocesos en las solicitudes de insumos, y que los mismos permitan dar una respuesta efectiva y con calidad. 
</t>
  </si>
  <si>
    <t>Para el mes de septiembre el indicador presenta un resultado del 99%, el cual corresponde a 80 respuestas a requerimientos y proposiciones entregados dentro de los términos legales, de un total de 81 requerimientos y proposiciones cuyos tiempos de respuesta vencían en el período. Se continúa fortaleciendo las estrategias que permiten entregar respuestas a los requerimientos con calidad y oportunidad.
En ese sentido, durante el mes de Septiembre se realizaron reuniones con cada una de las Direcciones y Subdirecciones de la Entidad, con los siguientes objetivos: i) Por un lado, se les presentó las cifras generales de las respuestas que han salido en término y fuera de término, de la Entidad, y de cada una de las áreas durante el I semestre del 2022.; ii) Por otro lado, se realizó un ejercicio de retroalimentación sobre las causas de los reprocesos, y los ajustes que se solicitan con frecuencia, en aras de mejor la calidad de los productos, minimizar los reprocesos en las solicitudes de insumos, y los tiempos de respuesta a los Entes de Control Político.</t>
  </si>
  <si>
    <t xml:space="preserve">18/10/2022:
No se generan observaciones respecto al análisis y evidencias reportados para el seguimiento del indicador. </t>
  </si>
  <si>
    <t>ATC-7733-002</t>
  </si>
  <si>
    <t>Respuestas a solicitudes de conceptos a proyectos y acuerdos de Ley entregadas oportunamente</t>
  </si>
  <si>
    <t>Determinar el nivel de cumplimiento en los tiempos de entrega de los conceptos a proyectos de Acuerdo y de Ley.</t>
  </si>
  <si>
    <t>(No. de respuestas a solicitudes de conceptos a proyectos y acuerdos de ley entregadas dentro de  los términos en el periodo / No. total de solicitudes de conceptos a proyectos y acuerdos de ley cuyo tiempo de respuesta vence en el periodo) *100</t>
  </si>
  <si>
    <t>Archivo físico y registros digitales
Matriz de seguimiento</t>
  </si>
  <si>
    <t xml:space="preserve">En el mes de enero, se realizó la revisión, direccionamiento y consolidación de las solicitudes de concepto a los Proyectos de Acuerdo, de conformidad con el procedimiento establecido en el Equipo de Direccionamiento Político.
Es de anotar que los retrasos en las respuestas, obedecen a la calidad de los insumos que se allegan, lo cual impide proyectar y entregar una respuesta con oportunidad y calidad. sin embargo, se han venido adelantando diferentes estrategias que permitan fortalecer la calidad y oportunidad de los insumos y así mejorar los tiempos de respuesta.
A su vez, se viene realizando un trabajo articulado con las demás dependencias de la Secretaría Distrital de Integración Social, con el propósito de minimizar los reprocesos en las solicitudes de insumos, y que los mismos permitan dar una respuesta efectiva y de calidad.
Finalmente, con el fin de mejorar en el cumplimiento de los términos establecidos en el procedimiento, el equipo de Direccionamiento Político emite alertas a las áreas, a través de la remisión de una matriz que permite evidenciar las dependencias que tienen insumos pendientes de entrega, de esta manera, se generan alertas internas tendientes a prevenir el incumplimiento de los términos internos y los términos legales.
</t>
  </si>
  <si>
    <t>En el mes de febrero, se realizó la revisión, direccionamiento y consolidación de las solicitudes de concepto a los Proyectos de Acuerdo, de conformidad con el procedimiento establecido en el Equipo de Direccionamiento Político.
Es de anotar que los retrasos en las respuestas, obedecen a la calidad de los insumos que se allegan, lo cual impide proyectar y entregar una respuesta con oportunidad y calidad. sin embargo, se han venido adelantando diferentes estrategias que permitan fortalecer la calidad y oportunidad de los insumos y así mejorar los tiempos de respuesta.
A su vez, se viene realizando un trabajo articulado con las demás dependencias de la Secretaría Distrital de Integración Social, con el propósito de minimizar los reprocesos en las solicitudes de insumos, y que los mismos permitan dar una respuesta efectiva y de calidad.
Finalmente, con el fin de mejorar en el cumplimiento de los términos establecidos en el procedimiento, el Equipo de Direccionamiento Político emite alertas a las áreas, a través de la remisión de una matriz que permite evidenciar las dependencias que tienen insumos pendientes de entrega, de esta manera, se generan alertas internas tendientes a prevenir el incumplimiento de los términos internos y los términos legales.</t>
  </si>
  <si>
    <t>El indicador para el trimestre de enero, febrero y marzo, presentó un resultado del 8%, dadas las siguientes circunstancias:
Para el primer trimestre del año 2022, la Secretaría Distrital de Gobierno solicitó el concepto de 25 proyectos de acuerdo, sin embargo, 16 de los proyectos de acuerdo fueron archivados teniendo en cuenta la clausura de sesiones ordinarias del Concejo de Bogotá, como se indica en la comunicación remitida por correo electrónico (30 de marzo) por parte de la Coordinación de Asuntos Normativos de la Secretaría Distrital de Gobierno, quien señaló que “En respuesta a tu consulta, los proyectos de acuerdo radicados en las ordinarias del febrero fueron archivados”.
Por otra parte, los conceptos a los proyectos de acuerdo que se reportan vencidos, corresponden a la entrega de insumos por fuera de los tiempos establecidos por parte de las áreas de la Entidad, afectando la cadena de revisión y por consiguiente la entrega oportuna de los conceptos.
Finalmente, respecto del concepto al proyecto de ley, se indica que está pendiente la mesa de trabajo con los sectores coordinadores para establecer el procedimiento con la nueva legislatura.
Con el fin de continuar con el cumplimiento de los términos establecidos en el procedimiento, el Equipo de Direccionamiento Político emite alertas a las áreas, a través de la remisión de una matriz que permite evidenciar las dependencias que tienen insumos pendientes de entrega. De esta manera, se generan alertas internas tendientes a prevenir el incumplimiento de los términos internos y los términos legales.</t>
  </si>
  <si>
    <t>08/04/2022:
Se recomienda revisar la ejecución de este indicador toda vez que el porcentaje de cumplimiento es demasiado bajo para este trimestre si se tiene en cuenta que la meta es del 100%. Respecto a las evidencias no se generan observaciones.</t>
  </si>
  <si>
    <t>En el mes de abril, se realizó la revisión, direccionamiento y consolidación de las solicitudes de concepto a los Proyectos de Acuerdo, de conformidad con el procedimiento establecido en el Equipo de Direccionamiento Político. Es de anotar que los retrasos en las respuestas, obedecen a la calidad de los insumos que se allegan, lo cual impide proyectar y entregar una respuesta con oportunidad y calidad, sin embargo, se han venido adelantando diferentes estrategias que permitan fortalecer la calidad y oportunidad de los insumos y así mejorar los tiempos de respuesta.
A su vez, se viene realizando un trabajo articulado con las demás dependencias de la Secretaría Distrital de Integración Social, con el propósito de minimizar los reprocesos en las solicitudes de insumos, y que los mismos permitan dar una respuesta efectiva y de calidad.
Por otra parte, con el fin de mejorar en el cumplimiento de los términos establecidos en el procedimiento, el Equipo de Direccionamiento Político emite alertas a las áreas, a través de la remisión de una matriz que permite evidenciar las dependencias que tienen insumos pendientes de entrega, de esta manera, se generan alertas internas tendientes a prevenir el incumplimiento de los términos internos y los términos legales. Finalmente, se esta trabajando en las acciones que permitan mejorar el indicador.</t>
  </si>
  <si>
    <t>En el mes de mayo, se realizó la revisión, direccionamiento y consolidación de las solicitudes de concepto a los Proyectos de Acuerdo, de conformidad con el procedimiento establecido en el Equipo de Direccionamiento Político. 
Con el fin de mejorar en el cumplimiento de los términos establecidos en el procedimiento, el Equipo de Direccionamiento Político emite alertas a las áreas, a través, de la remisión de una matriz que permite evidenciar las dependencias que tienen insumos pendientes de entrega, de esta manera, se generan alertas internas tendientes a prevenir el incumplimiento de la oportunidad de emisión de los comentarios. 
Adicionalmente, se realizó reunión con el equipo técnico para determinar si para evaluar el porcentaje de cumplimiento del indicador, debía tenerse en cuenta el término de ocho (8) días establecido en el Decreto Distrital 438 de 2019, artículo 10, numeral 3, al respecto se determinó que dicha reglamentación tiene la finalidad de establecer el procedimiento para las relaciones político - normativas con el Concejo de Bogotá, D.C., es decir que el término no es preclusivo y por ende, la oportunidad radica en que se emita los comentarios antes de la sesión del Concejo Distrital.
Finalmente, se consolidó la base de enlaces de las diferentes dependencias de la Secretaría Distrital De Integración Social responsables de dar y acompañar las respuestas a los entes de control y los entes que ejercen el control político, se definieron las temáticas que se pretenden tratar en la sensibilización que se programará para la tercera semana del mes de junio de 2022.</t>
  </si>
  <si>
    <t>El indicador para el segundo trimestre de 2022 presenta un resultado del 100%, el cual corresponde a 8 respuestas de conceptos a proyectos y acuerdos de Ley, entregados dentro de los términos legales, de un total de 8 solicitudes cuyos tiempos de respuesta vencían en el período.
Se realizó reunión con el equipo técnico para determinar si para evaluar el porcentaje de cumplimiento del indicador, debía tenerse en cuenta el término de ocho (8) días establecido en el Decreto Distrital 438 de 2019, artículo 10, numeral 3, al respecto se determinó que dicha reglamentación tiene la finalidad de establecer el procedimiento para las relaciones político - normativas con el Concejo de Bogotá, D.C., es decir que el término no es preclusivo.
En efecto, una vez se recibe la solicitud de comentarios frente a un proyecto de acuerdo y/o de ley, las secretarías realizan gestiones administrativas para determinar la viabilidad y se realizan múltiples interacciones entre las áreas e Inter secretarías.
Por lo anterior, se concluyó que la oportunidad de la emisión de los comentarios se valora teniendo en cuenta que estos se profieran antes del debate ante el Concejo Distrital con la debida interacción entre secretarías y no dentro del término fijado en la normatividad mencionada.
Por otra parte, en la base de seguimiento a la emisión de comentarios a los proyectos de acuerdo y/o de ley, se identificaron 18 requerimientos realizados por la Secretaría de Gobierno, los cuales no cuentan con comunicado escrito de comentarios.
Al respecto, el equipo técnico verificó con la Secretaría de Gobierno (correo electrónico) que los proyectos fueron archivados: "(...) Los proyectos de acuerdo radicados en las ordinarias de mayo fueron archivados, sin embargo, de conformidad con lo establecido en el parágrafo del artículo 79  del Acuerdo 741-2019 pueden ser desarchivados para las ordinarias de agosto, asignándoles nuevo número, en este caso se solicitarán nuevamente los comentarios (...)". 
En conclusión, las 18 solicitudes de emisión de comentarios no deben tenerse en cuenta en la valoración del indicador del presente trimestre, pues como se indicó anteriormente la oportunidad de la emisión se verifica cuando se surte la correspondiente sesión en el Concejo Distrital.</t>
  </si>
  <si>
    <t xml:space="preserve">En el mes de julio, se realizó la revisión, direccionamiento y consolidación de las solicitudes de concepto a los Proyectos de Acuerdo, de conformidad con el procedimiento establecido en el Equipo de Direccionamiento Político. 
Con el fin de mejorar en el cumplimiento de los términos establecidos en el procedimiento, el Equipo de Direccionamiento Político emite alertas a las áreas, a través, de la remisión de una matriz que permite evidenciar las dependencias que tienen insumos pendientes de entrega, de esta manera, se generan alertas internas tendientes a prevenir el incumplimiento de la oportunidad de emisión de los comentarios. </t>
  </si>
  <si>
    <t xml:space="preserve">En el mes de agosto, se realizó la revisión, direccionamiento y consolidación de las solicitudes de concepto a los Proyectos de Acuerdo, de conformidad con el procedimiento establecido en el Equipo de Direccionamiento Político. 
Con el fin de mejorar en el cumplimiento de los términos establecidos en el procedimiento, el Equipo de Direccionamiento Político emitió alertas a las áreas, a través, de la remisión de una matriz que permite evidenciar las dependencias que tienen insumos pendientes de entrega, de esta manera, se generan alertas internas tendientes a prevenir el incumplimiento de la oportunidad de emisión de los comentarios. 
De igual manera, se tiene previsto realizar mesas de trabajo pequeñas, posterior al envío del correo a través del cual se solicitan los insumos, para coordinar entre las áreas encargadas de emitir el concepto técnico, jurídico y presupuestal, la línea de respuesta, y así evitar devoluciones y ajustes sobre el tiempo. 
</t>
  </si>
  <si>
    <t xml:space="preserve">08/09/2022:
No se generan observaciones respecto al análisis reportado para el seguimiento del indicador. </t>
  </si>
  <si>
    <t>El indicador para el trimestre de julio, agosto y septiembre presentó un resultado del 59%, dada las siguientes circunstancias: 
Para el tercer trimestre del 2022, la Secretaría Distrital de Gobierno solicitó conceptos para los siguientes requerimientos:
i) Once (11) Proyectos de Acuerdo, de los cuales diez (10) salieron en término, y uno (1) fuera de término.
ii) Veintiséis (26) Proyectos de Ley, de los cuales doce (12) salieron en término, y catorce se encuentran fuera de término. 
Lo anterior, obedece por un lado al volumen de Proyectos de Ley recibidos, ya que su mayoría se recibieron el mismo día, (ejemplo de esto fueron los quince proyectos de ley que se recibieron el 29 de agosto); y por otro lado la complejidad de los articulados y su extensión que requerían un análisis articulado y coordinado por parte de la Oficina Asesora Jurídica, la Dirección de Análisis y Diseño Estratégico, y el área técnica según el caso. 
Teniendo en cuenta lo anterior, se continuará trabajando para fortalecer la articulación entre las áreas encargadas de emitir los insumos, así como las mesas de trabajo, en aras de mejorar el cumplimiento de los términos. No obstante, es importante señalar que los términos para estos proyectos normativos no son de carácter perentorio, y que en ese sentido todo lo que surtió sesión en el Consejo se remitió en su debido tiempo.</t>
  </si>
  <si>
    <t>18/10/2022:
No se generan observaciones respecto al análisis y evidencias reportados para el seguimiento del indicador, sin embargo, se deja la observación sobre el bajo cumplimiento de este indicador para esta vigencia de acuerdo con la meta programada.</t>
  </si>
  <si>
    <t>AC-002</t>
  </si>
  <si>
    <t>Circular N° 012 del 29/04/2022</t>
  </si>
  <si>
    <t>Cumplimiento a las actividades de liderazgo estratégico del Plan Anual de Auditoría</t>
  </si>
  <si>
    <t>Monitorear el cumplimiento de las actividades del rol de Liderazgo estratégico del Plan Anual de Auditoría, con el fin de asegurar la ejecución de las funciones y competencias de la oficina de control interno.</t>
  </si>
  <si>
    <t>Ejecución de las actividades aprobadas por el Comité Institucional de Coordinación del Sistema de Control Interno</t>
  </si>
  <si>
    <t>Eficacia</t>
  </si>
  <si>
    <t>(Número de actividades de liderazgo estratégico ejecutadas en el periodo / Número de actividades de liderazgo estratégico programadas para el periodo) *100</t>
  </si>
  <si>
    <t>*Plan Anual de Auditoría
*Actas Comité Institucional de Coordinación del Sistema de Control Interno</t>
  </si>
  <si>
    <t>El numerador corresponde al número de sesiones ordinarias del Comité Institucional de Coordinación del Sistema de Control Interno realizadas en el periodo de la medición.
El denominador corresponde al número de sesiones ordinarias del Comité Institucionales de Coordinación del Sistema de Control Interno programadas en el periodo de la medición.
Nota: el resultado del indicador al final de la vigencia será el resultado del último dato cuantitativo.</t>
  </si>
  <si>
    <t xml:space="preserve">1. Plan Anual de Auditoría
2. Actas comités Institucionales </t>
  </si>
  <si>
    <t>Para el mes de abril se realizó una (1) sesión ordinaria del Comité Institucional de Coordinación del Sistema de Control Interno, cumpliendo con la actividad programada de liderazgo estratégico del Plan Anual de Auditoría.</t>
  </si>
  <si>
    <t>10/05/2022. No se generan observaciones o recomendaciones respecto al análisis presentado en el seguimiento al indicador de gestión</t>
  </si>
  <si>
    <t>Para el mes de mayo no se tenían actividades programadas de liderazgo estratégico en el Plan Anual de Auditoría.</t>
  </si>
  <si>
    <t>10/06/2022. No se generan observaciones o recomendaciones respecto al análisis presentado en el seguimiento al indicador de gestión</t>
  </si>
  <si>
    <t>Para el mes de junio no se tenían actividades programadas de liderazgo estratégico en el Plan Anual de Auditoría.
Para el trimestre (abril, mayo y junio) se ejecutó una (1) actividad, cumpliendo con el 33% de las 3 actividades programadas de liderazgo estratégico en el  Plan Anual de Auditoría.</t>
  </si>
  <si>
    <t xml:space="preserve">Para el mes de julio se realizó una (1) sesión ordinaria del Comité Institucional de Coordinación del Sistema de Control Interno, cumpliendo con la actividad programada de liderazgo estratégico del Plan Anual de Auditoría.
</t>
  </si>
  <si>
    <t>09/08/2022. No se generan observaciones o recomendaciones respecto al análisis presentado en el seguimiento al indicador de gestión</t>
  </si>
  <si>
    <t>Para el mes de agosto no se tenían actividades programadas de liderazgo estratégico en el Plan Anual de Auditoría.</t>
  </si>
  <si>
    <t>09/09/2022. No se generan observaciones o recomendaciones respecto al análisis presentado en el seguimiento al indicador de gestión</t>
  </si>
  <si>
    <t>Para el mes de septiembre no se tenían actividades programadas de liderazgo estratégico en el Plan Anual de Auditoría.
Para el trimestre (julio, agosto, septiembre) se ejecutó una (1) actividad, cumpliendo con el 66% de las 3 actividades programadas de liderazgo estratégico en el  Plan Anual de Auditoría.</t>
  </si>
  <si>
    <t>7/10/2022. No se generan observaciones o recomendaciones respecto al análisis presentado en el seguimiento al indicador de gestión</t>
  </si>
  <si>
    <t>AC-003</t>
  </si>
  <si>
    <t>Cumplimiento a las actividades de Enfoque hacia la prevención del Plan Anual de Auditoría</t>
  </si>
  <si>
    <t>Monitorear el cumplimiento de las actividades del rol de Enfoque hacia la prevención del Plan Anual de Auditoría, con el fin de asegurar la ejecución de las funciones y competencias de la oficina de control interno</t>
  </si>
  <si>
    <t>(Número de actividades de Enfoque hacia la prevención ejecutadas en el periodo  / Número de actividades de Enfoque hacia la prevención programadas o solicitadas para el periodo) *100</t>
  </si>
  <si>
    <t xml:space="preserve">*Plan Anual de Auditoría
*Registros de la sensibilización sobre el Sistema de control Interno, la transparencia y el autocontrol
*Alertas preventivas emitidas
*Tablero de control acompañamiento audiencias contractuales (Por solicitud)   </t>
  </si>
  <si>
    <t>El numerador corresponde al número de actividades finalizadas en el periodo de la medición de acuerdo con lo establecido en el Plan Anual de Auditoría para el rol de Enfoque hacia la prevención. 
El denominador corresponde al número de actividades programadas o solicitadas para finalizar en el periodo de la medición, de acuerdo con lo establecido en el Plan Anual de Auditoría para el rol de Enfoque hacia la prevención. 
Nota: el resultado del indicador al final de la vigencia será el promedio de los resultados de acuerdo con la periodicidad del indicador.</t>
  </si>
  <si>
    <t xml:space="preserve">1. Plan Anual de Auditoría
2. Registros de la  Sensibilización sobre el Sistema de control Interno, la transparencia y el autocontrol
3. Alerta preventiva emitida por la Oficina de control interno
4. Tablero de control acompañamiento  audiencias contractuales  </t>
  </si>
  <si>
    <t>Para el mes de abril no se tenían actividades  programadas o solicitadas de Enfoque hacia la prevención en el Plan Anual de Auditoría</t>
  </si>
  <si>
    <t>Para el mes de mayo no se tenían actividades  programadas o solicitadas de Enfoque hacia la prevención en el Plan Anual de Auditoría</t>
  </si>
  <si>
    <t>Para el mes de junio no se tenían actividades programadas o solicitadas de Enfoque hacia la prevención en el Plan Anual de Auditoría.
Para el trimestre (abril, mayo y junio) no se tenían actividades programadas o solicitadas(*) de Enfoque hacia la prevención en el Plan Anual de Auditoría.  
(*)Corresponde a las solicitudes de acompañamiento a las  audiencias contractuales.</t>
  </si>
  <si>
    <t>11/07/2022. No se generan observaciones o recomendaciones respecto al análisis presentado en el seguimiento al indicador de gestión</t>
  </si>
  <si>
    <t>Para el mes de julio se emitió una (1) alerta preventiva y se acompaño a una (1) audiencia contractual, cumpliendo con las actividad programadas o solicitadas de Enfoque hacia la prevención del Plan Anual de Auditoría.</t>
  </si>
  <si>
    <t>Para el mes de agosto no se tenían actividades programadas o solicitadas(*) de Enfoque hacia la prevención en el Plan Anual de Auditoría
(*)Corresponde a las solicitudes de acompañamiento a las audiencias contractuales.</t>
  </si>
  <si>
    <t>Para el mes de septiembre se acompaño a una (1) audiencia contractual, cumpliendo con las actividad programadas o solicitadas de Enfoque hacia la prevención del Plan Anual de Auditoría.
Para el trimestre (julio, agosto, septiembre):
*Se emitió una (1) alerta preventiva
*Se acompaño a dos (2) audiencias contractuales
Cumpliendo al 100% con las actividades programadas o solicitadas de Enfoque hacia la prevención del Plan Anual de Auditoría.</t>
  </si>
  <si>
    <t>AC-004</t>
  </si>
  <si>
    <t>Cumplimiento a las actividades de Evaluación de la gestión del Riesgo  del Plan Anual de Auditoría</t>
  </si>
  <si>
    <t>Monitorear el cumplimiento de las actividades del rol de Evaluación de la gestión del Riesgo del Plan Anual de Auditoría, con el fin de asegurar la ejecución de las funciones y competencias de la oficina de control interno</t>
  </si>
  <si>
    <t>(Número de actividades ejecutadas de Evaluación de la gestión del Riesgo en el periodo  / Número de actividades de Evaluación de la gestión del Riesgo programadas para el periodo) *100</t>
  </si>
  <si>
    <t xml:space="preserve">*Plan Anual de Auditoría
*Informe de evaluación a la gestión del riesgo publicado.
*Registros de la jornada de sensibilización en administración de riesgos. </t>
  </si>
  <si>
    <t>El numerador corresponde al número de actividades finalizadas en el periodo de la medición de acuerdo con lo establecido en el Plan Anual de Auditoría para el rol de Evaluación de la gestión del Riesgo.
El denominador corresponde al número de actividades programadas para finalizar en el periodo de la medición de acuerdo con lo establecido en el Plan Anual de Auditoría para el rol de Evaluación de la gestión del Riesgo.
Nota: el resultado del indicador al final de la vigencia será el promedio de los resultados de acuerdo con la periodicidad del indicador.</t>
  </si>
  <si>
    <t xml:space="preserve">1. Plan Anual de Auditoría
2. Informe de evaluación a la gestión del riesgo publicado.
3. Registros de la jornada de sensibilización en administración de riesgos. </t>
  </si>
  <si>
    <t>Semestral</t>
  </si>
  <si>
    <t>Para el mes de abril no se tenían actividades  programadas de Evaluación de la gestión del Riesgo en el Plan Anual de Auditoría</t>
  </si>
  <si>
    <t>Para el mes de mayo no se tenían actividades  programadas de Evaluación de la gestión del Riesgo en el Plan Anual de Auditoría</t>
  </si>
  <si>
    <t xml:space="preserve">Para el mes de junio no se tenían actividades  programadas de Evaluación de la gestión del Riesgo en el Plan Anual de Auditoría
Teniendo en cuenta que, la periodicidad de la medición del indicador es semestral se precisa que, para el trimestre (abril, mayo y junio) no se programaron actividades de Evaluación de la gestión del Riesgo en el Plan Anual de Auditoría. </t>
  </si>
  <si>
    <t>Para el mes de julio no se tenían actividades  programadas de Evaluación de la gestión del Riesgo en el Plan Anual de Auditoría</t>
  </si>
  <si>
    <t>Para el mes de agosto no se tenían actividades programadas de Evaluación de la gestión del Riesgo en el Plan Anual de Auditoría</t>
  </si>
  <si>
    <t>7/10/2022. Debido a que la periodicidad del indicador es semestral, se recomienda que se reporte solamente la parte cualitativa, la parte cuantitativa se debe reportar en diciembre.
8/10/2022. No se generan más  observaciones o recomendaciones respecto al análisis presentado en el seguimiento al indicador de gestión</t>
  </si>
  <si>
    <t>AC-005</t>
  </si>
  <si>
    <t>Cumplimiento a las actividades de Evaluación independiente del Plan Anual de Auditoría</t>
  </si>
  <si>
    <t>Monitorear el cumplimiento de las actividades del rol de Evaluación y seguimiento  independiente del Plan Anual de Auditoría, con el fin de asegurar la ejecución de las funciones y competencias de la oficina de control interno</t>
  </si>
  <si>
    <t>(Número de actividades ejecutadas de Evaluación y seguimiento en el periodo  / Número de actividades de Evaluación y seguimiento programadas para el periodo) *100</t>
  </si>
  <si>
    <t xml:space="preserve">*Plan Anual de Auditoría
*Informes de auditorías internas publicados 
*Informes de seguimiento de ley publicados
*Formato Registro y control del plan de mejoramiento publicado  </t>
  </si>
  <si>
    <t>El numerador corresponde al número de actividades finalizadas en el período de la medición de acuerdo con lo establecido en el Plan Anual de Auditoría para el rol de Evaluación y seguimiento  independiente.
El denominador corresponde al número de actividades programadas para finalizar en el periodo de la medición, de acuerdo con lo establecido en el Plan Anual de Auditoría para el rol de Evaluación y seguimiento  independiente.
Nota: el resultado del indicador al final de la vigencia será el promedio de los resultados de acuerdo con la periodicidad del indicador.</t>
  </si>
  <si>
    <t xml:space="preserve">1. Plan Anual de Auditoría
2. Informes de auditorías internas publicados 
3.Informes de seguimiento de ley publicados 
4. Formato Registro y control del plan de mejoramiento publicado </t>
  </si>
  <si>
    <t>Durante el mes de abril se finalizó un (1) informe de seguimiento, se publicó el Seguimiento al plan de mejoramiento Interno y el Seguimiento al Plan de Mejoramiento Externo, dando cumplimiento con  las actividades programadas de Evaluación independiente del Plan Anual de Auditoría.</t>
  </si>
  <si>
    <t>Durante el mes de mayo se finalizaron y publicaron:
*Dos (2)  informes de auditoria interna
*Cuatro (4)  informes de seguimiento 
*Se publicó el Seguimiento al plan de mejoramiento Interno y el Seguimiento al Plan de Mejoramiento Externo, 
Lo anterior dando cumplimiento con  las actividades programadas de Evaluación independiente del Plan Anual de Auditoría.</t>
  </si>
  <si>
    <t xml:space="preserve">Para el mes de junio las actividades programadas y finalizadas fueron: 
*Una (1) publicación del Seguimiento al plan de mejoramiento Interno 
*Una (1) publicación del Seguimiento al Plan de Mejoramiento Externo. 
Lo anterior dando cumplimiento con  las actividades programadas de Evaluación independiente del Plan Anual de Auditoría.
Para el trimestre (abril, mayo y junio) se ejecutaron en total trece (13) actividades cumpliendo al 100% con lo programado. </t>
  </si>
  <si>
    <t>7/07/2022: Se recomienda revisar las evidencias, debido a que no se encontró el Plan anual de auditorias.
No hay claridad de donde sale las 13 actividades programadas para el período y se recomienda también expresarlo en términos de porcentaje, debido a que la unidad de medida del indicador es en porcentaje.
11/07/2022. No se generan más observaciones o recomendaciones respecto al análisis presentado en el seguimiento al indicador de gestión</t>
  </si>
  <si>
    <t>Para el mes de julio las actividades programadas y finalizadas fueron: 
*Una (1) publicación del Seguimiento al plan de mejoramiento Interno 
*Una (1) publicación del Seguimiento al Plan de Mejoramiento Externo. 
*Tres (3) Informes de seguimiento  
Lo anterior dando cumplimiento con  las actividades programadas de Evaluación independiente del Plan Anual de Auditoría.</t>
  </si>
  <si>
    <t>Para el mes de agosto las actividades programadas y finalizadas fueron: 
*Una (1) publicación del Seguimiento al plan de mejoramiento Interno 
*Una (1) publicación del Seguimiento al Plan de Mejoramiento Externo. 
*Un (1) Informe de seguimiento 
Lo anterior dando cumplimiento con  las actividades programadas de Evaluación independiente del Plan Anual de Auditoría.</t>
  </si>
  <si>
    <t>Para el mes de septiembre las actividades programadas y finalizadas fueron: 
*Una (1) publicación del Seguimiento al plan de mejoramiento Interno 
*Una (1) publicación del Seguimiento al Plan de Mejoramiento Externo. 
*Tres (3) Informes de seguimiento 
Para el trimestre (julio, agosto, septiembre) se realizó: 
*Tres (3) publicación del Seguimiento al plan de mejoramiento Interno 
*Tres (3) publicación del Seguimiento al Plan de Mejoramiento Externo. 
*Siete (7) Informes de seguimiento 
Lo anterior, dando cumplimiento al 100% de las actividades programadas de Evaluación independiente del Plan Anual de Auditoría.</t>
  </si>
  <si>
    <t>AC-006</t>
  </si>
  <si>
    <t>Cumplimiento a las actividades de Relación con entes externos de control del Plan Anual de Auditoría</t>
  </si>
  <si>
    <t>Monitorear el cumplimiento de las actividades del rol de Relación con entes externos de control del Plan Anual de Auditoría, con el fin de asegurar la ejecución de las funciones y competencias de la oficina de control interno</t>
  </si>
  <si>
    <t>(Número de actividades de Relación con entes externos de control ejecutadas en el periodo / Número de actividades de Relación con entes externos de control solicitadas para el periodo) *100</t>
  </si>
  <si>
    <t>*Plan Anual de Auditoría
*Registros de acompañamiento a los entes externos de control (atención a requerimientos, respuestas a informes de auditorías y visitas de control fiscal, entre otros)</t>
  </si>
  <si>
    <t>El numerador corresponde al número de actividades finalizadas en el periodo de la medición de acuerdo con lo establecido en el Plan Anual de Auditoría para el rol de Relación con entes externos de control. 
El denominador corresponde al número de actividades solicitadas para finalizar en el periodo de la medición de acuerdo con lo establecido en el Plan Anual de Auditoría para el rol de Evaluación y seguimiento  independiente.
Nota: el resultado del indicador al final de la vigencia será el promedio de los resultados de acuerdo con la periodicidad del indicador.</t>
  </si>
  <si>
    <t xml:space="preserve">1. Plan Anual de Auditoría
2. Registros de acompañamiento a los entes externos de control </t>
  </si>
  <si>
    <t>Durante el mes de abril  fueron realizados 53 apoyos a coordinación de respuestas, verificaciones, alertas y articulaciones para  la entrega de las respuestas a solicitudes de la Contraloría de Bogotá, así mismo, se  emitió 1 alerta temprana y 1 comunicación aclaratoria, en relación con el seguimiento y presentación de la información a cargo de la Entidad a través de los sistemas dispuestos para la rendición de  cuenta, incluyendo información de plan de mejoramiento, dando cumplimiento con las actividades solicitadas de relación con entes externos de control del Plan Anual de Auditoría.</t>
  </si>
  <si>
    <t>Durante el mes de mayo fueron realizados 31 apoyos a coordinación de respuestas, verificaciones, alertas y articulaciones para  la entrega de las respuestas a solicitudes de la Contraloría de Bogotá, es importante resaltar que, durante este periodo la OCI, apoyó en la coordinación y verificación de la respuesta al Informe Preliminar de la Auditoría de Regularidad PAD 2022, así mismo, se emitió 1 alerta temprana y se atendieron  consultas, en relación con la rendición de la cuenta fiscal e información respecto a modificaciones realizadas al plan de mejoramiento suscrito ante la Contraloría de Bogotá, durante el período, lo anterior dando cumplimiento con las actividades solicitadas de relación con entes externos de control del Plan Anual de Auditoría.</t>
  </si>
  <si>
    <t>Durante el mes de junio de 2022, desde la oficina de control interno fueron realizados cuarenta y seis (46) apoyos a coordinación de respuestas, verificaciones, alertas  y articulaciones para  la entrega de la respuestas a solicitudes de la Contraloría de Bogotá, se remitió una (1) alerta temprana en relación con el seguimiento y presentación de la información a cargo de la Entidad a través del sistema dispuesto por la Contraloría de Bogotá D.C. para la rendición de la cuenta fiscal, así mismo, se emitió una (1) alerta en referencia a la presentación de la información de la cuenta fiscal a través del SIRECI - Contraloría General de la República.  
Para el trimestre (abril, mayo y junio) se ejecutaron en total ciento treinta y seis (136) actividades cumpliendo al 100% con lo solicitado.</t>
  </si>
  <si>
    <t>7/07/2022: Se recomienda revisar las evidencias, debido a que no se encontró el Plan anual de auditorias.
Se recomienda  expresar los resultados  en términos de porcentaje, debido a que la unidad de medida del indicador es en porcentaje.
11/07/2022. No se generan más observaciones o recomendaciones respecto al análisis presentado en el seguimiento al indicador de gestión</t>
  </si>
  <si>
    <t>Durante el mes de julio se realizó: 
*Cuarenta y un (41) apoyos a coordinación de respuestas, verificaciones, alertas y articulaciones para  la entrega de las respuestas a solicitudes de la Contraloría de Bogotá.
*Se emitió una (1) alerta temprana en relación con el seguimiento y presentación de la información a cargo de la Entidad a través del sistema dispuesto por la Contraloría de Bogotá D.C. para la rendición de la cuenta fiscal. 
*Se realizó una (1) solicitud y consolidación de información de planes de mejoramiento para el corte semestral de la cuenta fiscal a rendir ante la Contraloría General de la República - CGR y se remitió al Despacho. 
Lo anterior dando cumplimiento con las actividades solicitadas de relación con entes externos de control del Plan Anual de Auditoría.</t>
  </si>
  <si>
    <t>Durante el mes de agosto se realizó: 
*Treinta y siete (37) apoyos a coordinación de respuestas, verificaciones, alertas y articulaciones para  la entrega de las respuestas a solicitudes de la Contraloría de Bogotá. Es importante resaltar que, durante este periodo la OCI, apoyó en la coordinación y verificación de la respuesta a los Informes Preliminares de la Visita Fiscal Código 501 y la  Auditoría de Desempeño Comedores Código 91.
*Se emitió una (1) alerta temprana en relación con el seguimiento y presentación de la información a cargo de la Entidad a través del sistema dispuesto por la Contraloría de Bogotá D.C. para la rendición de la cuenta fiscal. 
*Se brindó una (1) asesoría para la formulación del plan de mejoramiento en ocasión de la Visita Fiscal Código 501 de la Contraloría de Bogotá D.C., lo cual incluyó la socialización de lineamientos y cronograma para el diligenciamiento y trasmisión oportuna del Formato CB-0402F a través de SIVICOF (cuenta ocasional).
Lo anterior dando cumplimiento con las actividades solicitadas de relación con entes externos de control del Plan Anual de Auditoría.</t>
  </si>
  <si>
    <t>Durante el mes de septiembre se realizó: 
*Treinta y cuatro (34) apoyos a coordinación de respuestas, verificaciones, alertas y articulaciones para  la entrega de las respuestas a solicitudes de la Contraloría de Bogotá. Es importante resaltar que durante este periodo la OCI, apoyó en la coordinación y verificación de la respuesta al Informe Preliminar de auditoría de Desempeño  Código 215.
*Se emitió una (1) alerta temprana en relación con el seguimiento y presentación de la información a cargo de la Entidad a través del sistema dispuesto por la Contraloría de Bogotá D.C. para la rendición de la cuenta fiscal. 
*Se brindó una (1) asesoría para la formulación del plan de mejoramiento en atención al informe final de la Auditoría de Desempeño Código 91 PAD 2022 de la Contraloría de Bogotá D.C., lo cual incluyó la socialización de lineamientos y cronograma para el diligenciamiento y del Formato CB-0402F, así como el seguimiento al trámite de trasmisión del  plan de mejoramiento a través de SIVICOF (cuenta ocasional).
Lo anterior dando cumplimiento con las actividades solicitadas de relación con entes externos de control del Plan Anual de Auditoría.
Para el trimestre (julio, agosto, septiembre) se ejecutaron en total ciento diez y ocho (118) actividades cumpliendo al 100% con lo solicitado.</t>
  </si>
  <si>
    <t>CE-001</t>
  </si>
  <si>
    <t>Circular 012-29/04/2022</t>
  </si>
  <si>
    <t>Identificar el nivel de satisfacción de las dependencias de la SDIS, respecto a la gestión adelantada por la Oficina Asesora de Comunicaciones.</t>
  </si>
  <si>
    <t>Calidad y oportunidad  en la atención de solicitudes recibidas por la Oficina Asesora de Comunicaciones.</t>
  </si>
  <si>
    <t>(No. de clientes internos satisfechos en el periodo / No. de clientes internos encuestados en el periodo) * 100</t>
  </si>
  <si>
    <t>Encuestas diligenciadas por los servidores de la Secretaría Distrital de Integración Social.</t>
  </si>
  <si>
    <t>Se realiza el envío de la encuesta a los correos institucionales y/o mensajería instantánea de las áreas demandantes de servicios, invitándolos  a calificar la gestión de la Oficina Asesora de Comunicaciones. La encuesta es tabulada y analizada por el profesional a cargo del Sistema de Gestión; el nivel de satisfacción se obtendrá al calcular el numerador  el cual corresponde  al No. de clientes internos satisfechos en el periodo y denominador al No. de clientes internos encuestados en el periodo.</t>
  </si>
  <si>
    <t xml:space="preserve">Tabulación de la encuesta </t>
  </si>
  <si>
    <t>Con base en los datos obtenidos mediante la aplicación de la encuesta de satisfacción aplicada en la vigencia inmediatamente anterior; en el mes de enero se analizó y generó  cambios  en preguntas  esto con el fin de aterrizar varios aspectos susceptibles a evaluar, medir y mejorar.</t>
  </si>
  <si>
    <t>11/03/2022
No se generan observaciones ni recomendaciones para el periodo.</t>
  </si>
  <si>
    <t>La Oficina Asesora de Comunicaciones  elevó mediante las herramientas de comunicación Yammer , company communicator y mensajería instantánea, la invitación de diligenciamiento de la encuentra de satisfacción ,esto con el  fin  de medir  el impacto, la utilidad y la satisfacción en cada punto de contacto a lo largo de la gestión de las solicitudes allegadas por parte de las dependencias  de la SDIS,  garantizando  de esta manera establecer líneas base para medir el rendimiento y mejoras en el proceso  de comunicación estratégica.
Es importante resaltar que la encuesta  no se aplicó durante el mes de enero ya que la entidad  se encontraba en el proceso de ingreso y posesión  de la totalidad de sus colaboradores y no se obtenía la captación y  número de respuestas esperadas.</t>
  </si>
  <si>
    <t xml:space="preserve">Durante el primer trimestre de la vigencia 2022  se han recibido 129 encuestas diligenciadas  las cuales fueron  remitidas  mediante las herramientas de comunicación Yammer , company garantizar  la base para medir el rendimiento y mejoras en el proceso  de comunicación estratégica con las respuestas emitidas por las dependencias demandantes de los servicios  de la Oficina Asesora de Comunicaciones .
Es importante resaltar, que se realizó un primer envió de encuestas solicitando la opinión de los servicios prestados durante los meses de enero y febrero  con la finalidad de obtener datos  cualitativos para estos meses que permitan tomar medidas acertadas para el servicio prestado  por la OAC ,
Igualmente, para marzo se remitió la encuesta para adquirir datos en el respectivo mes. </t>
  </si>
  <si>
    <t>18/04/2022
No se generan observaciones  para el periodo.
Se reitera la necesidad de actualización de los indicadores del proceso para la vigencia 2022.</t>
  </si>
  <si>
    <t xml:space="preserve">Con el fin de dar cumplimiento  las actividades de control y seguimiento en torno  a los indicadores de gestión de la oficina asesora de comunicaciones, para el mes de abril, la oficina remitió encuesta mediante las herramientas digitales internas con el fin de medir el nivel  de satisfacción  frente a los servicios prestados a las dependencias de la Secretaría de Integración Social, para lo cual se recibieron 70 encuestas diligenciadas , insumo que permitirá  dar un seguimiento cualitativo y cuantitativo de los servicios prestados  por la OAC , tales como Diseño, página web, servicios de fotografía, audiovisuales, eventos, redes sociales, campañas entre otras.   </t>
  </si>
  <si>
    <t>18/05/2022
No se generan observaciones ni sugerencias  para el periodo.</t>
  </si>
  <si>
    <t>Durante el mes de mayo, la oficina Asesora de Comunicaciones remitió   mediante la herramienta de comunicación Teams  la invitación para el  diligenciamiento de la encuesta de satisfacción, en aras de obtener insumos  cuantificables  para la toma de decisiones, mejora o permanencia de la calidad  de los servicios prestados  por la dependencia.</t>
  </si>
  <si>
    <t>13/06/2022
No se generan observaciones ni sugerencias  para el periodo.</t>
  </si>
  <si>
    <t>En busca del mejoramiento continuo de nuestro proceso, la Oficina Asesora de Comunicaciones aplicó durante  el primer semestre de la vigencia, la encuesta de  satisfacción  de servicio con el fin de obtener la opinión de los colaboradores de la Secretaría Distrital de Integración Social respecto a los canales de comunicación con los que cuenta la entidad y los productos desarrollados por nuestra dependencia. 
Periodo de aplicación de la encuesta: Febrero a junio 2022
Metodología: Haciendo uso de en los canales internos de la Secretaría Distrital de Integración Social, la oficina Asesora de Comunicaciones emite periódicamente una encuesta de 13 preguntas sobre los productos y servicios de la OAC.
La aplicación se realiza de manera voluntaria por los clientes internos de la Secretaría, de las respuestas emitidas. 
Total respuestas recibidas: 302
Número de clientes satisfechos 283 / Número de clientes insatisfechos 19
Es importante  dar claridad  que el cumplimiento de la meta para  este periodo se encontró dos puntos por debajo de los establecido ya que frente a la pregunta número 10, donde se invita a los 19 encuestados insatisfechos a exponer las razones por las cuales no se encuentra conforme con los servicios de la Oficina Asesora de Comunicaciones, se puede deducir que las razones generales cualitativas oscilan entre la saturación del correo electrónico institucional por la cantidad de envíos de información y el no estar de acuerdo con los colores y disposición de la información. 
Como plan de mejora, el proceso de Comunicación Estratégica creó la nueva versión del Boletín Institucional informativo que se encuentra en su lanzamiento durante la segunda semana del mes de julio, con el fin de dinamizar, garantizar y/o mejorar la calidad del servicio y la información ofrecida a cada una de las dependencias de la entidad y clientes internos.</t>
  </si>
  <si>
    <t>14/07/2022
Se sugiere incluir en el análisis mensual, la justificación del no cumplimiento de la meta en el periodo.
14/07/2022
No se generan observaciones o sugerencias adicionales para el reporte del periodo.</t>
  </si>
  <si>
    <t>Con el objetivo continuar con la medición  frente a la  satisfacción  de los productos y servicios prestados por la Oficina Asesora de Comunicaciones, durante el mes de julio se remitió  mediante las herramientas institucionales  Company Communicator el 27 de julio y mediante el Boletín Interno del 19 de julio y 26 de julio a todos los funcionarios y contratistas  de la entidad  la invitación para el  diligenciamiento de la encuesta de satisfacción, en aras de obtener insumos  cuantificables  para la toma de decisiones, mejora o permanencia de la calidad  de los servicios prestados  por la dependencia.</t>
  </si>
  <si>
    <t>09/08/2022
No se generan observaciones o sugerencias para el reporte del periodo.</t>
  </si>
  <si>
    <t>Para el mes de agosto, por medio del nuevo formato  de boletín institucional se remitió la encuesta de satisfacción con la cual se determinará la percepción con respecto a los productos y servicios generales del área de Comunicaciones. Con esta actividad  se busca igualmente medir la utilización de estos servicios y vigilar los cambios en cuanto a los productos en demanda determinando así el grado de cumplimiento de las expectativas de las dependencias de la SDIS.</t>
  </si>
  <si>
    <t>09/09/2022
No se generan observaciones o sugerencias para el reporte del periodo.</t>
  </si>
  <si>
    <t xml:space="preserve">En el mes de Septiembre  se realizó la remisión de  la encuesta de satisfacción con respecto a  los servicios prestados por la oficina asesora de comunicaciones, este envío se realizó el 05 de sep y el  20 de sep por teams  y el 19 de sep por mailing desde el buzón de comunicación interna. </t>
  </si>
  <si>
    <t>12/10/2022
No se generan observaciones o sugerencias para el reporte del periodo.</t>
  </si>
  <si>
    <t xml:space="preserve">6. Sistemas de información. Contar con sistemas de información robustos y sólidos que generen datos, información y conocimiento con calidad, oportunidad y pertinencia para la toma de decisiones y que respondan oportunamente a la transformación de los servicios sociales de la Secretaría Distrital de Integración Social.. </t>
  </si>
  <si>
    <t>CE-002</t>
  </si>
  <si>
    <t>Noticias o información positiva de la entidad en medios de comunicación.</t>
  </si>
  <si>
    <t xml:space="preserve">Monitorear en los medios de comunicación externa la orientación positiva,  o neutra de las noticias o información publicada sobre la gestión de la entidad. </t>
  </si>
  <si>
    <t>Clasificación y análisis de noticias  e  información positiva o neutra publicada en medios de comunicación, relacionadas con la gestión de la Secretaría Distrital de Integración Social.</t>
  </si>
  <si>
    <t>(No. de noticias o información positiva o neutra  en medios de comunicación acerca de la gestión de la entidad en el periodo / No. total de noticias o información   sobre la entidad en medios de comunicación monitoreados en el periodo) * 100</t>
  </si>
  <si>
    <t xml:space="preserve">Monitoreo de medios </t>
  </si>
  <si>
    <t xml:space="preserve"> Identificar , clasificar y cuantificar   en el informe mensual de monitoreo de medios de comunicación, el registro de  noticias o información  de la entidad.
Para identificar el índice de noticias positivas o neutras, se calculará el numerador  el cual corresponde  al No. de noticias o información positiva o neutra  en medios de comunicación acerca de la gestión de la entidad en el periodo y el denominador al No. total de noticias o información   sobre la entidad en medios de comunicación monitoreados en el periodo.
 </t>
  </si>
  <si>
    <t>Informe mensual de monitoreo de medios</t>
  </si>
  <si>
    <t xml:space="preserve">Durante el mes de enero la Oficina Asesora de Comunicaciones mediante el uso de la metodología de monitoreo de medios y clasificación del material noticioso (menciones y/o apariciones) inició el seguimiento y reporte de las notas positivas, negativas y neutras de las que la Secretaría Distrital de Integración Social fue objeto.
Mediante este monitoreo la OAC busca obtener un panorama cuanti-cualitativo en el impacto entre la ciudadanía y las políticas públicas sociales y servicios, mediante los cuales la entidad propende por la protección de las diferencias étnicas, culturas, condiciones y orientaciones de cada ciudadano y territorio.   
</t>
  </si>
  <si>
    <t xml:space="preserve">Durante el mes de febrero, la Oficina Asesora de Comunicaciones realizó el segundo reporte anual de  monitoreo de medios y clasificación del material noticioso.
Es importante resaltar que el  volumen  de menciones   es de noticias informativas para nuestra población de interés. 
</t>
  </si>
  <si>
    <t>11/03/2022
El análisis cualitativo está igual al de enero, de hecho se menciona Enero en la redacción. Por lo que se sugiere verificar y ajustar.</t>
  </si>
  <si>
    <t xml:space="preserve">Durante el primer trimestre de la vigencia  2022 se obtuvo los siguientes datos :  Enero se presentaron 77 Noticias neutras , Febrero 64 Noticias Neutras  y Marzo 32 Noticias Neutras, 37 Positivas y 7 negativas. Para un total de 217 noticias monitoreadas. 
 Por tanto, se remitió mediante correo electrónico el informe de monitoreo de medios a las áreas de las cuales provienen los servicios que se traducen en insumos noticioso, Con el fin de proveer insumos para mejora o sostenimiento de la calidad de dichos productos .
</t>
  </si>
  <si>
    <t xml:space="preserve">Para el periodo de abril, la Oficina Asesora de Comunicaciones realizó el monitoreo a los medios con el fin de cuantificar las menciones realizadas en las que se generaron noticias sobre los servicios prestados por la Secretaría Distrital de Integración Social.
De igual forma, dicho reporte se socializó con los directivos de la entidad con el fin de aportar insumos para la toma de decisiones en torno a las realizaciones de eventos y planeación de actividades misionales de la SDIS.
</t>
  </si>
  <si>
    <r>
      <t xml:space="preserve">Para el mes de </t>
    </r>
    <r>
      <rPr>
        <sz val="9"/>
        <rFont val="Arial"/>
        <family val="2"/>
      </rPr>
      <t>mayo</t>
    </r>
    <r>
      <rPr>
        <sz val="9"/>
        <color theme="4"/>
        <rFont val="Arial"/>
        <family val="2"/>
      </rPr>
      <t>,</t>
    </r>
    <r>
      <rPr>
        <sz val="9"/>
        <color theme="1"/>
        <rFont val="Arial"/>
        <family val="2"/>
      </rPr>
      <t xml:space="preserve"> la Oficina Asesora de Comunicaciones realizó monitoreo de las noticias  mediante las cuales la Secretaría de Integración Social  fue mencionada, es importante resaltar que  esta medición se realizó a 11 medios impresos, 27 portales web, canales de televisión presentó 9 menciones  y finalmente de radio 9; todos estos  son medios de cobertura nacional y regional.</t>
    </r>
  </si>
  <si>
    <t>Durante el segundo trimestre de la vigencia  2022 se obtuvo los siguientes datos :  abril se presentaron 21 noticias positivas; 1 negativa y 8 noticias neutras para mayo, 21 noticias positivas; 15 negativa y 20 noticias neutras y finalmente para junio 32 positivas, 54 negativas y 26 noticias neutras de un total de total de 198 noticias monitoreadas. 
Es imperante informar que dentro del análisis a dicho seguimiento, se debe informar que el mes de junio fue especialmente complejo en cuanto a la presencia de la entidad en medios, esto en razón a las múltiples denuncias y el plantón que efectuaron los cuidadores y cuidadoras de las personas con discapacidad, beneficiarias de los servicios lo cual se refleja en el  cumplimiento  de la meta  arrojando un 65%. 
Pero no obstante ello, la entidad también se destacó producto del envío de boletines de prensa con temas como el operativo para la búsqueda de niños y niñas en riesgo de trabajo infantil, la graduación de jóvenes parceros, y otros más.</t>
  </si>
  <si>
    <t>14/07/2022
Ajustar el dato cuantitativo ejecutado para el periodo toda vez que corresponde a 128 noticias positivas y neutras y no 118, según lo reportado en el análisis y verificado en la evidencia presentada. Ajustar el análisis mensual según el resultado obtenido.
14/07/2022
No se generan observaciones o sugerencias adicionales para el reporte del periodo.</t>
  </si>
  <si>
    <t xml:space="preserve">
Para el mes de julio, la Oficina Asesora de Comunicaciones realizó el monitoreo a los medios impresos, internet, televisión y radio  con el fin de cuantificar y cualificar las 71 menciones realizadas en las que se generaron noticias sobre los servicios prestados por la Secretaría Distrital de Integración Social.
De igual forma, dicho reporte se socializó el 5 de agosto del año en curso con los directivos de la entidad, con el fin de aportar insumos para la toma de decisiones en torno a las realizaciones de eventos y planeación de actividades misionales de la SDIS. 
</t>
  </si>
  <si>
    <t>Dando cumplimiento a los objetivos  comunicacionales,  se  realizó el envío al cuerpo directivo de la SDIS  del informe de monitoreo de medios correspondiente al mes de agosto 2022.  
Mediante esta actividad se  informó que, de acuerdo al seguimiento, la entidad logró un alcance de 60 noticias positivas y 35 neutras frente a solo 1 negativa. Los temas relevantes fueron de familia, jóvenes, habitante de calle, personas mayores y discapacidad, publicadas en medios de comunicación como El Tiempo, El Espectador, El Colombiano, El Heraldo, Caracol TV, RCN TV, entre otros.</t>
  </si>
  <si>
    <t xml:space="preserve">Recogiendo la data en los periodos anteriores y con corte final a septiembre  se obtuvieron los siguientes datos mediante el seguimiento de 253 notas periodísticas que se encuentran distribuidas así :  en el mes de julio con  un total de 71 menciones, de las cuales 12 fueron positivas ; 34 Negativas y  25 Neutras, en cuanto al mes de agosto fueron monitoreadas  96 notas de las cuales 60 fueron Positivas, 1 Negativa y 35 neutras y finalmente, para el mes de  septiembre fueron  86 en total, con 68 positivas, 7 negativas y 11 menciones neutras . para un porcentaje de 83% de la meta trimestral . 
Es imperante informar que dentro del análisis a dicho seguimiento, el  mes de  julio  se mantuvo en una baja importante de notas positivas donde se mencionó a la SDIS ;  situación que se recupera  para el mes de agosto y se mantiene el comportamiento positivo ante los medios de comunicación masiva durante el mes de septiembre. 
 Es importante mencionar que esta información y medición  fue remitida al cuerpo directivo de la entidad  con el  fin de dar a conocer el impacto de sus actividades en la ciudad. </t>
  </si>
  <si>
    <t>CE-004</t>
  </si>
  <si>
    <t>Oportunidad en la publicación y divulgación de la información en los medios  de comunicación institucionales.</t>
  </si>
  <si>
    <t xml:space="preserve">Identificar la efectividad en la gestión de la oficina Asesora de Comunicaciones ante solicitudes de publicación en la página web institucional </t>
  </si>
  <si>
    <t xml:space="preserve">Monitoreo de la gestión de la oficina Asesora de Comunicaciones   en la publicación y divulgación de  información en los medios  de comunicación institucionales solicitadas por las diferentes áreas. </t>
  </si>
  <si>
    <t>(No. De notas publicadas en la página web del periodo reportado/No.de solicitudes de publicación recibidas  de las dependencias)*100</t>
  </si>
  <si>
    <t>Portal web institucional y matriz  de registro de solicitudes por dependencia.</t>
  </si>
  <si>
    <t xml:space="preserve">Se Cuantifica el número de solicitudes de publicación de información gestionadas por parte de la Oficina Asesora de Comunicaciones. El nivel de  cumplimiento  de divulgación de información se obtendrá al calcular el numerador el cual corresponde  al No. De notas publicadas en la página web del periodo reportado y denominador al No. de solicitudes de publicación recibidas  de las dependencias
 </t>
  </si>
  <si>
    <t>La página web y matriz de registro de solicitudes por dependencia.</t>
  </si>
  <si>
    <t>Para el mes de abril la Oficina Asesora de Comunicaciones publicó 68 notas asociadas a la divulgación de información de: Infancia y adolescencia, juventud, familia, discapacidad, LGBTI, adultez, alimentación, emergencia social y natural, vejez.
Con los cuales se evidencia que la OAC se encuentra entre el margen del 100% a cumplimiento de los requerimientos realizados por las dependencias, lo cual garantiza la óptima información tanto a los clientes internos y externos de la entidad.</t>
  </si>
  <si>
    <t xml:space="preserve">Para el mes de  mayo  se recibieron mediante el correo solcitudesoac@sdis.gov.co  noventa (90) requerimientos  para modificación y cargue de documentos e imágenes en la página web.
Es importante resaltar que 2 de los 90 casos que  reportan  como pendientes en la base de datos,  se  revisaron y gestionaron efectivamente  por parte de la Oficina Asesora de Comunicaciones, mas  aún se encuentran en fase de publicación, por  cuanto la sección donde van a ser colgada la información está en proceso de revisión y rediseño, arrojando de esta manera una gestión del 98% para el periodo. </t>
  </si>
  <si>
    <t>13/06/2022
En concordancia con la evidencia presentada en la cual se identifican dos solicitudes pendientes, se sugiere ajustar el dato de avance reportado, toda vez que la solicitud no ha sido concluida en su totalidad (publicación).
21/06/2022
No se generan observaciones ni sugerencias adicionales  para el periodo.</t>
  </si>
  <si>
    <t xml:space="preserve">Para el mes de junio se recibieron y gestionaron 62 solicitudes de publicación  de información  en la pagina web institucional  de la cuales  se les dio tramite efectivo  a la totalidad. 
Es importante  aclarar que  para el mes  de mayó se reportaron  dos (2)  casos  en estado "en curso", por  esta razón se contabilizan como gestionados  para el mes de junio, generando un sobrecumplimiento  del 2% que obedece a la cuantificación  y actualización como gestionados durante el mes de junio.  
</t>
  </si>
  <si>
    <t>14/07/2022
El análisis mensual debe corresponder al mes de junio y no al trimestre en concordancia con la periodicidad formulada para el indicador. Ajustar.
14/07/2022
No se generan observaciones o sugerencias adicionales para el reporte del periodo.</t>
  </si>
  <si>
    <t>Para el mes de julio  la Oficina Asesora de Comunicaciones publicó 121 notas asociadas a la divulgación de información de: Infancia y adolescencia, juventud, familia, discapacidad, LGBTI, adultez, alimentación, emergencia social y natural, vejez, SIG y ejecución presupuestal. 
Con los cuales se evidencia que la OAC se encuentra entre el margen del 100% a cumplimiento de los requerimientos realizados por las dependencias, lo cual garantiza la óptima información tanto a los clientes internos como externos de la entidad.</t>
  </si>
  <si>
    <t xml:space="preserve">
En el mes de agosto se  publicaron  114  notas  en la página web institucional, mediante 39 boletines periodísticos que trataron de temas  de , infancia y adolescencia 5, juventud 7, familia 1, LGBTI 4, adultez 6, alimentación 1, vejez 7, territorio 1, discapacidad 4, otras noticias 3.
Mediante publicaciones generales  de la sección de transparencias 9, notificaciones administrativas  37, informes 6, informes de gestión 5, nombramientos 3, Sistema de Gestión 2, ejecución presupuestal 1 y 12 actualizaciones de micrositios. 
Con los cuales se evidencia que la OAC se encuentra entre el margen del 100% a cumplimiento de los requerimientos realizados por las dependencias.
</t>
  </si>
  <si>
    <t xml:space="preserve">Para el mes de Septiembre  la Oficina Asesora de Comunicaciones publicó 87 notas de publicación de información ante la Oficina Asesora de Comunicaciones  y gestionada en el portal web institucional . 
Mediante la realización  total  de esta actividad, la OAC se encuentra  el margen del 100% frente al cumplimiento de los requerimientos realizados por las dependencias. </t>
  </si>
  <si>
    <t>3. Transformar los servicios sociales de la SDIS con el fin de responder a los aspectos clave del Plan Distrital de Desarrollo como el Sistema Distrital de Cuidado, la Estrategia Territorial de Integración Social y el Ingreso Mínimo Garantizado.</t>
  </si>
  <si>
    <t>DIS-003</t>
  </si>
  <si>
    <t>Circular No 007 del 28/02/2022</t>
  </si>
  <si>
    <t>Cumplimiento de las actividades a desarrollar para la construcción de la política de calidad de los servicios sociales de la SDIS.</t>
  </si>
  <si>
    <t xml:space="preserve">Cumplir con las actividades definidas para la construcción de la Política de calidad de los servicios sociales de la Secretaría Distrital de Integración Social, con el fin de garantizar la prestación de los servicios con calidad, la satisfacción de la ciudadanía y el uso eficiente de los recursos. </t>
  </si>
  <si>
    <t xml:space="preserve">Que exista coordinación y articulación para el diseño de la Política entre  la Dirección de Análisis y Diseño Estratégico - DADE, la Oficina Asesora Jurídica, y las áreas técnicas a cargo de los servicios sociales. 
</t>
  </si>
  <si>
    <t>(No. de actividades realizadas para la expedición de la Política de Calidad de los servicios sociales de la Secretaría Distrital de Integración Social en el periodo
/(No. de actividades programadas para la expedición de la Política de calidad de  los servicios sociales de la  Secretaría Distrital de Integración Social en el periodo )*100</t>
  </si>
  <si>
    <t>Actas de reunión.
Cronograma de actividades.</t>
  </si>
  <si>
    <t xml:space="preserve">El numerador corresponde al número de actividades realizadas para la expedición de la Política de calidad de los servicios sociales de la Secretaría Distrital de Integración Social en el periodo del reporte, a partir de las actas presentadas.
El denominador corresponde al número de actividades programadas en el período para expedición de la Política de calidad de los servicios sociales de la Secretaría Distrital de Integración Social, producto del cronograma definido.
Nota 1: el resultado del indicador de la vigencia se calculará sumando los resultados de cada período.
</t>
  </si>
  <si>
    <t>Registro de actividades programadas y  realizadas (archivo en Excel).
Actas de realización de actividades.
Cronograma de actividades.</t>
  </si>
  <si>
    <t xml:space="preserve">En el mes de enero se avanzó en la elaboración del cronograma, el cual determina las actividades, productos, responsables y los tiempos definidos para su desarrollo para así dar cumplimiento a lo establecido para la presente vigencia.   </t>
  </si>
  <si>
    <t xml:space="preserve">En el mes de febrero se avanzó con la actividad  "Identificación por servicio junto con sus modalidades en referentes de calidad para la prestación de los servicios sociales, estándares de calidad u otra figura contemplada en el mapa de procesos". </t>
  </si>
  <si>
    <t>De acuerdo con el cronograma definido para la formulación de la Política de calidad de los servicios sociales de la SDIS, en marzo de 2022, se avanzó con la actividad  "Diseño de Propuesta Borrador  Resolución de la Política de Calidad para los  servicios sociales de la SDIS", dando así cumplimiento a lo establecido.</t>
  </si>
  <si>
    <t xml:space="preserve">08/04/2022:
No se generan observaciones respecto al análisis reportado para el seguimiento del indicador. </t>
  </si>
  <si>
    <r>
      <t xml:space="preserve">Durante el mes de abril se hizo necesario realizar ajustes al cronograma de actividades definido para la  formulación de la Política de calidad de los servicios sociales de la SDIS, toda vez que, se requirió reprogramar la actividad </t>
    </r>
    <r>
      <rPr>
        <i/>
        <sz val="9"/>
        <rFont val="Arial"/>
        <family val="2"/>
      </rPr>
      <t>"Taller de socialización del documento Política de calidad de los servicios sociales en la Mesa Técnica Gis</t>
    </r>
    <r>
      <rPr>
        <sz val="9"/>
        <rFont val="Arial"/>
        <family val="2"/>
      </rPr>
      <t xml:space="preserve">", el cual se contempló  para el mes de abril, sin embargo,  dada la necesidad de ampliar el tiempo de revisión y ajustes al documento, la actividad mencionada se desarrollará en el mes de julio. 
Adicionalmente, en el marco del cronograma establecido, se adelantó la socialización de  propuesta de la Resolución de la  Política de Calidad para los  servicios sociales de la SDIS, tanto con el equipo de diferentes áreas como en el espacio de directivo en el que se informó el envío de la Resolución borrador de la Política de calidad, con fecha de entrega de los aportes en el mes de mayo. </t>
    </r>
  </si>
  <si>
    <t xml:space="preserve">Durante el mes de mayo de acuerdo con el cronograma establecido se avanzó en la actividad de recopilación de revisiones por parte de cada área, recibiendo las propuestas de cada dependencia, las cuales se organizaron en una matriz para identificar similitudes técnicas, normativas y operativas. Se destacan los aportes de todas las áreas de manera propositiva; de ahí que, se retomó el documento borrador y se hicieron los ajustes pertinentes con la Resolución de la Política de calidad de los Servicios Sociales. </t>
  </si>
  <si>
    <t xml:space="preserve">El indicador alcanza un cumplimiento del 100% respecto con lo programado, toda vez que se logró la realización de las actividades definidas en el cronograma en el primer semestre para la construcción de la política de calidad de los servicios sociales de la SDIS. A continuación se describen las actividades realizadas: 
1. Identificación de cada servicio junto con sus modalidades y estrategias, relacionando los documentos que orientan la prestación de los servicios sociales oficializados en el mapa de procesos.
2. Identificación del estado normativo de los servicios sociales dela SDIS que por Resolución tienen establecidos estándares de calidad.
3. Diseño de propuesta borrador de Resolución de la Política de Calidad para los  servicios sociales de la SDIS.
4. Socialización de propuesta de la Resolución de la  Política de Calidad para los  servicios sociales de la SDIS.
5. Recopilación de revisiones por parte de cada área.
6. Elaboración de Resolución. </t>
  </si>
  <si>
    <t xml:space="preserve">08/07/2022:
Entregar el reporte cuantitativo en términos de actividades y no de porcentaje. 
08/07/2022:
No se generan observaciones respecto al análisis y evidencias reportados para el seguimiento del indicador. </t>
  </si>
  <si>
    <t>De acuerdo con el cronograma definido para la formulación de la Política de calidad de los servicios sociales de la SDIS, durante el mes de julio se realizaron reuniones con el fin de avanzar en la actualización del procedimiento de estándares de calidad, de igual forma se avanzó en la versión final de la resolución de esta política.</t>
  </si>
  <si>
    <t xml:space="preserve">09/08/2022:
No se generan observaciones respecto al análisis reportado para el seguimiento del indicador. </t>
  </si>
  <si>
    <t>Durante el mes de agosto y de acuerdo con el cronograma de actividades se desarrollaron las siguientes dos actividades: 
* Revisión por parte del Despacho y la Oficina Asesora Jurídica de la "Resolución de la Política de calidad de los servicios sociales", documento que tuvo observaciones y recomendaciones de ajuste por parte de estas dos áreas, las cuales fueron acogidas modificando el acto administrativo de acuerdo con lo solicitado, con el fin de dar continuidad al tramite requerido.
* Se avanzó en la actualización del procedimiento "Formulación, implementación y verificación de los estándares de calidad", el cual se encuentra en proceso de observaciones por parte de las diferentes áreas; al corte del reporte se cuenta con el primer borrador, una vez se cuente con estas observaciones, se enviará a revisión metodológica por parte de la Dirección de Análisis y Diseño Estratégico.</t>
  </si>
  <si>
    <t xml:space="preserve">De acuerdo con el cronograma definido para la formulación de la  Política de calidad de los servicios sociales de la SDIS, durante el mes de septiembre se avanzó en lo siguiente: 
- Actualización del procedimiento de estándares de calidad: durante este periodo se avanzó en el ajuste del procedimiento realizando cambios desde su denominación hasta el alcance frente a la evaluación y vigilancia de los servicios.
- Expedición de Resolución de la  Política de Calidad para los  servicios sociales de la SDIS: se continua en proceso de revisión y ajustes de acuerdo con las observaciones dadas por el Despacho.
- Elaboración de lineamiento  para la implementación de la política de calidad de los servicios sociales: en este mes se adelantó la propuesta metodológica a través del desarrollo de (3) líneas de trabajo, tiempos y responsables. 
</t>
  </si>
  <si>
    <t xml:space="preserve">04/10/2022:
No se generan observaciones respecto al análisis reportado para el seguimiento del indicador. </t>
  </si>
  <si>
    <t xml:space="preserve">1. Fortalecer la territorialización de políticas, programas, proyectos y acciones en lo local a partir de la estrategia territorial integral social (ETIS) y la tropa social como herramientas de política social en el Distrito capital que reconozca y fortalezca las dinámicas de los hogares, comunidades y territorios, apuntando a la construcción de respuestas transectoriales, integradoras e innovadoras en el marco del sistema Distrital de cuidado, la garantía de derechos y la movilidad social. </t>
  </si>
  <si>
    <t>Circular No. 007 del 28/02/2022</t>
  </si>
  <si>
    <t xml:space="preserve">Gestión ambiental </t>
  </si>
  <si>
    <t>GA-001</t>
  </si>
  <si>
    <t>Unidades operativas con medición del nivel de implementación de los lineamientos ambientales institucionales.</t>
  </si>
  <si>
    <t>Establecer el porcentaje de unidades operativas a las que se les realiza la medición de implementación de lineamientos ambientales institucionales.</t>
  </si>
  <si>
    <t>Atención oportuna por parte de las unidades operativas a los responsables de desarrollar la medición de la implementación de los lineamientos ambientales institucionales de conformidad a la programación establecida.  
Actualización constante de la programación de intervenciones ambientales de conformidad a la dinámica de la entidad y factores externos que modifiquen la disponibilidad de la unidades operativas para el desarrollo de la intervención.</t>
  </si>
  <si>
    <t xml:space="preserve">(No. de unidades operativas con medición del nivel de implementación de los lineamientos ambientales institucionales / No. total de unidades operativas bajo inventario en el periodo ) * 100  </t>
  </si>
  <si>
    <t>* Lista y acta de asistencia de la intervención (medición del nivel de implementación de los lineamientos ambientales institucionales)
* Programación de unidades operativas a intervenir ambientalmente</t>
  </si>
  <si>
    <t>Numerador: Sumar las unidades operativas programadas con soportes de intervención ambiental (medición del nivel de implementación de los lineamientos ambientales institucionales) acumuladas.
Denominador: Se tomará el numero de unidades operativas del último inventario del periodo.
Nota: La tendencia del indicador es creciente en el año, por lo cual el resultado de la vigencia corresponderá a la medición del ultimo periodo.</t>
  </si>
  <si>
    <t>Acta de intervención con su respectiva lista de asistencia
Base de Excel con la programación del periodo.</t>
  </si>
  <si>
    <t>Dando cumplimiento a las metas ambientales establecidas por la entidad para el presente año desde la Dirección Corporativa - Equipo de Gestión Ambiental, se adelantó durante este mes la consolidación de las acciones de planeación ambiental que se requieren para el cumplimiento de dichas metas.
Por lo anterior, se logró establecer la metodología para adelantar las intervenciones ambientales presenciales en las unidades operativas y administrativas de la Secretaría Distrital de Integración Social - SDIS por parte  del equipo de gestión ambiental y los referentes ambientales técnicos, garantizando la medición del nivel de implementación de los lineamientos ambientales institucionales y la normatividad ambiental vigente.</t>
  </si>
  <si>
    <t>10/03/2022
No se generan observaciones o recomendaciones respecto al análisis presentado en el seguimiento al indicador de gestión.</t>
  </si>
  <si>
    <t>Para este mes se logró cumplir con las intervenciones ambientales programadas de manera presencial, de tal forma que los referentes ambientales de las subdirecciones técnicas y gestores ambientales locales del Equipo de Gestión Ambiental adelantaron el acompañamiento, seguimiento, verificación, control y reporte del cumplimento de los lineamientos ambientales junto con los responsables ambientales en cada unidad operativa y/o administrativa, consolidando el porcentaje de implementación ambiental de cada unidad visitada y mejorando las condiciones ambientales institucionales.</t>
  </si>
  <si>
    <t>Durante el primer trimestre desde la Dirección de Gestión Corporativa - Equipo de Gestión Ambiental se realizaron y aprobaron un  total de 184 intervenciones ambientales a unidades operativas, las cuales fueron programadas y se encuentran distribuidas de la siguiente manera: en el mes de febrero 64 intervenciones ambientales y en el mes de marzo 120 intervenciones ambientales, teniendo como consolidado en el trimestre  un total de 184 intervenciones de las 727 unidades operativas activas al corte de este reporte. Estas visitas de evaluación y seguimiento del cumplimiento de los requisitos y lineamientos  ambientales, fueron adelantadas por los referentes ambientales técnicos y gestores ambientales locales de la entidad.
Estas intervenciones ambientales se encuentran territorializadas por localidades de la siguiente manera:
Total trimestre: Antonio Nariño 2, Barrios Unidos 2, Bosa 17, Chapinero 9, Ciudad Bolívar 3, Engativá 9, Fontibón 6, Fuera de Bogotá 10, Kennedy 15, La Candelaria 2, Los Mártires 4, Puente Aranda 7, Rafael Uribe Uribe 11, San Cristóbal 14, Santa Fe 16, Suba 29, Teusaquillo 2, Tunjuelito 13, Usaquén 9, Usme 4.
Evidencias: se tiene una carpeta para cada mes, en donde se encuentra los 184 archivos en pdf con las actas de intervención ambiental para cada unidad operativa intervenida (matriz de intervención) y la lista de asistencia de intervención. Adicionalmente se remite matriz con la consolidación de las intervenciones realizadas con la fechas y matriz con el inventario con corte a marzo con la cantidad de unidades operativas activas.</t>
  </si>
  <si>
    <t>12/04/2022
No se generan observaciones o recomendaciones respecto al análisis presentado en el seguimiento al indicador de gestión.</t>
  </si>
  <si>
    <t>11/05/2022
No se generan observaciones o recomendaciones respecto al análisis presentado en el seguimiento al indicador de gestión.</t>
  </si>
  <si>
    <t>14/06/2022
No se generan observaciones o recomendaciones respecto al análisis presentado en el seguimiento al indicador de gestión.</t>
  </si>
  <si>
    <t>Durante el periodo del reporte (II trimestre) desde la Dirección de Gestión Corporativa - Equipo de Gestión Ambiental se realizaron y aprobaron un total de 383 intervenciones ambientales, alcanzando un total acumulado para los dos trimestres de 567 intervenciones ambientales en unidades operativas. Estas intervenciones fueron programadas y se encuentran distribuidas de la siguiente manera: en el mes de abril 136 intervenciones ambientales, en el mes de mayo 143 intervenciones ambientales y en el mes de junio 104 intervenciones ambientales. Para el segundo trimestre se cuenta con un total de 728 unidades operativas activas. Con estos resultados se obtiene de manera cuantitativa y porcentual un cumplimiento para el segundo trimestre del 52,6% y un porcentaje acumulado con corte a junio del 78%.
Estas intervenciones ambientales, se encuentran territorializadas de la siguiente manera:
Total trimestre: Antonio Nariño 6, Barrios Unidos 7, Bosa 43, Chapinero 3, Ciudad Bolívar 48, Engativá 32, Fontibón 16, Fuera De Bogotá 10, Kennedy 35, La Candelaria 2, Los Mártires 15, Puente Aranda 13, Rafael Uribe Uribe 28, San Cristóbal 37, Santa Fé 4, Suba 25, Sumapaz 4, Teusaquillo 6, Tunjuelito 6, Usaquén 8, Usme 35.
Evidencias: se tienen una carpeta para cada mes, en donde se encuentra los 383 pdf, con las actas de intervención ambiental por cada unidad operativa intervenida (matriz de intervención) y la lista de asistencia de intervención, adicionalmente se remite matriz con la consolidación de las intervenciones realizadas con la fechas y matriz con el inventario con la cantidad de unidades operativas activas.</t>
  </si>
  <si>
    <t>13/07/2022
No se generan observaciones o recomendaciones respecto al análisis presentado en el seguimiento al indicador de gestión.</t>
  </si>
  <si>
    <t>12/08/2022
No se generan observaciones o recomendaciones respecto al análisis presentado en el seguimiento al indicador de gestión.</t>
  </si>
  <si>
    <t>13/09/2022
No se generan observaciones o recomendaciones respecto al análisis presentado en el seguimiento al indicador de gestión.</t>
  </si>
  <si>
    <t>10/10/2022
No se generan observaciones o recomendaciones respecto al análisis presentado en el seguimiento al indicador de gestión.</t>
  </si>
  <si>
    <t>GEC-001</t>
  </si>
  <si>
    <t>Circular No. 013 del 28/04/2020</t>
  </si>
  <si>
    <t xml:space="preserve">Solicitud de liquidaciones de contratos tramitadas </t>
  </si>
  <si>
    <t>Determinar el número de liquidaciones tramitadas de contratos, convenios y terminaciones anticipadas en el periodo, gestionadas por el equipo de Liquidaciones para la firma de la Asesora del Despacho delegada. En las liquidaciones las partes establecen las condiciones jurídicas, técnicas y financieras, que le pongan  fin al negocio jurídico, respetando las condiciones contractuales pactadas y cumpliendo a cabalidad con los principios generales que rigen el estatuto de contratación para la administración pública.</t>
  </si>
  <si>
    <t>Radicación para tramite de liquidación por fuera de los términos legales y con la documentación pertinente, de acuerdo a lo estipulado en el artículo 60 de la Ley 80 de 1993, modificado por el artículo 217 del Decreto Nacional 019 del 2012 y el artículo 11 de la Ley 1150 del 2007.</t>
  </si>
  <si>
    <t>(No. de solicitudes de liquidaciones tramitadas en el periodo / No. de solicitudes de liquidaciones radicadas en el período) * 100</t>
  </si>
  <si>
    <t xml:space="preserve">Base consolidada de liquidaciones </t>
  </si>
  <si>
    <t>Tomar el número de solicitudes de liquidaciones y terminaciones anticipadas tramitadas por el equipo de liquidaciones en el periodo, del 1 al 30 de cada mes y dividirlo en el número de solicitudes radiadas en el periodo, del 20 al 20 de cada mes.
Nota: el resultado del indicar al final de la vigencia será acumulado.</t>
  </si>
  <si>
    <t>Base consolidada de liquidaciones con el resumen de la gestión realizada</t>
  </si>
  <si>
    <t>15/03/2022 No se generan observaciones respecto al análisis presentado en el seguimiento al indicador de gestión. Se deja la siguiente recomendación: se debe adelantar todas las acciones pertinentes para dar cumplimiento a la meta propuesta.
Por favor revisar ortografía antes de enviar el reporte.</t>
  </si>
  <si>
    <t>19/04/2022 No se generan observaciones respecto al análisis presentado en el seguimiento al indicador de gestión. Se deja la siguiente recomendación: se debe adelantar todas las acciones pertinentes para dar cumplimiento a la meta propuesta.</t>
  </si>
  <si>
    <t>16/05/2022 No se generan observaciones respecto al análisis presentado en el seguimiento al indicador de gestión. Se deja la siguiente recomendación: se debe adelantar todas las acciones pertinentes para dar cumplimiento a la meta propuesta.</t>
  </si>
  <si>
    <t>14/06/2022 No se generan observaciones respecto al análisis presentado en el seguimiento al indicador de gestión. Se deja la siguiente recomendación: se debe adelantar todas las acciones pertinentes para dar cumplimiento a la meta propuesta.</t>
  </si>
  <si>
    <t xml:space="preserve">Para el mes de  junio los supervisores e interventores, radicaron ante el grupo de liquidaciones 55 solicitudes de liquidaciones de contratos y 18 terminaciones anticipadas, para un total de 72 solicitudes de trámite liquidatario, de las cuales se tramitaron en el mes de junio 48, con un cumplimiento de un 67%. 
Las radicaciones pendientes por tramitar se devolvieron a sus ordenadores, por falta de algún soporte y quedarán tramitadas para el siguiente periodo de reporte.
Se ha continuado con las siguientes acciones implementadas para el procedimiento de liquidación: alertas tempranas a los supervisiones e interventorías, acciones pedagógicas y de orientación, buscando que las solicitudes de trámite de liquidación y terminaciones anticipadas se radiquen dentro del término legal, con la documentación pertinente, completa y que el informe final de supervisión, contenga los aspectos: técnicos, legales y financieros completos, que permitan establecer los términos definitivos y reales de la liquidación de los contratos y convenios. </t>
  </si>
  <si>
    <t>14/06/2022 No se generan observaciones respecto al análisis presentado en el seguimiento al indicador de gestión. Se deja la siguiente recomendación: se debe adelantar todas las acciones pertinentes para dar cumplimiento a la meta propuesta, actualmente el indicador está en el 94% de cumplimiento de la vigencia.</t>
  </si>
  <si>
    <t xml:space="preserve">Para el periodo comprendido entre el 20 de junio y 20 de julio, se radicaron las siguientes solicitudes de liquidación: 
8 tramites liquidatarios.
40 terminaciones anticipadas.  
En el mes de julio, se tramitaron:
4 tramites liquidatarios del periodo de medición.
34 Terminaciones anticipadas.
33 Solicitudes de liquidación radicadas en periodos anteriores. 
Lo anterior, representa una ejecución sobresaliente  del 148%. 
Las 4 solicitudes de tramites radicadas del 20 de junio al 20 de julio, se están gestionado y se dará tramite en el siguiente periodo.
Desde la Subdirección de Contratación, se continua con la ejecución de actividades como  alertas tempranas a los supervisiones e interventorías, acciones pedagógicas y de orientación, buscando que las solicitudes de trámite de liquidación y terminaciones anticipadas se radiquen dentro del término legal, con la documentación pertinente, completa y que el informe final de supervisión, contenga los aspectos: técnicos, legales y financieros completos, que permitan establecer los términos definitivos y reales de la liquidación de los contratos y convenios. </t>
  </si>
  <si>
    <t>11/08/2022 No se generan observaciones respecto al análisis presentado en el seguimiento al indicador de gestión. Se deja la siguiente recomendación: seguir adelantando todas las acciones para dar cumplimiento a la meta de la vigencia.</t>
  </si>
  <si>
    <t xml:space="preserve">Para el periodo comprendido entre el 20 de julio y 20 de agosto, se radicaron las siguientes solicitudes de liquidación: 
116 tramites liquidatarios.
17 terminaciones anticipadas.  
En el mes de agosto, se tramitaron:
87 tramites liquidatarios  (67 Solicitudes de liquidación radicadas en periodos anteriores + 20 del periodo de medición).
17 Terminaciones anticipadas.
Lo anterior, representa una ejecución satisfactorio del 78%. 
Las 96 solicitudes de tramites radicadas del 20 de julio al 20 de agosto, se están gestionado y se dará tramite en el siguiente periodo.
Desde la Subdirección de Contratación, se continúa con la ejecución de actividades como  alertas tempranas a los supervisiones e interventorías, acciones pedagógicas y de orientación, buscando que las solicitudes de trámite de liquidación y terminaciones anticipadas se radiquen dentro del término legal, con la documentación pertinente, completa y que el informe final de supervisión, contenga los aspectos: técnicos, legales y financieros completos, que permitan establecer los términos definitivos y reales de la liquidación de los contratos y convenios. </t>
  </si>
  <si>
    <t>13/09/2022 No se generan observaciones respecto al análisis presentado en el seguimiento al indicador de gestión. Se deja la siguiente recomendación: adelantar todas las acciones pertinentes para dar cumplimiento a la meta de la vigencia.</t>
  </si>
  <si>
    <t>Para el periodo comprendido entre el 20 de agosto y 20 de septiembre, se radicaron las siguientes solicitudes de liquidación: 
104 tramites liquidatarios.
17 terminaciones anticipadas.  
En el mes de septiembre, se tramitaron:
72 tramites liquidatarios  (43 Solicitudes de liquidación radicadas en periodos anteriores + 29 del periodo de medición).
16 Terminaciones anticipadas.
Lo anterior, representa una ejecución satisfactorio del 73%. 
Las 75 solicitudes de tramites radicadas del 20 de agosto al 20 de septiembre, se están gestionado y se dará tramite en el siguiente periodo.
Desde la Subdirección de Contratación, se continúa con la ejecución de actividades como  alertas tempranas a los supervisiones e interventorías, acciones pedagógicas y de orientación, buscando que las solicitudes de trámite de liquidación y terminaciones anticipadas se radiquen dentro del término legal, con la documentación pertinente, completa y que el informe final de supervisión, contenga los aspectos: técnicos, legales y financieros completos, que permitan establecer los términos definitivos y reales de la liquidación de los contratos y convenios.</t>
  </si>
  <si>
    <t>12/10/2022 No se generan observaciones respecto al análisis presentado en el seguimiento al indicador de gestión. Se deja la siguiente recomendación: adelantar todas las acciones pertinentes para dar cumplimiento a la meta para el último periodo de la vigencia.</t>
  </si>
  <si>
    <t>GEC-002</t>
  </si>
  <si>
    <t>Circular N° 013 del 28/04/2020</t>
  </si>
  <si>
    <t>Solicitudes de modificaciones tramitadas</t>
  </si>
  <si>
    <t>Establecer el porcentaje  de solicitudes de modificaciones contractuales tramitadas en la Subdirección de Contratación, frente a las solicitudes radicadas.</t>
  </si>
  <si>
    <t xml:space="preserve"> Administración del contrato</t>
  </si>
  <si>
    <t>(No. de modificaciones de contratos tramitadas dentro del término (10 días hábiles desde la fecha de entrega de la solicitud de modificación en la Subdirección de Contratación) / No. total de solicitudes de modificación de contratos radicadas) * 100</t>
  </si>
  <si>
    <t>seguimiento de modificaciones Contractuales</t>
  </si>
  <si>
    <t>Se toman las modificaciones tramitadas y se divide sobre las modificaciones radicadas por 100.
Nota: el resultado del indicar al final de la vigencia será acumulado.</t>
  </si>
  <si>
    <t>Registro de seguimiento a las modificaciones contractuales</t>
  </si>
  <si>
    <t xml:space="preserve">Para el mes de enero del 2022, el estado de las solicitudes de modificaciones contractuales radicadas se da de la siguiente manera: de un total 243 solicitudes de modificaciones de contratos radicadas, se tramitaron dentro del término 228 para un resultado de 94%, las 15 restantes se devolvieron por solicitud del área técnica o porque se enviaron ya vencidas y se debían rechazar. </t>
  </si>
  <si>
    <t xml:space="preserve">Para el mes de febrero del 2022, el estado de las solicitudes de modificaciones contractuales radicadas se da de la siguiente manera: de un total 357 solicitudes de modificaciones de contratos radicadas, se tramitaron dentro del término 343 para un resultado de 96%, las 14 restantes se devolvieron por solicitud del área técnica o porque se enviaron ya vencidas y se debían rechazar. </t>
  </si>
  <si>
    <t xml:space="preserve">Para el mes de marzo del 2022, el estado de las solicitudes de modificaciones contractuales radicadas se da de la siguiente manera: de un total 104 solicitudes de modificaciones de contratos radicadas, se tramitaron dentro del término 92 para un resultado de 88%, las 14 restantes se devolvieron por solicitud del área técnica o porque se enviaron ya vencidas y se debían rechazar. </t>
  </si>
  <si>
    <t>Para el mes de abril del 2022, el estado de las solicitudes de modificaciones contractuales radicadas se da de la siguiente manera: de un total 92 solicitudes de modificaciones de contratos radicadas, se tramitaron dentro del término 89 para un resultado de 97%, las 3 restantes se encuentran en proceso de trámite.</t>
  </si>
  <si>
    <t>Para el mes de mayo del 2022, el estado de las solicitudes de modificaciones contractuales radicadas se da de la siguiente manera: de un total 44 solicitudes de modificaciones de contratos radicadas, se tramitaron dentro del término 89 para un resultado de 95%, las 2 restantes se encuentran en proceso de trámite.</t>
  </si>
  <si>
    <t>Para el mes de junio del 2022, el estado de las solicitudes de modificaciones contractuales radicadas se da de la siguiente manera: de un total 96 solicitudes de modificaciones de contratos radicadas, se tramitaron dentro del término 93 para un resultado de 97%, 2 modificaciones se encuentran en proceso de trámite y 1 fue desistida por el área técnica.</t>
  </si>
  <si>
    <t>14/06/2022 No se generan observaciones y/o recomendaciones respecto al análisis presentado en el seguimiento al indicador de gestión.</t>
  </si>
  <si>
    <t>Para el mes de julio del 2022, el estado de las solicitudes de modificaciones contractuales radicadas se da de la siguiente manera: de un total 65 solicitudes de modificaciones de contratos radicadas, se tramitaron dentro del término 64 para un resultado de 98%, 1 fue devuelta por memorando al área técnica.</t>
  </si>
  <si>
    <t>11/08/2022 No se generan observaciones y/o recomendaciones respecto al análisis presentado en el seguimiento al indicador de gestión.</t>
  </si>
  <si>
    <t>Para el mes de agosto del 2022, el estado de las solicitudes de modificaciones contractuales radicadas se da de la siguiente manera: de un total 145 entre solicitudes de modificaciones y contratos iniciales radicadas, se tramitaron dentro del término 144 para un resultado de 99%, 1 fue devuelta por memorando al área técnica para nueva radicación.</t>
  </si>
  <si>
    <t>13/09/2022 No se generan observaciones y/o recomendaciones respecto al análisis presentado en el seguimiento al indicador de gestión.</t>
  </si>
  <si>
    <t>Para el mes de Septiembre del 2022, el estado de las solicitudes de modificaciones contractuales radicadas se da de la siguiente manera: de un total 69 entre solicitudes de modificaciones y contratos iniciales radicadas, se tramitaron dentro del término 68 para un resultado de 99%, 1 fue desistida el área técnica para nueva radicación.</t>
  </si>
  <si>
    <t>12/10/2022 No se generan observaciones y/o recomendaciones respecto al análisis presentado en el seguimiento al indicador de gestión.</t>
  </si>
  <si>
    <t>GEC-003</t>
  </si>
  <si>
    <t>Circular No. 029 del 26/09/2022</t>
  </si>
  <si>
    <t>Cumplimiento de procesos radicados</t>
  </si>
  <si>
    <t xml:space="preserve">
Establecer el nivel de cumplimiento de la Subdirección de Contratación mediante la cuantificación de las solicitudes de contratación de prestación de recurso humano atendidas versus las radicadas para medir la gestión de la dependencia. 
</t>
  </si>
  <si>
    <t>Radicación de los procesos contractuales formulados en Plan Anual de Adquisiciones que cuenten con los lineamientos establecidos en el Manual de contratación y supervisión y el documento interno de trabajo (Cartilla ABC de contratación)</t>
  </si>
  <si>
    <t xml:space="preserve">
(No. de solicitudes de  contratación de prestación de servicios de recurso humano gestionadas / No. de solicitudes de contratación de prestación de servicios de recurso humano radicados en la Subdirección de Contratación) * 100</t>
  </si>
  <si>
    <t>Registro obtenido de matriz de contratación.</t>
  </si>
  <si>
    <t xml:space="preserve">
Numerador: se toma el número de las solicitudes de contratación de prestación de recurso humano gestionadas por la Subdirección de Contratación en el mes.
Nota: se define gestionado como las solicitudes que suscribieron contratos con éxito / solicitudes rechazadas por la Subdirección de Contratación / solicitudes desistidas por el área o por el contratista.
Denominador: se toma el numero de las solicitudes de contratación de prestación de recurso humano  radicados por las dependencias en la Subdirección de Contratación en el mes.
EL RESULTADO DEL INDICADOR ACOMULADO VA A SER LA SUMATORIA DE CADA PERIODO </t>
  </si>
  <si>
    <t xml:space="preserve">Base de datos mensual </t>
  </si>
  <si>
    <t xml:space="preserve">Para el mes de enero del 2022 y de acuerdo con los cambios que ha tenido la modernización de la contratación, se radicaron un total de 2.595 contratos de prestación de recurso humano, para este mes se tramitaron 1.551 contratos, dando un cumplimiento del 54% en el indicador.  El resto de contratos quedaron para el mes de febrero, dado que no se alcanzo a sacar el registro presupuestal.
</t>
  </si>
  <si>
    <t xml:space="preserve">
Para el mes de febrero no se recibió radicación de contratos de prestación de servicios, dado que de acuerdo a la Ley de garantías de 996 del 2005. circular 100-006 del 2021, por lo anterior solo se reportar los contratos que se encontraban pendientes de registro presupuestal que fueron un total de 326 registros presupuestales, los 718 restantes son procesos contractuales a los cuales no se le ha dado inicio a la ejecución.</t>
  </si>
  <si>
    <t>15/03/2022 tengo la siguiente observación frente al análisis presentando en el seguimiento: según lo descrito en el análisis de enero quedaron pendientes (1.044 contratos) para hacer seguimiento en el mes de febrero. Siendo así la programación para este mes debe ser 1.044 y lo ejecutado 326. Por favor justificar porque no se ejecutaron los demás contratos y cuál va ser el plan de acción para lograr el cumplimiento de la meta.
17/03/2022 no tengo ninguna otra observación y/o recomendación frente al análisis presentado en el seguimiento.</t>
  </si>
  <si>
    <t xml:space="preserve">
Para el mes de marzo no se recibió radicación de contratos de prestación de servicios, de acuerdo a la Ley de garantías de 996 del 2005. Circular 100-006 del 2021. Por lo anterior este indicado se reporta en 0.</t>
  </si>
  <si>
    <t>19/04/2022 No se generan observaciones respecto al análisis presentado en el seguimiento al indicador de gestión. Se deja la siguiente recomendación: se debe adelantar todas las acciones pertinentes para dar cumplimiento a la meta propuesta ya que actualmente se encuentra en un rezago de 18 puntos por debajo de la meta (70%) .</t>
  </si>
  <si>
    <t xml:space="preserve">
Para el mes de abril  no se recibió radicación de contratos de prestación de servicios, de acuerdo a la Ley de garantías de 996 del 2005. Circular 100-006 del 2021. Por lo anterior este indicado se reporta en 0.</t>
  </si>
  <si>
    <t xml:space="preserve">16/05/2022 No se generan observaciones y/o recomendaciones respecto al análisis presentado en el seguimiento al indicador de gestión. </t>
  </si>
  <si>
    <t xml:space="preserve">
Para el mes de mayo no se recibió radicación de contratos de prestación de servicios, de acuerdo a la Ley de garantías de 996 del 2005. Circular 100-006 del 2021. Por lo anterior este indicado se reporta en 0.</t>
  </si>
  <si>
    <t xml:space="preserve">14/06/2022 No se generan observaciones y/o recomendaciones respecto al análisis presentado en el seguimiento al indicador de gestión. </t>
  </si>
  <si>
    <t xml:space="preserve">El indicador se reporta en cero, toda vez que la Ley de garantías del Gobierno Nacional finalizó el 19 de junio de 2022. Es decir, a fecha de corte 20 de junio no se expidieron contratos directos de OPS. 
No obstante, en el mes de junio se recibieron 1461 solicitudes con el fin de iniciar proceso de revisión, los cuales están en trámite y se reportarán en el siguiente periodo de medición. </t>
  </si>
  <si>
    <t>14/06/2022 No se generan observaciones respecto al análisis presentado en el seguimiento al indicador de gestión. Se deja la siguiente recomendación: se debe adelantar todas las acciones pertinentes para dar cumplimiento a la meta propuesta, actualmente el indicador está bastante rezagado en el su cumplimiento de la vigencia (53%), con respecto a la meta (70%).</t>
  </si>
  <si>
    <t xml:space="preserve">A partir de la terminación de la Ley de Garantías del Gobierno Nacional, desde el  20/06/2022 se reinició la suscripción de contratos. En el periodo de medición, se suscribieron 1449 contratos en pro de garantizar la prestación del servicio en las diferentes áreas de la Secretaría Distrital de Integración Social.
En el mes de julio se recibieron 2357 solicitudes con el fin de iniciar proceso de revisión de documentos, los cuales están en trámite y se reportarán en el siguiente periodo de medición, cuando estén suscritos. </t>
  </si>
  <si>
    <t>11/08/2022 No se generan observaciones respecto al análisis presentado en el seguimiento al indicador de gestión. Se deja la siguiente recomendación: se debe adelantar todas las acciones pertinentes para dar cumplimiento a la meta propuesta, actualmente el indicador está bastante rezagado en el su cumplimiento del (45%), con respecto a la meta (70%).</t>
  </si>
  <si>
    <t xml:space="preserve">A partir de la terminación de la Ley de Garantías del Gobierno Nacional, desde el  20/06/2022 se reinició la suscripción de contratos. En el mes de agosto se recibieron 1446 solicitudes de contratación y gracias al plan de contingencia que se adelanta, se logró la gestión y suscripción de 2728 en el periodo de medición, cerrando un poco la brecha de contratación que se tenia en periodos anteriores.
</t>
  </si>
  <si>
    <t>13/09/2022 No se generan observaciones respecto al análisis presentado en el seguimiento al indicador de gestión. Se deja la siguiente recomendación: revisar si el cumplimiento del indicador va superar la meta de la vigencia (70%), en los siguientes periodos. Si el caso es así se recomienda actualizar la meta.</t>
  </si>
  <si>
    <t>A partir de la terminación de la Ley de Garantías del Gobierno Nacional, desde el  20/06/2022 se reinició la suscripción de contratos.
En el mes de agosto se recibieron 845 solicitudes de contratación y gracias al plan de contingencia que se adelanta, se logró la gestión y suscripción de 1787 en el periodo de medición (Del 20 de agosto al 30 de sep), de los cuales 58 procesos fueron rechazados o desistidos y 1729 procesos se suscribieron en el periodo dando lugar al inicio de ejecución del mismo, cerrando un poco la brecha de contratación que se tenia en periodos anteriores. 
Nota: para este mes se toma el periodo de medición de 40 días (numerador) para ajustar los resultados con los cambios del indicador, presentados mediante memorando I2022030966.</t>
  </si>
  <si>
    <t>12/10/2022 No se generan observaciones respecto al análisis presentado en el seguimiento al indicador de gestión. Se deja la siguiente recomendación: revisar si el cumplimiento en cada periodo va ser más alto a la meta propuesta. Si es así debemos actualizarlo para la próxima vigencia.</t>
  </si>
  <si>
    <t>GEC-004</t>
  </si>
  <si>
    <t>Circular No. 012 del 29/04/2022</t>
  </si>
  <si>
    <t>Solicitud de procesos de selección tramitados</t>
  </si>
  <si>
    <t>Establecer el porcentaje de solicitudes de procesos de selección tramitadas en la Subdirección de Contratación, frente a las solicitudes radicadas por las áreas.</t>
  </si>
  <si>
    <t xml:space="preserve">Radicación de los procesos de selección formulados en Plan Anual de Adquisiciones que cuenten con los lineamientos establecidos por la SDIS. </t>
  </si>
  <si>
    <t>(No. de procesos de selección tramitadas  / No. total de solicitudes de procesos de selección radicadas) * 100</t>
  </si>
  <si>
    <t>Seguimiento de procesos de selección</t>
  </si>
  <si>
    <t>Se toma el numero de procesos de selección tramitadas por las diferentes áreas y registrados en la matriz de contratación en el periodo del 1 al 30 de cada mes. 
Posteriormente, se divide el valor anterior en el número de procesos de selección gestionados por la Subdirección de Contratación, para que las áreas técnicas aprueben e inicien la ejecución contractual del 20 al 20 de cada mes.
Nota: el resultado del indicador acumulado será la sumatoria de cada mes.</t>
  </si>
  <si>
    <t>Registro de seguimiento a los procesos de selección</t>
  </si>
  <si>
    <t>La Subdirección de Contratación en aras de evidenciar todas las gestiones que se llevan a cabo en el proceso contractual, se incluyó la radicación de los procesos de selección.</t>
  </si>
  <si>
    <t>Para el mes de junio del 2022, el estado de las solicitudes de procesos competitivos radicados se da de la siguiente manera: de un total 4 solicitudes de procesos competitivos radicados, se tramitaron dentro del término 4 para un resultado de 100%.</t>
  </si>
  <si>
    <t>14/06/2022 No se generan observaciones respecto al análisis presentado en el seguimiento al indicador de gestión. Se deja la siguiente recomendación: actualmente el cumplimiento de la vigencia del indicador se encuentra en sobrecumplimiento (125%) con respecto a la meta. Revisar si en los próximos trimestres el comportamiento va ser igual y si es así, debemos actualizar la meta del indicador.</t>
  </si>
  <si>
    <t>El reporte cuantitativo del indicador se realiza trimestralmente, no obstante, se registra qué para el mes de julio del 2022, se recibieron 4 solicitudes de procesos competitivos y se logró tramitar dentro del término los 4 para un resultado sobresaliente  de 100%.</t>
  </si>
  <si>
    <t>11/08/2022 No se generan observaciones respecto al análisis presentado en el seguimiento al indicador de gestión. Se deja la siguiente recomendación: actualmente el cumplimiento de la vigencia del indicador se encuentra en sobrecumplimiento (125%) con respecto a la meta. Revisar si en los próximos trimestres el comportamiento va ser igual y si es así, debemos actualizar la meta del indicador.</t>
  </si>
  <si>
    <t>Durante el mes de agosto del 2022, el estado de las solicitudes de procesos competitivos radicados se da de la siguiente manera: de un total 2 solicitudes de procesos competitivos radicados, se tramitaron dentro del término 2 para un resultado de 100%.</t>
  </si>
  <si>
    <t>13/09/2022 No se generan observaciones respecto al análisis presentado en el seguimiento al indicador de gestión. Se deja la siguiente recomendación: actualmente el cumplimiento de la vigencia del indicador se encuentra en sobrecumplimiento (125%) con respecto a la meta. Revisar si en los próximos trimestres el comportamiento va ser igual y si es así, debemos actualizar la meta del indicador.</t>
  </si>
  <si>
    <t>Durante el tercer trimestre (julio agosto y septiembre) del 2022, el estado de las solicitudes de procesos competitivos radicados se da de la siguiente manera: de un total de 8 solicitudes de procesos competitivos radicados, se tramitaron dentro del término 8 para un resultado de 100%.</t>
  </si>
  <si>
    <t>GEC-005</t>
  </si>
  <si>
    <t>Solicitud de tipologías tramitadas</t>
  </si>
  <si>
    <t>Establecer el porcentaje de solicitudes de contratación directa diferente de la contratación de prestación de servicios en la Subdirección de Contratación, frente a las solicitudes radicadas.</t>
  </si>
  <si>
    <t xml:space="preserve">Radicación de los procesos contractuales de tipologías (arrendamientos, convenios) formulados en Plan Anual de Adquisiciones que cuenten con los lineamientos establecidos por la SDIS. </t>
  </si>
  <si>
    <t>(Número de tipologías tramitadas dentro del término / Número total de solicitudes de tipologías contractuales radicadas) * 100</t>
  </si>
  <si>
    <t>Seguimiento de tipologías contractuales</t>
  </si>
  <si>
    <t>Se toma el numero de procesos de tipologías tramitadas por las diferentes áreas y registrados en la matriz de contratación en el periodo del 1 al 30 de cada mes. 
Posteriormente, se divide el valor anterior en el número de procesos de tipologías gestionados por la Subdirección de Contratación, para que las áreas técnicas aprueben e inicien la ejecución contractual del 20 al 20 de cada mes.
Nota: el resultado del indicador al final de la vigencia será acumulado.</t>
  </si>
  <si>
    <t>Registro de seguimiento a las tipologías contractuales</t>
  </si>
  <si>
    <t>La Subdirección de Contratación en aras de evidenciar todas las gestiones que se llevan a cabo en el proceso contractual, se incluyó la radicación de las diferentes tipologías contractuales.</t>
  </si>
  <si>
    <t>Para el segundo trimestre 2022, el indicador se reporta con un avance del 38%, toda vez que se recibieron 21 solicitudes de procesos de diferente tipologías y se tramitaron 8, trámite que consiste en convocatoria y publicación de procesos en plataforma secop II.
Las 13 solicitudes faltantes se encuentran en proceso de subsanación de documentos previos y observaciones por parte de las áreas técnicas, aprobaciones de procesos por parte de Comité de Contratación y en trámite de publicación por parte del grupo precontractual.</t>
  </si>
  <si>
    <t>14/06/2022 No se generan observaciones respecto al análisis presentado en el seguimiento al indicador de gestión. Se deja la siguiente recomendación: se debe adelantar todas las acciones pertinentes para dar cumplimiento a la meta propuesta, actualmente el indicador está bastante rezagado en el su cumplimiento de la vigencia (48%), con respecto a la meta (80%).</t>
  </si>
  <si>
    <t xml:space="preserve">El reporte cuantitativo del indicador se realiza trimestralmente, no obstante, desde la Subdirección de Contratación se han recibido  solicitudes de procesos de diferente tipologías y están en proceso de tramite que consiste en convocatoria y publicación de procesos en plataforma secop II.
</t>
  </si>
  <si>
    <t>11/08/2022 No se generan observaciones respecto al análisis presentado en el seguimiento al indicador de gestión. Se deja la siguiente recomendación: se debe adelantar todas las acciones pertinentes para dar cumplimiento a la meta propuesta, actualmente el indicador está bastante rezagado en el su cumplimiento del (38%), con respecto a la meta (80%).</t>
  </si>
  <si>
    <t>El reporte cuantitativo del indicador se realiza trimestralmente, no obstante, desde la Subdirección de Contratación se han recibido  solicitudes de procesos de diferente tipologías y están en proceso de tramite que consiste en convocatoria y publicación de procesos en plataforma secop II.</t>
  </si>
  <si>
    <t>13/09/2022 No se generan observaciones respecto al análisis presentado en el seguimiento al indicador de gestión. Se deja la siguiente recomendación: se debe adelantar todas las acciones pertinentes para dar cumplimiento a la meta propuesta, actualmente el indicador está bastante rezagado en el su cumplimiento del (38%) con respecto a la meta (80%).</t>
  </si>
  <si>
    <t>Durante el tercer trimestre del año 2022, periodo comprendido entre el mes de julio a septiembre, a la subdirección de contratación, fueron radicados por las áreas técnicas, un total de 25 solicitudes de trámites de procesos de selección, de los cuales fueron tramitados en debida forma las 25 solicitudes, realizando la revisión de documentos previos de estructuración, otorgando avales para presentación de procesos ante el comité de contratación, y avalando procesos de mínima cuantía para radicación por AZ digital.</t>
  </si>
  <si>
    <t>GIF-7565-001</t>
  </si>
  <si>
    <t>Circular No. 007 del 28/03/2022</t>
  </si>
  <si>
    <t>Construcción y reforzamiento y/o restitución de equipamientos.</t>
  </si>
  <si>
    <t>Determinar el número de obras construidas, reforzadas y/o restituidas en relación con los predios administrados por la Secretaría Distrital de Integración Social, para garantizar la prestación de los servicios sociales.</t>
  </si>
  <si>
    <t>Gestión predial, asignación de recursos, desarrollo de estudios y diseños completos, obtención de Licencias de construcción, Gestión precontractual (Contratos adjudicados y legalizados), cumplimiento de protocolos de bioseguridad en respuesta a situaciones de emergencia social y sanitaria, así como el seguimiento adecuado.</t>
  </si>
  <si>
    <t>(No. de proyectos construidos, reforzados y/o restituidos/ No. de proyectos programados para construir, reforzar y/o restituir) *100</t>
  </si>
  <si>
    <t>Plan de acción proyecto estratégico 7565 - Subdirección de Plantas Físicas.</t>
  </si>
  <si>
    <t>El indicador se mide con respecto a los proyectos de obra nueva, reforzamiento y/o restitución terminados, de la programación anual de la meta.
La magnitud programada para la vigencia 2022, será de 1 proyecto de reforzamiento estructural y/o restitución y 1 proyecto de obra nueva.</t>
  </si>
  <si>
    <t>Informes mensuales o semanales de interventoría o supervisión o acta de terminación.</t>
  </si>
  <si>
    <t>Durante la vigencia se proyecta la terminación de 2 proyectos de obra, 1 en modalidad de obra nueva y 1 en modalidad de reforzamiento estructural, al cierre del mes de enero presenta el siguiente avance:
Obra nueva:
CD SAN DAVID. Según el reporte semanal No 53 entregado por la interventoría, a corte del 23 de enero de 2022, el proyecto presenta un avance programado del 79,59% y un avance ejecutado del 82,01%, lo cual evidencia un adelanto del 2,41%. Se suscribe un modificatorio el 26 de enero de 2022 ampliando el plazo del contrato de obra y de interventoría por treinta y nueve (39) días con fecha de terminación 5 de marzo de 2022. 
Obra de reforzamiento estructural y/o restitución:
El contrato se encuentra en fase 1 de ejecución, que corresponde a la revisión y  ajuste de los estudios y diseños y presenta un avance de 76,9%. Es importante resaltar que, el avance aquí mencionado corresponde a la primera etapa del proyecto, no obstante, el avance con respecto a la totalidad del proyecto corresponde a 27,5%.</t>
  </si>
  <si>
    <t>15/03/2022 No se generan observaciones respecto al análisis reportado para el seguimiento del indicador.</t>
  </si>
  <si>
    <t>Durante la vigencia se proyecta la terminación de 2 proyectos de obra, 1 en Modalidad de obra nueva y 1 en modalidad de reforzamiento estructural, al cierre del mes de febrero presenta el siguiente avance:
OBRA NUEVA:
CD SAN DAVID. Según el reporte semanal No 58 con corte del 27 de febrero de 2022,  el proyecto presenta un avance físico programado de 87,60% contra un avance físico ejecutado del 85,33%.Avanza en acabados interiores y de fachada.
OBRA DE REFORZAMIENTO ESTRUCTURAL Y/O RESTITUCIÓN:
Se adelanta la ejecución de la etapa 1 del proyecto, que corresponde a la revisión y actualización de Estudios y Diseños, de la cual al cierre del periodo presenta una ejecución programada del 94,2% contra un porcentaje ejecutado de 91,5%, del total del contrato corresponde a un avance programado del 33,64%, con respecto a un avance ejecutado del 32,67%. A la fecha se ha adelantado la revisión de los diseños arquitectónicos, estructurales, hidrosanitario y eléctrico. Para iniciar la etapa 2 de construcción el contratista debe presentar los ajustes respondiente a las observaciones realizadas por la interventoría en los diferentes componentes, el ajuste del presupuesto y la actualización de la licencia de construcción.</t>
  </si>
  <si>
    <t>Durante la vigencia se proyecta la terminación de dos proyectos de obra, 1 en Modalidad de obra nueva y 1 en modalidad de reforzamiento estructural, al cierre del mes de marzo se presenta el siguiente avance:
OBRA NUEVA. CD SAN DAVID:  
De acuerdo con el informe semanal No 62 entregado por la Interventoría a corte del 28 de marzo de 2022, el proyecto presenta un avance programado del 98,46% y un avance ejecutado del 90,31%, se evidencia un atraso del 8,15%, que corresponde consecución de piedra muñeca para la culminación de la fachada, trámites de conexiones definitivas de servicios públicos y lluvias presentadas en el sector. La Interventoría solicitó plan de contingencia para subsanar el atraso presentado que fue avalado el 22 de marzo de 2022.
OBRA DE REFORZAMIENTO ESTRUCTURAL Y/O RESTITUCIÓN. CD CAMPO VERDE:
De acuerdo con el informe semanal No 21 entregado por la Interventoría,  a corte del 27 de marzo de 2022 el proyecto presenta un avance programado del 100% y un ejecutado del 97%, se evidencia un atraso del 3%, que corresponde a la revisión del componente de presupuesto, especificaciones técnicas y análisis de precios unitarios, documentos que están siendo revisados por la Interventoría para dar su respectivo aval. El 28 de marzo de 2022 se realizó la entrega del predio al Consorcio Divina Providencia Actual constructor responsable de la obra,  para el inicio de la Etapa 2 de construcción.</t>
  </si>
  <si>
    <t>11/04/2022 No se generan observaciones respecto al análisis reportado para el seguimiento del indicador.</t>
  </si>
  <si>
    <t>Durante la vigencia se proyecta la terminación de dos proyectos de obra, 1 en Modalidad de obra nueva y 1 en modalidad de reforzamiento estructural, al cierre del mes de abril presenta el siguiente avance:
OBRA NUEVA. CD SAN DAVID: ABRIL DE 2022: 
Se adelantó modificación contractual en el cual se suspendió el contrato por un periodo de 30 días, desde el 7 de abril de 2022 y hasta el 8 de mayo de 2022. 
OBRA DE REFORZAMIENTO ESTRUCTURAL Y/O RESTITUCIÓN.  CD CAMPO VERDE: 
Culminó la ejecución de la Etapa 1 del proyecto, que corresponde a la revisión y actualización de Estudios y Diseños, con una ejecución programada y ejecutada del 100%, que del total del contrato corresponde a un avance programado y ejecutado del 35,71%; se da inicio a la Etapa No 2 el 28 de marzo de 2022 con el entrega del predio, a la fecha y según el reporte de la Interventoría mediante informe semanal No 5 a corte del 1 mayo de 2022 se tiene un avance físico programado del 1,48% versus un avance físico ejecutado del 0,55% presentando un atraso del 0,93%, debido a las fuertes lluvias presentadas en el sector."</t>
  </si>
  <si>
    <t>10/05/2022 Verificar periodo de reporte.
No se generan observaciones respecto al análisis reportado para el seguimiento del indicador.</t>
  </si>
  <si>
    <t>Durante la vigencia se proyecta la terminación de dos proyectos de obra, 1 en Modalidad de obra nueva y 1 en modalidad de reforzamiento estructural, al cierre del mes de mayo presenta el siguiente avance:
OBRA NUEVA. CD SAN DAVID: se realizó la modificación No 5 para la suspensión del Contrato de Obra 15035 y Contrato de Interventoría No 15047 de 2020, desde el 10 de mayo de 2022 hasta el 10 de junio de 2022,  toda vez que a la fecha ENEL CODENSA no ha aprobado la actualización del Serie 3, proceso indispensable para la energización definitiva del Centro Día.
OBRA DE REFORZAMIENTO ESTRUCTURAL Y/O RESTITUCIÓN: CAMPO VERDE: según el informe semanal No. 9 a corte del 31 de mayo de 2022, entregado por la Interventoría, y correspondiente a la etapa No 2 el proyecto presenta un avance programado físico 0,72% y un avance ejecutado físico del 0,31%, se evidencia un adelanto del 0,41%; es de aclarar que se presentó un ajuste a la programación avalado por interventoría, ajustados al proceso constructivo</t>
  </si>
  <si>
    <t>08/06/2022 No se generan observaciones respecto al análisis reportado para el seguimiento del indicador.</t>
  </si>
  <si>
    <t>Durante la vigencia se proyecta la terminación de dos proyectos de obra, 1 en Modalidad de obra nueva y 1 en modalidad de reforzamiento estructural o restitución, al cierre del mes de junio presentan el siguiente avance:
OBRA NUEVA. CD SAN DAVID: En atención a la necesidad de realizar obras adicionales por el cambio del punto de red de energía para la conexión definitiva, se requirió realizar modificación contractual de prórroga y adición a los contratos de obra e interventoría. En virtud de lo anterior, la obra prevé culminar en el mes de agosto de 2022, de no presentarse situaciones adicionales de carácter técnico o jurídico.
Teniendo en cuenta que, el contrato de obra e interventoría se encontraban suspendidos y en su reinicio se suscribió prórroga y adición  para el reporte del presente informe, se remiten los documentos de la modificación contractual mencionada que contemplan la justificación que motivó la misma, ya que al cierre del periodo aún no se presentan informes semanales. 
OBRA DE REFORZAMIENTO ESTRUCTURAL Y/O RESTITUCIÓN: CAMPO VERDE: Según el informe semanal No. 13 entregado por la Interventoría, y correspondiente a la etapa No 2 el proyecto presenta un avance programado físico 8,24% y un avance físico ejecutado del 6,87% se evidencia atraso del 1,37%, correspondiente a la revisión e inclusión de los Ítems No previstos - NP para la etapa de reforzamiento estructural.</t>
  </si>
  <si>
    <t>7/07/2022 Se recomienda verificar al análisis reportado, ya que el seguimiento es con corte a 30 de junio (II trimestre de la vigencia).
Así mismo, reportar la evidencia formulada "Informes mensuales o semanales de interventoría o supervisión o acta de terminación", donde se logré evidenciar la justificación del rezago en la OBRA NUEVA. CD SAN DAVID, lo que conlleva a un cumplimiento del indicar del 0%.
11/07/2022 Se recomienda continuar con la gestión pertinente para lograr la meta formulada, así como verificar la programación del indicador de acuerdo a la necesidad, planeación y gestión del proyecto y proceso para la siguiente vigencia.
No se generan más observaciones respecto al análisis reportado para el seguimiento del indicador.</t>
  </si>
  <si>
    <t>Durante la vigencia se proyecta la terminación de dos proyectos de obra, 1 en Modalidad de obra nueva y 1 en modalidad de reforzamiento estructural o restitución, al cierre del mes de julio presentan el siguiente avance:
OBRA NUEVA. CD SAN DAVID: Según reporte Semanal No 70, a corte del 26 de julio de 2022, el proyecto presenta un avance físico programado del 99.09% y un avance físico ejecutado del 97,83%, presentando un atraso del 1,25% debido a proceso que se adelanta con respecto a las provisionales de obra. Se prevé la terminación del proyecto en el mes de agosto
OBRA DE REFORZAMIENTO ESTRUCTURAL Y/O RESTITUCIÓN: CAMPO VERDE: Según el informe semanal No. 18 entregado por la Interventoría y correspondiente a la etapa No 2, el proyecto presenta un avance físico programado del 16,98% y un avance físico ejecutado del 10,69%, lo que se evidencia atraso del 6,29% correspondiente a la revisión e inclusión de los NP para la etapa de reforzamiento estructural; es de aclarar que, se encuentran en revisión los NP solicitados, así como la solicitud de modificación al contrato de obra.</t>
  </si>
  <si>
    <t>08/08/2022 No se generan observaciones respecto al análisis reportado para el seguimiento del indicador.</t>
  </si>
  <si>
    <t>Durante la vigencia se proyecta la terminación de dos proyectos de obra, 1 en Modalidad de obra nueva y 1 en modalidad de reforzamiento estructural o restitución, al cierre del mes de agosto presentan el siguiente avance:
OBRA NUEVA. CD SAN DAVID: El contrato de obra e interventoría culminaron el 12 de agosto de 2022, y se suscribe el acta de terminación de la misma fecha. Se remite acta de terminación del contrato de obra e interventoría.
OBRA DE REFORZAMIENTO ESTRUCTURAL Y/O RESTITUCIÓN: CAMPO VERDE: Según el informe semanal No. 22 a corte del 29 de agosto de 2022 entregado por la Interventoría y correspondiente a la etapa No 2, el proyecto presenta un avance físico programado del 13,31% y un avance físico ejecutado del 14,29%. En virtud de lo anterior, se avaló por parte de la interventoría una reprogramación de actividades de obra, en respuesta al procedimiento del reforzamiento de la estructura de cimentación.</t>
  </si>
  <si>
    <t>12/09/2022 No se generan observaciones respecto al análisis reportado para el seguimiento del indicador.</t>
  </si>
  <si>
    <t>Durante la vigencia se proyecta la terminación de dos proyectos de obra, 1 en Modalidad de obra nueva y 1 en modalidad de reforzamiento estructural o restitución, al cierre del mes de septiembre presentan el siguiente avance:
OBRA NUEVA. CD SAN DAVID: El contrato de obra e interventoría culminaron el 12 de agosto de 2022, y se suscribe el acta de terminación de la misma fecha. Se remite acta de terminación del contrato de obra e interventoría.
OBRA DE REFORZAMIENTO ESTRUCTURAL Y/O RESTITUCIÓN: CAMPO VERDE: Según el informe semanal No. 27 entregado por la Interventoría y correspondiente a la etapa No 2, el proyecto presenta un avance físico programado del 29,90% y un avance físico ejecutado del 24,47%, presentando un atraso de 5,44%. Durante el periodo de seguimiento, se firmó modificatorio No 1, para la inclusión de 27 ítems no previstos que corresponden a las actividades de reforzamiento de la estructura de cimentación. Se remite como evidencia el informe 27 y el modificatorio No. 1</t>
  </si>
  <si>
    <t>11/10/2022 No se generan observaciones respecto al análisis reportado para el seguimiento del indicador.</t>
  </si>
  <si>
    <t>GIF-7565-002</t>
  </si>
  <si>
    <t>Nivel de cumplimiento de seguridad y salubridad de los inmuebles administrados por la SDIS.</t>
  </si>
  <si>
    <t>Determinar el nivel de cumplimiento de seguridad y salubridad de los inmuebles administrados por la Secretaría Distrital de integración Social.</t>
  </si>
  <si>
    <t>Asignación de recursos, cumplimiento de protocolos de bioseguridad en respuesta a situaciones de emergencia social y sanitaria y seguimiento adecuado.</t>
  </si>
  <si>
    <t>(No. de equipamientos con intervenciones de mantenimiento / Total de equipamientos de la Secretaría Distrital de Integración Social) *100</t>
  </si>
  <si>
    <t>Base de datos de mantenimiento.</t>
  </si>
  <si>
    <t>El indicador se mide con respecto a las intervenciones terminadas en modalidad de reparaciones locativas, optimización de infraestructura o realizadas por personal técnico de la subdirección de plantas físicas, con respecto al total de equipamientos administrados por la SDIS, que para la vigencia 2022 será de 498 equipamientos, y su meta de ejecución será al menos el 60%.
Para calcular el avance del indicador se realizará con el último reporte de la vigencia.</t>
  </si>
  <si>
    <t>En el marco del Plan de Desarrollo " Un nuevo contrato social y ambiental para el siglo XXI", la Secretaría Distrital de Integración Social, intervino 48  equipamientos de la SDIS durante el mes de enero, en modalidad de mantenimiento preventivo o correctivo para garantizar una atención de calidad a la ciudadanía.</t>
  </si>
  <si>
    <t>En el marco del Plan de Desarrollo " Un nuevo contrato social y ambiental para el siglo XXI", la Secretaría Distrital de Integración Social, intervino 76  equipamientos de la Secretaria Distrital de Integración Social durante el mes de enero, en modalidad de mantenimiento preventivo o correctivo para garantizar una atención de calidad a la ciudadanía.</t>
  </si>
  <si>
    <t>En el marco del Plan de Desarrollo " Un nuevo contrato social y ambiental para el siglo XXI", la Secretaría Distrital de Integración Social, intervino 62 equipamientos administrados durante el mes de marzo, en modalidad de mantenimiento preventivo o correctivo para garantizar una atención de calidad a la ciudadanía.</t>
  </si>
  <si>
    <t>En el marco del Plan de Desarrollo " Un nuevo contrato social y ambiental para el siglo XXI", la Secretaría Distrital de Integración Social, intervino 36 equipamientos administrados durante el mes de abril, en modalidad de mantenimiento preventivo o correctivo para garantizar una atención de calidad a la ciudadanía.</t>
  </si>
  <si>
    <t>10/05/2022 No se generan observaciones respecto al análisis reportado para el seguimiento del indicador.</t>
  </si>
  <si>
    <t>En el marco del Plan de Desarrollo " Un nuevo contrato social y ambiental para el siglo XXI", la Secretaría Distrital de Integración Social, intervino 21 equipamientos administrados durante el mes de mayo, en modalidad de mantenimiento, preventivo o correctivo, para garantizar una atención de calidad a la ciudadanía.</t>
  </si>
  <si>
    <t>En el marco del Plan de Desarrollo " Un nuevo contrato social y ambiental para el siglo XXI", la Secretaría Distrital de Integración Social, intervino 29  equipamientos administrados durante el mes de junio, en modalidad de mantenimiento, preventivo o correctivo, para garantizar una atención de calidad a la ciudadanía.</t>
  </si>
  <si>
    <t>07/07/2022 No se generan observaciones respecto al análisis reportado para el seguimiento del indicador.</t>
  </si>
  <si>
    <t>En el marco del Plan de Desarrollo " Un nuevo contrato social y ambiental para el siglo XXI", la Secretaría Distrital de Integración Social, intervino 16 equipamientos administrados durante el mes de julio, en modalidad de mantenimiento, preventivo o correctivo, para garantizar una atención de calidad a la ciudadanía.</t>
  </si>
  <si>
    <t>En el marco del Plan de Desarrollo " Un nuevo contrato social y ambiental para el siglo XXI", la Secretaría Distrital de Integración Social, intervino 4 equipamientos administrados durante el mes de agosto, en modalidad de mantenimiento, preventivo o correctivo, para garantizar una atención de calidad a la ciudadanía.</t>
  </si>
  <si>
    <t xml:space="preserve">En el marco del Plan de Desarrollo " Un nuevo contrato social y ambiental para el siglo XXI", la Secretaría Distrital de Integración Social, ha intervenido 300 equipamientos, de los cuales durante el mes de septiembre finalizó la intervención de 8 equipamientos administrados en la modalidad de mantenimiento preventivo o correctivo, para garantizar una atención de calidad a la ciudadanía, en infraestructura segura y en condiciones de salubridad.
Lo anterior corresponde al 60.2% de ejecución que representa el 100.3% con respecto al avance del indicador.
</t>
  </si>
  <si>
    <t>11/10/2022 Verificar, el avance cuantitativo se reporta en diciembre, ya que el indicador presenta una periodicidad anual. Así mismo, se recomienda realizar un avance cuantitativo más específico, con el fin de evidenciar toda la gestión que realiza el proyecto de gestión respecto al cumplimiento de seguridad y salubridad de los inmuebles administrados por la entidad.
12/10/2022 No se generan observaciones respecto al análisis reportado para el seguimiento del indicador.</t>
  </si>
  <si>
    <t>Gestión de soporte y mantenimiento tecnológico</t>
  </si>
  <si>
    <t>SMT-001</t>
  </si>
  <si>
    <t>Circular No. 010 del 31/03/2022</t>
  </si>
  <si>
    <t>Satisfacción de los usuarios de la mesa de servicio.</t>
  </si>
  <si>
    <t>Calcular el porcentaje de satisfacción de los usuarios de la mesa de servicio  a través de la calificación otorgada en la herramienta Aranda (calificaciones entre 4 y 5), respecto a la meta porcentual establecida para el periodo, con el fin de evaluar la satisfacción de los usuarios de los servicios tecnológicos</t>
  </si>
  <si>
    <t xml:space="preserve">Solución efectiva y oportuna de los casos de la mesa de servicio </t>
  </si>
  <si>
    <t>Porcentaje de casos de mesa  de servicio calificados en la herramienta Aranda como excelente o bueno (puntajes entre 4 y 5) / Meta porcentual de satisfacción de los usuarios de la mesa de servicio para el periodo</t>
  </si>
  <si>
    <t>Reporte en Excel de la herramienta "Aranda" generada el  día 5 hábil de cada mes</t>
  </si>
  <si>
    <t>1. Identificar en el reporte mensual de la herramienta Aranda Query Manager, la cantidad de casos de mesa de servicio calificados como excelente o bueno (entre 4 y 5)  en el periodo.
2.  Identificar en el reporte mensual de la herramienta Aranda Query Manager, la cantidad de casos de mesa de servicio calificados en el periodo
3. Comparar el número de casos calificados como excelente o bueno, con el total de casos calificados.
4. Comparar el porcentaje anterior, con la meta porcentual de satisfacción de los usuarios de la mesa de servicio para el periodo</t>
  </si>
  <si>
    <t>Reporte en Excel de la herramienta  "Aranda"</t>
  </si>
  <si>
    <t xml:space="preserve">Al cierre del 31 de enero de 2022, los tickets en estado SOLUCIONADO fueron 56 y los tickets en estado CERRADO fueron 5.468 para un total de 5.524 tickets gestionados de manera efectiva, de los 5.960 casos totales (No se tienen en cuenta 58 casos en estado ANULADO. Sin embargo, 47 casos fueron anulados por falta de información, debido a que no se recibió la información completa por parte de los usuarios, en estos casos se realizo gestión por parte de los analistas MDS, se realizo seguimiento durante 3 días hábiles y se estableció comunicación con los usuarios, pero no se obtuvo respuesta). Adicional, se evidencia en los resultados que comparados con el mes anterior ingresaron 1.885 casos de más debido a la coyuntura de creación y activación de usuarios.
De los casos gestionados, los usuarios contestaron 1.295 encuestas de satisfacción, correspondiente al 23% de los casos gestionados. En 1.139 de las encuestas, la calificación del usuario sobre la satisfacción del servicio de la Mesa tuvo puntajes promedio de 4 a 5, es decir, BUENO o EXCELENTE (primer nivel 745 de 814 es decir un 92% de satisfacción y segundo nivel 394 de 481 es decir un 82% de satisfacción), obteniendo como resultado general un 88% de satisfacción de usuarios en estas calificaciones, que comparado con la meta del 90%, nos arroja un cumplimiento del indicador en un 98%. </t>
  </si>
  <si>
    <t>14/03/2022 No se generan observaciones respecto al análisis presentado en el seguimiento al indicador de gestión. Se deja la siguiente recomendación: adelantar las acciones pertinentes para lograr el cumplimiento con respecto a la meta propuesta.</t>
  </si>
  <si>
    <t>Al cierre del 28 de febrero de 2022, los tickets en estado SOLUCIONADO fueron 85 y los tickets en estado CERRADO fueron 6.225 para un total de 6.310 tickets gestionados de manera efectiva, de los 6.809 casos totales (No se tienen en cuenta 51 casos en estado ANULADO. 
De los casos gestionados, los usuarios contestaron 1.783 encuestas de satisfacción, correspondiente al 28% de los casos gestionados. En 1.490 de las encuestas, la calificación del usuario sobre la satisfacción del servicio de la Mesa tuvo puntajes promedio de 4 a 5, es decir, BUENO o EXCELENTE, obteniendo como resultado general un 84% de satisfacción de usuarios en estas calificaciones, que comparado con la meta del 90%, nos arroja un cumplimiento del indicador en un 93%.</t>
  </si>
  <si>
    <t xml:space="preserve">Al cierre del 31 de marzo de 2022, los tickets en estado SOLUCIONADO fueron 494 y los tickets en estado CERRADO fueron 4.876 para un total de 5.370 tickets gestionados de manera efectiva, de los 5.797 casos totales (No se tienen en cuenta 32 casos en estado ANULADO.
De los casos gestionados, los usuarios contestaron 1.675 encuestas de satisfacción, correspondiente al 31% de los casos gestionados. En 1.461 de las encuestas, la calificación del usuario sobre la satisfacción del servicio de la Mesa tuvo puntajes promedio de 4 a 5, es decir, BUENO o EXCELENTE, obteniendo como resultado general un 87% de satisfacción de usuarios en estas calificaciones, que comparado con la meta del 90%, nos arroja un cumplimiento del indicador en un 97%. </t>
  </si>
  <si>
    <t>19/04/2021 No se generan observaciones y/o recomendaciones respecto al análisis presentado en el seguimiento al indicador de gestión.</t>
  </si>
  <si>
    <t xml:space="preserve">Al cierre del 30 de abril de 2022, los tickets en estado SOLUCIONADO fueron 434 y los tickets en estado CERRADO fueron 3.028 para un total de 3.462 tickets gestionados de manera efectiva, de los 3.787 casos totales (No se tienen en cuenta 16 casos en estado ANULADO
De los casos gestionados, los usuarios contestaron 1.019 encuestas de satisfacción, correspondiente al 29% de los casos gestionados. En 878 de las encuestas, la calificación del usuario sobre la satisfacción del servicio de la Mesa tuvo puntajes promedio de 4 a 5, es decir, BUENO o EXCELENTE, obteniendo como resultado general un 86% de satisfacción de usuarios en estas calificaciones, que comparado con la meta del 90%, nos arroja un cumplimiento del indicador en un 96%. </t>
  </si>
  <si>
    <t>10/05/2022 No se generan observaciones respecto al análisis presentado en el seguimiento al indicador de gestión. Solo se tiene la siguiente recomendación: adelantar todas las acciones pertinentes para alcanzar a lograr la meta propuesta.</t>
  </si>
  <si>
    <t xml:space="preserve">Al cierre del 31 de mayo de 2022, los tickets en estado SOLUCIONADO fueron 251 y los tickets en estado CERRADO fueron 3.851 para un total de 4.106 tickets gestionados de manera efectiva, de los 4.470 casos totales (No se tienen en cuenta 52 casos en estado ANULADO).
De los casos gestionados, los usuarios contestaron 1.195 encuestas de satisfacción, correspondiente al 29% de los casos gestionados. En 1.061 de las encuestas, la calificación del usuario sobre la satisfacción del servicio de la Mesa tuvo puntajes promedio de 4 a 5, es decir, BUENO o EXCELENTE, obteniendo como resultado general un 89% de satisfacción de usuarios en estas calificaciones, que comparado con la meta del 90%, nos arroja un cumplimiento del indicador en un 99%. </t>
  </si>
  <si>
    <t>13/06/2022 No se generan observaciones y/o recomendaciones respecto al análisis presentado al indicador de gestión.</t>
  </si>
  <si>
    <t xml:space="preserve">Al cierre del 30 de junio de 2022, los tickets en estado SOLUCIONADO fueron 498 y los tickets en estado CERRADO fueron 3.110 para un total de 3.608 tickets gestionados de manera efectiva, de los 3.922 casos totales (No se tienen en cuenta 32 casos en estado ANULADO).
De los casos gestionados, los usuarios contestaron 1.071 encuestas de satisfacción, correspondiente al 26% de los casos gestionados. En 969 de las encuestas, la calificación del usuario sobre la satisfacción del servicio de la Mesa tuvo puntajes promedio de 4 a 5, es decir, BUENO o EXCELENTE, obteniendo como resultado general un 90% de satisfacción de usuarios en estas calificaciones, que comparado con la meta del 90%, nos arroja un cumplimiento del indicador en un 100%. </t>
  </si>
  <si>
    <t>12/07/2022 No se generan observaciones y/o recomendaciones respecto al análisis presentado al indicador de gestión.</t>
  </si>
  <si>
    <t xml:space="preserve">Al cierre del 31 de julio de 2022, los tickets en estado SOLUCIONADO fueron 287 y los tickets en estado CERRADO fueron 3.666 para un total de 3.953 tickets gestionados de manera efectiva, de los 4.164 casos totales (No se tienen en cuenta 23 casos en estado ANULADO).
De los casos gestionados, los usuarios contestaron 1.010 encuestas de satisfacción, correspondiente al 26% de los casos gestionados. En 916 de las encuestas, la calificación del usuario sobre la satisfacción del servicio de la Mesa tuvo puntajes promedio de 4 a 5, es decir, BUENO o EXCELENTE, obteniendo como resultado general un 91% de satisfacción de usuarios en estas calificaciones, que comparado con la meta del 90%, nos arroja un cumplimiento del indicador en un 101%. </t>
  </si>
  <si>
    <t>09/08/2022 No se generar observaciones y/o recomendaciones respecto al análisis presentado al indicador de gestión.</t>
  </si>
  <si>
    <t xml:space="preserve">Al cierre del 31 de agosto de 2022, los tickets en estado SOLUCIONADO fueron 644 y los tickets en estado CERRADO fueron 4.393 para un total de 5.037 tickets gestionados de manera efectiva, de los 5.473 casos totales (No se tienen en cuenta 24 casos en estado ANULADO).
De los casos gestionados, los usuarios contestaron 1.494 encuestas de satisfacción, correspondiente al 29% de los casos gestionados. En 1.377 de las encuestas, la calificación del usuario sobre la satisfacción del servicio de la Mesa tuvo puntajes promedio de 4 a 5, es decir, BUENO o EXCELENTE, obteniendo como resultado general un 92% de satisfacción de usuarios en estas calificaciones, que comparado con la meta del 90%, nos arroja un cumplimiento del indicador en un 102%. </t>
  </si>
  <si>
    <t>11/09/2022 No se generan observaciones y/o recomendaciones respecto al análisis presentado al indicador de gestión.</t>
  </si>
  <si>
    <t xml:space="preserve">Al cierre del 30 de septiembre de 2022, los tickets en estado SOLUCIONADO fueron 795 y los tickets en estado CERRADO fueron 4.240 para un total de 5.035 tickets gestionados de manera efectiva, de los 5.194 tickets totales (No se tienen en cuenta 42 tickets en estado ANULADO, en su mayoría por duplicidad). 
De los casos gestionados, los usuarios contestaron 1.377 encuestas de satisfacción, correspondiente al 27% de los casos gestionados. En 1.264 de las encuestas, la calificación del usuario sobre la satisfacción del servicio de la Mesa tuvo puntajes promedio de 4 a 5, es decir, BUENO o EXCELENTE, obteniendo como resultado general un 92% de satisfacción de usuarios en estas calificaciones, que comparado con la meta del 90%, nos arroja un cumplimiento del indicador en un 102%. </t>
  </si>
  <si>
    <t>11/10/2022 No se generan observaciones y/o recomendaciones respecto al análisis presentado al indicador de gestión.</t>
  </si>
  <si>
    <t>SMT-7741-002</t>
  </si>
  <si>
    <t>Circular No. 005 del 11/02/2022</t>
  </si>
  <si>
    <t>Casos gestionados a través de la mesa de servicios tecnológicos</t>
  </si>
  <si>
    <t>Calcular el porcentaje de casos recibidos por la mesa de servicios en un periodo de tiempo que fueron atendidos por la Subdirección de Investigación e Información, respecto a la meta porcentual establecida para el periodo, con el fin de medir la efectividad en la solución de las solicitudes de servicios tecnológicos por parte de la Subdirección de Investigación e Información.</t>
  </si>
  <si>
    <t>Gestión efectiva de los casos de la mesa de servicio tecnológica</t>
  </si>
  <si>
    <t xml:space="preserve">(Porcentaje de casos recibidos en mesa de servicio en el periodo, que se encuentren atendidos / Meta porcentual de atención de casos para el periodo) </t>
  </si>
  <si>
    <t>1. Identificar en el reporte mensual de la herramienta Aranda Query Manager, la cantidad de casos abiertos en el periodo que se encuentren en estado "solucionado" o estado "cerrado" 2.  Identificar en el reporte mensual de la herramienta Aranda Query Manager, la cantidad de casos abiertos en mesa de servicio en el periodo 3. Comparar el número de casos gestionados  (en estado "solucionado" o estado "cerrado")  con el total de casos recibidos en el periodo. 4. Comparar el porcentaje anterior, con la meta porcentual de atención de casos definida para el periodo.1. Extraer  de la herramienta Aranda Query Manager, un reporte  de los casos creados en el mes anterior
2. Identificar en el reporte mensual los casos creados cuyo especialista no pertenezca a la Subdirección de Investigación e Información
3. Identificar en el reporte mensual los casos creados  que se encuentren en estado "anulado"
4. Crear un reporte depurado del número de casos del periodo, eliminando del reporte mensual extraído de la herramienta Aranda Query Manager (punto 1) los casos que no fueron asignados a la Subdirección de Investigación e Información (punto 2) así como los casos en estado "anulado" (punto 3) 
5. Identificar en el reporte mensual  depurado (punto 4)  la cantidad de casos creados que fueron gestionados (casos se encuentren en estado "solucionado" o en estado "cerrado")
 6. Dividir el número de casos gestionados  (punto 5) sobre el número depurado de casos creados en el periodo (punto 4). 
7. Dividir el porcentaje anterior (punto 6), con la meta porcentual de gestión de casos definida para el mes.</t>
  </si>
  <si>
    <t>Reporte en Excel de la herramienta  "Aranda" sobre los casos de la Mesa de servicios tecnológicos creados en el mes de medición.</t>
  </si>
  <si>
    <t xml:space="preserve">Al cierre del 31 de enero de 2022, los tickets en estado SOLUCIONADO fueron 56 y los tickets en estado CERRADO fueron 5.468 para un total de 5.524 tickets gestionados de manera efectiva, de los 5.960 casos totales (No se tienen en cuenta 58 casos en estado ANULADO, de los cuales 47  fueron anulados por falta de información). Con lo cual el resultado de atención fue de 93%, que comparado con la meta del 95% se logra un cumplimiento del 98% de lo planeado. En comparación con el mes de diciembre 2021 se evidencia un aumento de 1.885 casos relacionados con la coyuntura de creación y activación de usuarios.
Durante el mes, 362 casos quedaron en estado SUSPENDIDO, los cuales 347 pertenecen a primer nivel (283 por falta de licencia de correo, 33 por repuestos),11 a segundo nivel de infraestructura y 4  a segundo nivel desarrollo.
59 casos quedaron  en estado EN PROCESO, de los cuales 5 pertenecen a primer nivel, 4 a segundo nivel de infraestructura, 1 a segundo nivel de desarrollo, 49 al proveedor Gran Imagen (impresoras).
14 casos quedaron en estado REGISTRADO, de los cuales 8 pertenecen a primer nivel, 1 a segundo nivel infraestructura y 5 a proveedor Gran Imagen (impresoras).
1 caso quedo  en estado DESAPROBADO, el cual pertenece a primer nivel.
La mayoría de los casos se relacionaron con Directorio Activo (2.226), Sirbe (519),  IOPS (511), AZ Digital (458), Seven (424), Información de usuario (369), Correo (212), Laser (198), Equipo Completo (144), Celular (111) y Focalización (108). </t>
  </si>
  <si>
    <t xml:space="preserve">Al cierre del 28 de febrero de 2022, los tickets en estado SOLUCIONADO fueron 85 y los tickets en estado CERRADO fueron 6.225 para un total de 6.310 tickets gestionados de manera efectiva, de los 6.809 casos totales (No se tienen en cuenta 51 casos en estado ANULADO). Obteniendo como resultado de atención un 93%, que comparado con la meta del 95% se logra un cumplimiento del 98% de lo planeado. 
Durante el mes, 359 casos quedaron en estado SUSPENDIDO, los cuales 336 pertenecen a primer nivel (222 por falta de licencia de correo, 53 por repuestos entre otros),17 a segundo nivel de infraestructura y 6  a segundo nivel desarrollo y servicios.
118 casos quedaron  en estado EN PROCESO, de los cuales 11 pertenecen a primer nivel, 3 a segundo nivel de infraestructura, 2 a segundo nivel desarrollo y  servicios, 102 al proveedor Gran Imagen (impresoras).
13 casos quedaron en estado REGISTRADO, de los cuales 11 pertenecen a primer nivel, 1 a segundo nivel infraestructura y 1 segundo nivel desarrollo y  servicios.
8 caso quedo  en estado DESAPROBADO, el cual pertenece 1 a primer nivel, 1 a segundo nivel desarrollo, 6 al proveedor Gran Imagen (impresoras).
1 caso quedo  en estado PENDIENTE el cual pertenece a segundo nivel infraestructura.
 La mayoría de los casos se relacionaron con Directorio Activo (1.970), IOPS (864), Sirbe (764), Información de usuario (504), AZ Digital (495), Seven (395), Equipo Completo (358),  Laser (304),Correo (252), CPU (133) y Focalización (106). </t>
  </si>
  <si>
    <t xml:space="preserve">Al cierre del 31 de marzo de 2022, los tickets en estado SOLUCIONADO fueron 494 y los tickets en estado CERRADO fueron 4.876 para un total de 5.370 tickets gestionados de manera efectiva, de los 5.797 casos totales (No se tienen en cuenta 32 casos en estado ANULADO. Obteniendo como resultado de atención un 93%, que comparado con la meta del 95% se logra un cumplimiento del 98% de lo planeado. 
Durante el mes, 252 casos quedaron en estado SUSPENDIDO, los cuales 197 pertenecen a primer nivel (109 por falta de licencia de correo, 65 por repuestos, entre otros),50 a segundo nivel de infraestructura y 5 a segundo nivel desarrollo y servicios.
96 casos quedaron  en estado EN PROCESO, de los cuales 3 pertenecen a primer nivel, 9 a segundo nivel de infraestructura, 10 a segundo nivel desarrollo y  servicios, 74 al proveedor Gran Imagen (impresoras).
26 casos quedaron en estado REGISTRADO, de los cuales 17 pertenecen a primer nivel, 4 a segundo nivel infraestructura, 3 segundo nivel desarrollo y  servicios y 2 al proveedor Gran Imagen (impresoras).
21 casos quedaron  en estado DESAPROBADO, el cual pertenece 1 a segundo nivel infraestructura, 12 a segundo nivel desarrollo y 8 al proveedor Gran Imagen (impresoras).
La mayoría de los casos se relacionaron con Directorio Activo (1.224), IOPS (726), Sirbe (684), AZ Digital (410),  Focalización (394), Seven (351), Laser (326), Equipo Completo (317), Información de usuario (253), Correo (251) y CPU (136). </t>
  </si>
  <si>
    <t>07/04/2022 No se generan observaciones respecto al análisis presentado en el seguimiento al indicador de gestión. Se deja la siguiente recomendación: adelantar las acciones pertinentes para lograr el cumplimiento con respecto a la meta propuesta.</t>
  </si>
  <si>
    <t xml:space="preserve">Al cierre del 30 de abril de 2022, los tickets en estado SOLUCIONADO fueron 434 y los tickets en estado CERRADO fueron 3.028 para un total de 3.462 tickets gestionados de manera efectiva, de los 3.787 casos totales (No se tienen en cuenta 16 casos en estado ANULADO). Obteniendo como resultado de atención un 96%, que comparado con la meta del 95% se logra un cumplimiento del 101% de lo planeado. 
Durante el mes, 225 casos quedaron en estado SUSPENDIDO, los cuales 210 pertenecen a primer nivel (105 por falta de licencia de correo, 33 por  citas pactadas, 30 por falta de documentación y/o información, 27 por repuestos, entre otros),10 a segundo nivel de infraestructura y 5 a segundo nivel desarrollo y servicios.
76 casos quedaron  en estado EN PROCESO, de los cuales 55 al proveedor Gran Imagen (impresoras), 13 pertenecen a primer nivel, 5 a segundo nivel de infraestructura, 3 a segundo nivel desarrollo y servicios.
21 casos quedaron en estado REGISTRADO, de los cuales 15 pertenecen a primer nivel, 1 a segundo nivel infraestructura, 5 segundo nivel desarrollo y  servicios.
2 casos quedaron  en estado DESAPROBADO, el cual pertenece 1 a primer nivel, 1 a segundo nivel desarrollo.
1 caso quedo  en estado PENDIENTE, el cual pertenece 1 a segundo nivel infraestructura.
 La mayoría de los casos se relacionaron con Directorio Activo (763), Sirbe (680), IOPS (290), Focalización (249), AZ Digital (248), Equipo Completo (234), Seven (221), Laser (184), Información de usuario (179), CPU (139) y Correo (120). </t>
  </si>
  <si>
    <t>09/05/2022 No se generan observaciones respecto al análisis presentado en el seguimiento al indicador de gestión.</t>
  </si>
  <si>
    <t xml:space="preserve">Al cierre del 31 de mayo de 2022, los tickets en estado SOLUCIONADO fueron 251 y los tickets en estado CERRADO fueron 3.855 para un total de 4.106 tickets gestionados de manera efectiva, de los 4.470 casos totales (No se tienen en cuenta 52 casos en estado ANULADO). Obteniendo como resultado de atención un 92%, que comparado con la meta del 95% se logra un cumplimiento del 97% de lo planeado. 
Durante el mes, 241 casos quedaron en estado SUSPENDIDO, los cuales 211 pertenecen a primer nivel (97 por falta de licencia de correo, 41 por repuestos, 25 por  citas pactadas, entre otros),30 a segundo nivel (infraestructura e inventarios SII).
95 casos quedaron  en estado EN PROCESO,  los cuales 75 pertenecen al proveedor Gran Imagen (impresoras), 13 pertenecen a segundo nivel  y 7 pertenecen a primer nivel.
27 casos quedaron en estado REGISTRADO, de los cuales 15 pertenecen a primer nivel, 7 a segundo nivel y 5 al proveedor Gran Imagen (impresoras).
1 caso quedo  en estado DESAPROBADO, el cual pertenece a segundo nivel fábrica de software.
 La mayoría de los casos se relacionaron con Directorio Activo (940), Sirbe (682), IOPS (405), AZ Digital (398), Laser (300), Información de usuario (245), Focalización (222), Seven (215), Correo (185), CPU (141) y Equipo Completo (140). </t>
  </si>
  <si>
    <t>09/06/2022 No se generan observaciones respecto al análisis presentado en el seguimiento al indicador de gestión. Se deja la siguiente recomendación: adelantar todas las acciones pertinentes para lograr cumplir con la meta propuesta.</t>
  </si>
  <si>
    <t xml:space="preserve">Al cierre del 30 de junio de 2022, los tickets en estado SOLUCIONADO fueron 498 y los tickets en estado CERRADO fueron 3.110 para un total de 3.608 tickets gestionados de manera efectiva, de los 3.922 casos totales (No se tienen en cuenta 32 casos en estado ANULADO). Obteniendo como resultado de atención un 92%, que comparado con la meta del 95% se logra un cumplimiento del 97% de lo planeado. 
Durante el mes, 158 casos quedaron en estado SUSPENDIDO, los cuales 134 pertenecen a primer nivel (35 por  citas pactadas, 28 pendientes por falta de documentación, 23 por licencia de correo, 22 por repuestos, entre otros),22 a segundo nivel y 2 al proveedor Gran Imagen.
100 casos quedaron  en estado EN PROCESO,  de los cuales 79 pertenecen al proveedor gran imagen, 13 pertenecen a primer nivel y 8 pertenecen a segundo nivel.
35 casos quedaron en estado REGISTRADO, de los cuales 27 pertenecen a primer nivel y 8 a segundo nivel.
.
3 caso quedo  en estado DESAPROBADO, de los cuales 2 pertenecen al proveedor gran imagen y 1 pertenecen a segundo nivel.
 La mayoría de los casos se relacionaron con Directorio Activo (600), Sirbe (584),  Focalización (384), AZ Digital (353), Seven (348), Laser (302), IOPS (293), Información de usuario (159), Correo (144), Equipo Completo (140) y CPU (89). </t>
  </si>
  <si>
    <t>11/07/2022 No se generan observaciones respecto al análisis presentado en el seguimiento al indicador de gestión. Se deja la siguiente recomendación: continuar con todas las acciones para cumplir con la meta propuesta.</t>
  </si>
  <si>
    <t>Al cierre del 31 de julio de 2022, los tickets en estado SOLUCIONADO fueron 287 y los tickets en estado CERRADO fueron 3.666 para un total de 3.953 tickets gestionados de manera efectiva, de los 4.164 casos totales (No se tienen en cuenta 23 casos en estado ANULADO). Obteniendo como resultado de atención un 95%, que comparado con la meta del 95% se logra un cumplimiento del 100% de lo planeado. 
Durante el mes, 169 casos quedaron en estado SUSPENDIDO, los cuales 152 pertenecen a primer nivel (69 por licencia de correo, 26 Escalado a especialistas, 14 pendientes por falta de documentación, 12 por repuestos, entre otros) y 17 a segundo nivel.
18 casos quedaron  en estado EN PROCESO,  de los cuales 9 pertenecen a primer nivel, 8 pertenecen a segundo nivel y 1 al proveedor Solution Copy.
15 casos quedaron en estado REGISTRADO, de los cuales 7 pertenecen a primer nivel y 8 a segundo nivel.
2 casos quedaron en estado DESAPROBADO, los cuales pertenecen a segundo nivel.
2 casos quedaron  en estado PENDIENTE, los cuales de los cuales 1 pertenece a primer nivel y 1 a segundo nivel.
La mayoría de los casos se relacionaron con Directorio Activo (966), Sirbe (580), Laser (569), AZ Digital (385), Seven (259), IOPS (229), Correo (217), Focalización (217), Información de usuario (168) y Equipo Completo (109).</t>
  </si>
  <si>
    <t>05/08/2022 No se generan observaciones y/o recomendaciones respecto al análisis presentado en el seguimiento al indicador de gestión.</t>
  </si>
  <si>
    <t>Al cierre del 31 de agosto de 2022, los tickets en estado SOLUCIONADO fueron 644 y los tickets en estado CERRADO fueron 4.393 para un total de 5.037 tickets gestionados de manera efectiva, de los 5.473 casos totales (No se tienen en cuenta 24 casos en estado ANULADO). Obteniendo como resultado de atención un 92%, que comparado con la meta del 95% se logra un cumplimiento del 97% de lo planeado. 
Durante el mes, 302 casos quedaron en estado SUSPENDIDO, los cuales 277 pertenecen a primer nivel (135 por licencia de correo, 56 pendientes por falta de documentación, 31 por cita pactada con el usuario, 30 por repuestos, entre otros) y 25 a segundo nivel.
46 casos quedaron en estado REGISTRADO, de los cuales 8 pertenecen a primer nivel y 38 a segundo nivel.
38 casos quedaron  en estado EN PROCESO,  de los cuales 18 pertenecen a primer nivel, 14 pertenecen a segundo nivel y 6 al proveedor solution copy.
.
4 caso quedo  en estado PENDIENTE, los cuales de los cuales 1 pertenece a primer nivel y 3 a segundo nivel.
2 caso quedo  en estado DESAPROBADO, los cuales pertenecen a segundo nivel.
 La mayoría de los casos se relacionaron con Directorio Activo (1.492), Sirbe (837), IOPS (467), Laser (460), AZ Digital (402), Seven (319), Focalización (251), Correo (234), Información de usuario (178), CPU (162) y Equipo Completo (141).</t>
  </si>
  <si>
    <t>Al cierre del 30 de septiembre de 2022, los tickets en estado SOLUCIONADO fueron 795 y los tickets en estado CERRADO fueron 4.240 para un total de 5.035 tickets gestionados de manera efectiva, de los 5.194 tickets totales (No se tienen en cuenta 42 tickets en estado ANULADO, en su mayoría por duplicidad). Obteniendo como resultado de atención un 97%, que comparado con la meta del 95% se logra un cumplimiento del 102% de lo planeado. 
Durante el mes, 82 casos quedaron en estado SUSPENDIDO, los cuales 63 pertenecen a primer nivel (25 por repuestos, 19 por garantía, 17 por cita pactada, entre otros) y 19 a segundo nivel.
41 casos quedaron  en estado EN PROCESO,  de los cuales 25 pertenecen a primer nivel, 14 pertenecen a segundo nivel y 2 al proveedor Solution Copy.
34 casos quedaron en estado REGISTRADO, de los cuales 16 pertenecen a primer nivel y 18 a segundo nivel.
2 casos quedaron  en estado DESAPROBADO, de los cuales 1 pertenece a primer nivel y 1 a segundo nivel.
 La mayoría de los casos se relacionaron con Directorio Activo (1.307), Sirbe (832), AZ Digital (411), Equipo Completo (352), IOPS (467), Seven (324), Focalización (307),  Laser (254), Información de usuario (251), Correo (192) y CPU (160), entre otros.</t>
  </si>
  <si>
    <t>GC-001</t>
  </si>
  <si>
    <t>Circular No. 010 - 31/03/2022</t>
  </si>
  <si>
    <t>Implementación de la gestión del conocimiento</t>
  </si>
  <si>
    <t>Determinar el porcentaje de cumplimiento de las actividades planificadas para la implementación de la Gestión del conocimiento de acuerdo con los lineamientos definidos por la Política de Gestión del Conocimiento y la Innovación en el marco del MIPG.</t>
  </si>
  <si>
    <t>Ejecución de las actividades de implementación de la Gestión del conocimiento programadas en el periodo.</t>
  </si>
  <si>
    <t>(Porcentaje promedio de avance en las actividades ejecutadas / Porcentaje promedio programado para las actividades identificadas en el Plan de  implementación de Gestión del conocimiento planificadas) *100</t>
  </si>
  <si>
    <t>Plan de implementación de Gestión del conocimiento</t>
  </si>
  <si>
    <t>1. Para el cálculo del numerador se tomarán las actividades programadas para el periodo de reporte en el Plan de Implementación de Gestión del Conocimiento y se tomará el porcentaje promedio de avance en tales  actividades .
2. Para el Denominador se tomará el porcentaje promedio programado para el periodo.</t>
  </si>
  <si>
    <t>1. Plan de implementación de Gestión del conocimiento con reportes de seguimiento</t>
  </si>
  <si>
    <t xml:space="preserve">Para el mes de enero, se inició la formulación del plan de implementación de gestión del conocimiento 2022 de la SDIS. Esto de acuerdo a lo definido en el Plan de ajuste y sostenibilidad del MIPG.
Para la primera versión se incluyeron aspectos tales como: 1. Actividades que, en la vigencia anterior 2021, se señalaron debían ser adelantadas durante el presente año. 2.Revisión nuevamente de los resultados obtenidos y observaciones generadas en el autodiagnóstico en el plan de acción del Modelo Integrado de Gestión y Planeación (MIPG) para ser incluidos en la planeación institucional. 3. Los resultados con baja calificación remitidos por la Veeduría Distrital en el Índice de Innovación Pública. 
Asimismo, para esta primera versión se hicieron reuniones semanales con el equipo, se les compartió lo que se iba adelantando y se les notificaba a terceros relacionados con tareas del plan. </t>
  </si>
  <si>
    <t>15/03/2022. No se generan observaciones o recomendaciones respecto al análisis presentado en el seguimiento al indicador de gestión.</t>
  </si>
  <si>
    <t>Para el mes de febrero se adelantó la consolidación del plan de implementación del proceso de gestión del conocimiento en la SDIS 2022. Para ello, se han adelantado seis versiones con el equipo que conforma el proceso.
Asimismo, se ha convocado y compartido con terceros relacionados con tareas del plan, con: el área de Talento Humano, los encargados de la subdirección de alianzas estratégicas y el equipo de investigación. Esto a fin de terminar la consolidación del total de actividades del plan. 
Se está cualificando la forma en la que se va medir trimestralmente el plan para cada una de las actividades propuestas. Se espera para el mes de marzo finalizar la formulación del plan, oficializarlo e iniciar su implementación. Esto una vez se aprobado por la directora del DADE y lo remitido a la Subdirección.
Por último, se asistieron a talleres del diligenciamiento del FURAG, el cual ha servido como insumo para la consolidación del plan de implementación de gestión del conocimiento de la presente vigencia.</t>
  </si>
  <si>
    <t>17/03/2022
No se generan observaciones o recomendaciones respecto al análisis presentado en el seguimiento al indicador de gestión.
15/03/2022. Se solicita ajustar a 0% la cifra reportada de ejecución e incluir la cifra de programación para el bimestre puesto que el Plan de Implementación, el cual es la evidencia del indicador, registra 0% de avance para la única actividad programa en el periodo. Como el método de cálculo del indicador se aplica sobre las actividades programadas y ejecutadas del Plan durante el periodo, los avances en su construcción y consolidación no pueden contar como actividades ejecutadas dentro del Plan por lo que no se puede registrar avance del 100% sobre una programación del 100%.
Adicionalmente, se recomienda ajustar la periodicidad del indicador a trimestral para que coincida con el seguimiento trimestral del Plan y el indicador pueda mostrar información sobre el avance en la implementación del Plan.</t>
  </si>
  <si>
    <t>En el mes de marzo se oficializó el plan de implementación de Gestión del Conocimiento vigencia 2022, mediante memorando I2022012083.Para ello, se concretaron las actividades, fechas, metas, indicadores, responsables, etc., y se añadieron nuevas actividades al plan conforme con las indicaciones y observaciones señaladas por la directora de DADE para un total de 19 actividades.
Igualmente, de acuerdo con lo programado en el plan de implementación de gestión del conocimiento, se cumplió con la totalidad del porcentaje programado de la actividad No.8 (24 documentos revisados que equivalen al 53% programado)para el primer trimestre del año, la cual consiste en identificar los documentos para revisar, actualizar, derogar, autoevaluar o transferir los documentos del proceso que hacen parte del Sistema de Gestión, actividad que resultó en la decisión de derogarlos.</t>
  </si>
  <si>
    <t>19/04/2022
No se generan observaciones o recomendaciones respecto al análisis presentado en el seguimiento al indicador de gestión.
12/04/2022. Se solicita ajustar la cifra reportada de ejecución e incluir la cifra de programación para el trimestre ajustada. El análisis explica que "se cumplió en un 100% la actividad No. 8 programada para el primer trimestre" pero la actividad tiene programadas actividades entre enero y octubre -no únicamente en el primer trimestre- por lo cual no es posible que la totalidad de la actividad se haya ejecutado en el primer trimestre. Sugiero explicar que la totalidad de la programación del periodo de 24 (de 45) documentos revisados se cumplió en su totalidad. Es importante mencionar también en qué consiste la actividad 8 (documentos revisados) para que el lector sepa en qué consistió el avance puesto que él no conoce el plan en detalle.</t>
  </si>
  <si>
    <t>De acuerdo con lo programado en el plan de implementación de gestión del conocimiento, se cumplió con la totalidad de las actividades programadas, las cuales son: No.1, 3,5,7,8,9, 10, 11, 12, 13 y 15. En este orden de ideas según lo programado para abril se avanzó en un 7,3%.</t>
  </si>
  <si>
    <t xml:space="preserve">De acuerdo a lo programado para el mes de mayo en el plan de implementación de gestión de conocimiento se avanzó en un 7,3%. Para ello, se remitieron a revisión metodológica documentos como procedimientos y manuales, se adelantaron reuniones de coordinación para la realización de los grupos focales con jóvenes que participaron del programa Parceros por Bogotá, se realzó un proceso de validación de los documentos para la recolección de conocimiento y se llevó acabo el espació de innovación de la escuela territorial. </t>
  </si>
  <si>
    <t>10/06/2022
No se generan observaciones o recomendaciones respecto al análisis presentado en el seguimiento al indicador de gestión.</t>
  </si>
  <si>
    <t>De acuerdo con lo programado, para el mes de junio para el plan de implementación de gestión del conocimiento se avanzó en un 7,4% para un cumplimiento del 22% acorde con lo programado para el segundo trimestre. Para ello, se recibieron las observaciones del equipo del Sistema de Gestión sobre la revisión metodológica de los procedimientos y manuales para hacer los ajustes respectivos, se adelantaron reuniones con el Laboratorio de Innovación Público IBO y, se llevó a cabo la prueba piloto de los grupos focales con jóvenes de la cuarta cohorte de la Estrategia Parceros por Bogotá. Asimismo, se adelantaron las sesiones de innovación programadas por la Escuela Territorial; y se desarrolló la metodología y formatos para la recolección de conocimiento tácito y explícito para la construcción del mapa de conocimiento de la SDIS. Finalmente, se realizó seguimiento a la matriz que contiene el listado de los documentos del proceso para actualizar, derogar, autoevaluar, etc.</t>
  </si>
  <si>
    <t>12/07/2022
No se generan observaciones o recomendaciones respecto al análisis presentado en el seguimiento al indicador de gestión.</t>
  </si>
  <si>
    <t>En el mes de julio se hizo seguimiento al plan de implementación de gestión del conocimiento. De acuerdo con lo programado en el periodo se hizo una reunión para atender las observaciones realizadas al procedimiento de innovación, se llevó a cabo un espacio de ideación y coocreación con la universidad Javeriana, se realizó seguimiento a los laboratorios de Innovación Pública para la transparencia - estrategia "Conmigo sí es" con las 16 propuestas innovadoras que surgieron a final de año en las subdirecciones locales. Asimismo, se realizó seguimiento a la matriz que contiene el listado de los documentos del proceso para actualizar, derogar, autoevaluar, etc. Por otro lado, se adelantaron las sesiones de innovación programadas por la Escuela Territorial; se adelantaron presentaciones, formatos para la recolección de conocimiento tácito y explícito y una capacitación piloto para la construcción del mapa de conocimiento de la SDIS. Se atendieron las observaciones realizadas al manual para la implementación de la ruta de política de gestión del conocimiento. En conjunto con Talento Humano se desarrollaron las capacitaciones virtuales en Power Bi, y Power Automate de analítica institucional. Finalmente, con la Subsecretaría se adelantaron memorandos para la formalización de alianzas con fundaciones y universidades.</t>
  </si>
  <si>
    <r>
      <t>Durante el mes de agosto se llevó a cabo una segunda revisión con el fin de validar la pertinencia y claridad del flujo de actividades del procedimiento para la generación e implementación de acciones de innovación; se identificaron oportunidades de mejora orientadas a definir puntos de control estratégicos y establecer activos de información más específicos. Estos ajustes se aplicaron tanto en el flujograma como en el formato diseñado para el registro del procedimiento y en el documento descriptivo de este. También se realizó un espacio de cocreación entre diferentes áreas de la entidad para definir estrategias en contra del fenómeno del hambre. Se realizó la difusión del micro curso Innovación Social a 84 personas vinculadas a la SDIS. Se llevó a cabo la caracterización de las primeras 5 cohortes de Jóvenes Reto para empezar a dilucidar resultados del programa. S</t>
    </r>
    <r>
      <rPr>
        <sz val="9"/>
        <color rgb="FF000000"/>
        <rFont val="Arial"/>
        <family val="2"/>
      </rPr>
      <t xml:space="preserve">e revisaron los documentos anexos al proceso GESCO, y se identificó la necesidad de actualizarlos; razón por la cual se les envío vía correo electrónico a los responsables un recordatorio para que se lleve a cabo la actualización de cada documento. </t>
    </r>
    <r>
      <rPr>
        <sz val="9"/>
        <color theme="1"/>
        <rFont val="Arial"/>
        <family val="2"/>
      </rPr>
      <t>Se presentó la Política Pública para las Familias, mecanismos de implementación. Se socializó la propuesta de construcción del mapa de gestión del conocimiento a los(as) directivos(as) en el Comité Institucional de Gestión y Desempeño. Se ajustaron los formularios de captura de conocimiento de acuerdo con las observaciones recibidas por parte de las gestoras de dependencia y procesos de la DADE en el marco de la prueba piloto.</t>
    </r>
  </si>
  <si>
    <t>09/09/2022
No se generan observaciones o recomendaciones respecto al análisis presentado en el seguimiento al indicador de gestión.</t>
  </si>
  <si>
    <t>De acuerdo con lo programado para el mes de septiembre en el plan de implementación de gestión del conocimiento se avanzó en las actividades previstas para el tercer trimestre con un cumplimiento del 29%. Para ello, se continuó con el flujo de revisión metodológica del procedimiento de innovación, producto de ello se atendieron las recomendaciones hechas por la profesional del Sistema de Gestión. Se participó en la sesión de iBO Talks 'Habilitantes de la innovación'. Se creó el repositorio con 95 documentos relacionados con innovación, para el curso de innovación se solicitó a la Oficina Asesora de Comunicaciones el envío de los mensajes masivos con las condiciones de participación. Se llevó a cabo la estructura del documento de experimentación en forma de boletín. Se notificó a los responsables del "Procedimiento articulación de la SDIS con Universidades y Centros de Investigación para la realización de investigaciones sociales" que debían continuar con la actualización del documento. 
Asimismo, se continuó e hicieron los últimos ajustes al Manual para la implementación de ruta de la política de Gestión del Conocimiento para su oficialización. Se elaboró la idea borrador 1 del concurso "Innovar en lo social". Para la construcción del mapa de conocimiento se llevaron a cabo jornadas de capacitación con los gestores de dependencia y procesos. Igualmente, se elaboró un documento para el registro de lecciones aprendidas.
Se identificaron 9 aplicativos y 69 formatos de la Entidad, con el fin de consolidar el estado del arte de la captura de información básica de los(as) usuarios(as). Por otro lado, se llevaron a cabo las inscripciones de proyectos al Concurso "Mejores Equipos de trabajo 2022". Se cumplió con lo previsto en alianzas estratégicas en la Alcaldía Mayor de Bogotá junto con el Ministerio de Desarrollo Urbano de Buenos Aires. Finalmente, se elaboró el cronograma de actividades de socialización de la Política de Gestión del Conocimiento y la Innovación.</t>
  </si>
  <si>
    <t>4.Adelantar un proceso de modernización y mejora del desempeño institucional, garantizando la transparencia, integridad y seguimiento y control, que incluya el rediseño de la estructura organizacional, la reestructuración del proceso de contratación y el desarrollo de una estrategia de retroalimentación y evaluación de la entidad en territorio.</t>
  </si>
  <si>
    <t>TH-001</t>
  </si>
  <si>
    <t>Circular No. 010 del 31/03/2022.</t>
  </si>
  <si>
    <t>Disminución de la brecha de conocimiento mediante las jornadas de capacitación</t>
  </si>
  <si>
    <t>Monitorear el comportamiento de la brecha generada entre el conocimiento existente y el esperado, con la implementación del plan institucional de capacitación PIC</t>
  </si>
  <si>
    <t>Aplicación oportuna del test pre y post por parte de los capacitadores</t>
  </si>
  <si>
    <t>(número de personas que superaron la calificación inicial de evaluación pre / número de personas que diligenciaron la evaluación pre y post)100.</t>
  </si>
  <si>
    <t xml:space="preserve">Formatos de evaluación pre y post diligenciado
</t>
  </si>
  <si>
    <t>Primero registrar para cada servidor participante, el valor de la evaluación pre test y luego registrar el valor de la evaluación post test, posteriormente calcular del 100% de las personas que diligenciaron la evaluación pre y post test, cuántos incrementaron su calificación.</t>
  </si>
  <si>
    <t>Base de datos con resultados de evaluaciones Pre y Post test con el porcentaje de incremento individual que contenga el número de personas que alcanzaron superar la brecha</t>
  </si>
  <si>
    <t>Durante el mes de enero se construyó, revisó y adoptó el Plan Institucional de Capacitación para la vigencia 2022</t>
  </si>
  <si>
    <t>15/03/2022
No se generan observaciones ni recomendaciones para el periodo.</t>
  </si>
  <si>
    <t>Durante este mes no se llevaron a cabo actividades de capacitación a las que se les aplique la medición de cierre de brecha, teniendo en cuenta que solo se realizó la inducción institucional al personal nuevo en la entidad y no contempla la aplicación de esta medición.</t>
  </si>
  <si>
    <t>Durante el mes de marzo se dio inicio a los diplomados en ejecución del Plan Institucional de Capacitación, los cuales tienen una duración de 100 horas y contarán con la medición de cierre de brecha una vez finalizadas las horas proyectadas, lo cual se estima que se de en el mes de junio. 
Igualmente, para el tema de redacción y ortografía, que dio inicio durante este mismo mes, una vez finalicen las 12 horas de formación para todos los grupos, se realizará la medición, lo cual se estima que finalice en el mes de abril.</t>
  </si>
  <si>
    <t>18/04/2022
No se generan observaciones ni recomendaciones para el periodo.</t>
  </si>
  <si>
    <t>Durante el mes de abril se realizó la capacitación en Redacción y Ortografía a la cual  se le realizó la medición de cierre de brecha. De este tema, 32 servidores y servidoras participantes diligenciaron la evaluación pre y post, obteniendo que un total de 23 servidores y servidoras aumentaron su conocimiento.  
Lo que representa un 72% de disminución de brecha de conocimiento para el período.</t>
  </si>
  <si>
    <t>12/05/2022
No se generan observaciones ni recomendaciones para el periodo.</t>
  </si>
  <si>
    <t>Para el mes de mayo se desarrolló la capacitación en Gestión Documental y Archivo, la cuál se realizó en dos (2) grupos de formación. 
Para el grupo uno (1), de los  26  participantes que diligenciaron la evaluación pre y post,  17 de ellos aumentaron su conocimiento, lo que representa un 65% de disminución de brecha.
Para el grupo dos (2), de los  29  participantes que diligenciaron la evaluación pre y post,  21 de ellos aumentaron su conocimiento, lo que representa un 72% de disminución de brecha.
Lo que representa un 69% de disminución de brecha de conocimiento para el período.</t>
  </si>
  <si>
    <t xml:space="preserve">13/06/2022
No se generan observaciones para el periodo. 
Se recomienda asegurar que el reporte del segundo trimestre que contiene datos cuantitativos, coincida con los cualitativos que se han reportado para los meses de abril y mayo. </t>
  </si>
  <si>
    <t xml:space="preserve">Para el mes de junio se finalizó la capacitación en Contratación Estatal, la cual contó con veinte (20) horas de formación y de la que participaron un total de 42 servidores y servidoras. Para este grupo de formación, de los  33  participantes que diligenciaron la evaluación pre y post,  29 de ellos aumentaron su conocimiento, lo que representa un 88% de disminución de brecha o mejora en el conocimiento.
Durante este mismo mes, se dio inicio a la capacitación en herramientas ofimáticas TICS, de la cual, a la fecha, han participado dos (2) grupos de doce (12) horas de formación. Para este tema, de los 26 servidores y servidoras participantes que diligenciaron la evaluación pre y post, 18 de ellos aumentaron su conocimiento, lo que representa un 69% de disminución de brecha o mejora en el conocimiento. 
La disminución de brecha de conocimiento para el período es de 79%
</t>
  </si>
  <si>
    <t>12/07/2022
En las evidencias: Mes de abril se observan 23 personas que aumentaron su conocimiento, no 26, revisar.
14/07/2022
No se identifican observaciones adicionales para el reporte del periodo. Para el próximo trimestre, se sugiere remitir la evidencia en formato editable (Excel) con el propósito de facilitar la validación de los datos cuantitativos reportados.</t>
  </si>
  <si>
    <t>Durante el mes de julio se finalizaron las capacitaciones en Herramientas TICS (comunicación virtual (zoom, meet, teams)), con un total de doce (12) horas de formación y Herramientas Ofimáticas Excel, con un total de veinticuatro (24) horas de formación. Para el grupo de formación en TICS, de los 17 participantes que diligenciaron la evaluación pre y post, 15 de ellos aumentaron su conocimiento, lo que representa un 88% de disminución de brecha o mejora en el conocimiento.
Para el caso de Herramientas Ofimáticas Excel, de los 47 servidores y servidoras participantes que diligenciaron la evaluación pre y post, 45 de ellos aumentaron su conocimiento, lo que representa un 96% de disminución de brecha o mejora en el conocimiento. 
La disminución de brecha de conocimiento para el período es del 92 %</t>
  </si>
  <si>
    <t>11/08/2022
No se generan observaciones ni sugerencias para el periodo de reporte.</t>
  </si>
  <si>
    <t>Durante el mes de agosto no se realizaron actividades de capacitación, teniendo en cuenta que durante este mes se llevó a cabo la etapa contractual para la ejecución de las actividades previstas en el Plan Institucional de Capacitación de la vigencia 2022</t>
  </si>
  <si>
    <t>09/09/2022
No se generan observaciones para el periodo de reporte. Se sugiere adelantar la gestión pertinente para dar cumplimiento a la meta programada para el tercer trimestre.</t>
  </si>
  <si>
    <t>Durante el mes de septiembre no se realizaron actividades  en el marco del plan de capacitación, teniendo en cuenta que durante este mes aún se encontraba adelantando los trámites contractuales con la persona jurídica que ejecutaría en adelante el citado plan. 
Para el trimestre reportado se llevaron a cabo dos actividades de capacitación a las que se les aplicó la medición de cierre de brecha:
1). Formación en TICS, de los 17 participantes que diligenciaron la evaluación pre y post, 15 de ellos aumentaron su conocimiento
2). Herramientas Ofimáticas Excel, de los 47 servidores y servidoras participantes que diligenciaron la evaluación pre y post, 45 de ellos aumentaron su conocimiento.
La disminución de brecha de conocimiento para el período es del 94 %</t>
  </si>
  <si>
    <t>11/10/2022
Se sugiere incluir el tema de capacitación realizado y la fecha de ejecución en los archivos entregados como evidencia. 
Se sugiere para los siguientes reportes verificar que los análisis mensuales entregados concuerden con el dato cuantitativo del trimestre, toda vez que lo reportado en el mes de julio difiere de la cifra calculada para el III trimestre y corresponde a las mismas dos capacitaciones.
12/10/2022
No se generan observaciones ni sugerencias adicionales para el periodo de reporte.</t>
  </si>
  <si>
    <t>TH-002</t>
  </si>
  <si>
    <t>Medición del nivel de satisfacción de los funcionarios frente a las actividades para el bienestar</t>
  </si>
  <si>
    <t>Establecer el nivel de satisfacción de los funcionarios frente a las actividades del plan de bienestar</t>
  </si>
  <si>
    <t xml:space="preserve">Diligenciamiento oportuno de encuestas de satisfacción </t>
  </si>
  <si>
    <t>(Número total de personas con nivel  de satisfacción excelente en el periodo + número total de personas con nivel de satisfacción bueno en el periodo)  / (Número total de personas encuestadas en el periodo según la muestra)*100</t>
  </si>
  <si>
    <t>Encuestas diligenciadas</t>
  </si>
  <si>
    <r>
      <t xml:space="preserve">Medir  las actividades ejecutadas del plan de bienestar el grado de satisfacción sobre una muestra de funcionarios participantes. Calcular la suma del número de personas que contestaron la encuesta como "excelente" y "bueno" y sumar sus resultados . El resultado anterior se relaciona con el número de personas encuestadas, según la muestra. 
</t>
    </r>
    <r>
      <rPr>
        <b/>
        <u/>
        <sz val="11"/>
        <rFont val="Arial"/>
        <family val="2"/>
      </rPr>
      <t/>
    </r>
  </si>
  <si>
    <t xml:space="preserve">Una Matriz de encuestas tabuladas de satisfacción </t>
  </si>
  <si>
    <t xml:space="preserve">Durante el mes de enero se elaboró, revisó y aprobó el Plan Anual de Bienestar e Incentivos vigencia 2022, y fue publicado en la página web de la entidad. </t>
  </si>
  <si>
    <t>Durante el mes de febrero se llevaron a cabo 15 actividades programadas en el marco de la ejecución del Plan Anual de Bienestar, 12 de ellas relacionadas con los grupos de Coro, Danza y Teatro, 1 actividad de envío de tarjetas de cumpleaños  y 2 actividades a las que se les aplicó la encuesta de satisfacción así: 
1). Charla Pre pensionados sobre “traslado de fondo”, para esta actividad 32 personas respondieron la encuesta de satisfacción y la percepción de impacto positivo en la calidad de vida laboral y personal, de esta actividad fue del 90,6%, mientras un 9,4% manifestó no percibir un impacto positivo en su calidad de vida laboral y/o personal asociado a la actividad. 
Entre los comentarios recibidos por parte de los asistentes se encuentran, conocimiento sobre régimen pensional, aclarar dudas respecto a las pensiones, toma informada de decisiones, y conocer beneficios, entre otros.
2). Desayuno de bienvenida como terminación del proceso de inducción institucional de los nuevos funcionarios y funcionarias que ingresaron en el marco de la Convocatoria Distrito IV, para esta actividad 232 personas contestaron la encuesta de satisfacción, el 99.6% percibe un impacto positivo en su calidad de vida, mientras un 0.4% manifiesta no percibir un impacto positivo en su calidad de vida laboral y/o personal.
Entre los comentarios recibidos por parte de los asistentes, la actividad contribuye a su aprendizaje, motivación, conocimiento, integración y sentido de pertenencia por la institución.</t>
  </si>
  <si>
    <t>De las 36 actividades desarrolladas durante el primer trimestre de 2022,  se llevaron encuestas sobre 4 de ellas, toda vez, que la mayoría de actividades se encuentran pendientes de cierre y consolidación de productos finales, con lo cual, aún no han sido aplicadas las encuestas de satisfacción en su totalidad. Las actividades a las cuales se les aplicó esta encuesta son: 2 dirigidas a pre-pensionados, 1 Ciclo de conferencias a Mujeres; y 1 a la bienvenida de los nuevos servidores de la Convocatoria Distrito IV.
A continuación el detalle:
1. Dos (2) Charlas Pre pensionados:
1.1 traslado de fondo: para esta actividad 32 personas respondieron la encuesta de satisfacción y la percepción de impacto positivo en la calidad de vida laboral y personal, de esta actividad fue del 90,6%, mientras un 9,4% manifestó no percibir un impacto positivo en su calidad de vida laboral y/o personal asociado a la actividad.  
1.2 Manejo del Tiempo Libre: para esta actividad, el 37.8% manifestó sentirse super feliz durante el encuentro, seguido de un 56.6 % que manifestó haberse sentido feliz durante el encuentro, un 4.4% que manifestó haberse sentido bien y un 2.2% manifestó haberse sentido mal (no se encuentran comentarios relacionados con esta percepción).
2. Desayuno de bienvenida como terminación del proceso de inducción institucional de los nuevos funcionarios y funcionarias que ingresaron en el marco de la Convocatoria Distrito IV, para esta actividad 232 personas contestaron la encuesta de satisfacción, el 99.6% percibe un impacto positivo en su calidad de vida, mientras un 0.4% manifiesta no percibir un impacto positivo en su calidad de vida laboral y/o personal. Entre los comentarios recibidos por parte de los asistentes, la actividad contribuye a su aprendizaje, motivación, conocimiento, integración y sentido de pertenencia por la institución. 
3. Ciclo de Conferencia “hablando de Mujeres y Feminismos”, de las 107 personas que respondieron la encuesta, el 38.3% manifestó sentirse super feliz durante el encuentro, seguido de un 42.1 % que manifiesta haberse sentido feliz durante el encuentro, un 15.9% que manifiesta haberse sentido bien, en porcentajes menores al 1% se manifiestan opiniones frente a la dinámica y contenido de la conferencia.</t>
  </si>
  <si>
    <t>18/04/2022
Ajustar dato cuantitativo y análisis cualitativo ya que según la evidencia, el número de personas que contestaron como satisfactorias las encuestas fueron 408.
Se sugiere aplicar las respectivas encuestas de satisfacción a la totalidad de las actividades desarrolladas y reportar los resultados obtenidos en el siguiente trimestre con el fin de asegurar el seguimiento a todas las actividades de bienestar que la entidad ha estado implementando.
18/04/2022
No se generan recomendaciones ni sugerencias adicionales para el periodo reportado.</t>
  </si>
  <si>
    <t xml:space="preserve">Durante el mes de abril se ejecutaron 7 actividades, con la cuales se llegó a un número considerable de servidores y servidoras. Si bien, muchas de las actividades desarrolladas tenían como público objetivo todos y todas los servidores de la SDIS, indistintamente de su vinculación, hubo una gran participación de los servidores de planta. 
La percepción del impacto que se obtuvo con el desarrollo de las actividades, arroja como positivo en la calidad de vida laboral y personal, de los participantes. El 90,6%, considera las actividades como positivas, mientras un 9,4% manifestó no percibir un impacto positivo en su calidad de vida laboral y/o personal asociado a la actividad. 
Entre los comentarios recibidos por parte de los asistentes se encuentran, conocimiento sobre temas de salud y como evitar enfermedades. Además, reconocen que son temas que contribuyen a su aprendizaje, motivación, conocimiento, integración y sentido de pertenencia por la institución, así como a incentivar en su trabajo la importancia del tema. </t>
  </si>
  <si>
    <t>Durante el mes de mayo se ejecutaron las siguientes actividades, a las cuales se les aplicó la encuesta de satisfacción: 
1.) Jornada liberada Proyectos sociales y académicos, sobre la cual se diligenciaron 814 respuestas, de las cuales, un 37% manifestó sentirse muy satisfecho, mientras el 55% indicó sentirse satisfecho, frente a un 8% que manifestó sentirse regular con la actividad.
2.) Jornada liberada Derechos Sexuales y reproductivos , se obtuvo un diligenciamiento de 799 encuestas de satisfacción, de las cuales se identificó que un 33% manifestó sentirse muy satisfecho, un 55% que afirmó sentirse satisfecho; frente a un 11% que expresó sentirse regular con la actividad.
3.) Acondicionamiento físico, el 73% de los participantes afirmó sentirse muy satisfecho con la actividad, frente a un 27% que afirmó sentirse satisfechos y consideran que dicha actividad genera un impacto positivo en su calidad de vida. 
4.) Arte y cultura, frente a como se sintió con la actividad un 60% manifestó haberse sentido muy satisfecho, el 35% satisfecho y un 5% manifestó sentirse regular; en general se manifestó tener un impacto positivo en su calidad de vida frente a la actividad.</t>
  </si>
  <si>
    <t>Durante el mes de junio se ejecutaron las siguientes actividades, a las cuales se les aplicó la encuesta de satisfacción: 
1) Jornadas realizadas sobre Liderazgo (531), diligenciada por el total de los asistentes, de los cuales, frente a la percepción sobre cómo se sintieron el 49.3% afirmó sentirse feliz, el 26% afirmó sentir super feliz y el 25% afirmó sentirse bien y solo el 0,6% afirmó sentirse mal
2) Violencia de Genero y amor romántico (471), de los cuales respondieron la encuesta de satisfacción 372 personas de la siguiente forma: frente a la percepción sobre cómo se sintieron el 44.1% afirmó sentirse feliz, el 40% afirmó sentirse súper feliz, el 15.3% afirmó sentirse bien y solo el 0,8% afirmó sentirse mal.
3) Cultivando nuestro Bienestar Emocional (119) personas respondieron la encuesta, frente a la cual el 38% afirmó sentirse súper feliz, el 50% feliz y el 3% bien.
4) Olimpiadas SDIS 2022  (384) personas respondieron la encuesta frente a la cual el 55% afirmó sentirse súper feliz, el 25% feliz, el 17% bien y el 4% afirmó sentirse mal
Durante el trimestre abril-junio se aplicaron encuestas a trece (13) actividades, con un total de 3.809 participantes que respondieron dichas encuestas, de los cuales 1332 afirmaron sentirse súper feliz y 2109 feliz, lo que nos arroja un 90% de nivel de satisfacción por parte de los funcionarios, en el periodo.</t>
  </si>
  <si>
    <t>12/07/2022:
La sumatoria señalada en rojo no coincide con los 3.441 reportados como ejecutado, revisar y ajustar.
14/07/2022
No se identifican observaciones ni recomendaciones adicionales para el reporte del periodo.</t>
  </si>
  <si>
    <t>Durante el mes de julio se ejecutaron las siguientes actividades, a las cuales se les aplicó la encuesta de satisfacción: 
1). Taller Estereotipos de género y nuevas masculinidades: 50 personas respondieron la encuesta de la siguiente forma; 14% afirmó sentirse Súper feliz, 56% afirmó sentirse feliz y 30% afirmó sentirse bien.
2). Charla sobre relaciones positivas (65), de los cuales respondieron la encuesta de satisfacción 52 personas de la siguiente forma: 44 % afirmó sentirse feliz, el 34% afirmó sentir super feliz y el 22 afirmó sentirse bien.
3). Meditación en el trabajo (13): de los cuales respondieron la encuesta de satisfacción 9 personas de la siguiente forma: 60 % afirmó sentirse feliz, el 30% afirmó sentir super feliz y el 10 % afirmó sentirse bien.  
4). Actividad física del 25 de Julio: 6 personas respondieron la encuesta de satisfacción de la siguiente forma: 66,7% afirmó sentirse feliz, el 16,7% afirmó sentir super feliz y el 16,6 % afirmó sentirse regular.
5). Actividad física del 29 de Julio: 20 personas respondieron la encuesta de satisfacción de la siguiente forma: 40% afirmó sentirse feliz, el 30% afirmó sentir super feliz y el 30 % afirmó sentirse bien.</t>
  </si>
  <si>
    <t>Para el mes de agosto de 2022, se ejecutó 1 actividad, a la cual se le aplicó encuesta de satisfacción:
1). Taller actividad física: Esta actividad se llevó a cabo el día 26 de agosto de 2022, con asistencia de 17 servidores y colaboradores de la SDIS, 10 de los asistentes diligenciaron la encuesta de satisfacción, 40% manifestó sentirse "super feliz" durante la actividad, 40% manifestó sentirse "feliz" durante la actividad y el 20% manifestó sentirse "bien" durante la actividad.</t>
  </si>
  <si>
    <t>09/09/2022
No se generan observaciones ni sugerencias para el periodo de reporte.</t>
  </si>
  <si>
    <t>Para el mes de septiembre se realizaron 7 actividades en el marco del plan de bienestar social 2022, una vez aplicadas las encuestas de satisfacción correspondientes a estas actividades se obtienen los siguientes resultados:
1. Taller inteligencia emocional: Esta actividad se llevó a cabo el día 02 de septiembre de 2022, con asistencia de 386 servidores(as) y colaboradores(as) de la SDIS, 386 diligenciaron la encuesta de satisfacción, 31% manifestó sentirse "Súper Feliz" durante la actividad, 51% manifestó sentirse "feliz" durante la actividad y el 19% manifestó sentirse "bien" durante la actividad.
2. Taller cuidando nuestra casa en común: Esta actividad se llevó a cabo el día 02 de septiembre de 2022, con asistencia de 247 servidores(as) y colaboradores(as) de la SDIS, 247 diligenciaron la encuesta de satisfacción, 27% manifestó sentirse "Súper Feliz" durante la actividad, 49% manifestó sentirse "feliz" durante la actividad y el 23% manifestó sentirse "bien" durante la actividad.
3. Taller Sexualidad en la primera Infancia: Esta actividad se llevó a cabo el día 02 de septiembre de 2022, con asistencia de 397 servidores(as) y colaboradores(as) de la SDIS, 397 diligenciaron la encuesta de satisfacción, 30% manifestó sentirse "Súper Feliz" durante la actividad, 45% manifestó sentirse "feliz" durante la actividad y el 23% manifestó sentirse "bien" durante la actividad.
4. Taller Salud Mental y Enfoque Diferencial: Esta actividad se llevó a cabo el día 02 de septiembre de 2022, con asistencia de 53 servidores(as) y colaboradores(as) de la SDIS, 35 diligenciaron la encuesta de satisfacción, 37% manifestó sentirse "Súper Feliz" durante la actividad, 46% manifestó sentirse "feliz" durante la actividad y el 17% manifestó sentirse "bien" durante la actividad.
5. Caminatas Ecológicas SDIS: Esta actividad se llevó a cabo el día 16 de septiembre de 2022, con asistencia de 42 servidores(as) y colaboradores(as) de la SDIS, 38 diligenciaron la encuesta de satisfacción, 68% manifestó sentirse "Súper Feliz" durante la actividad, 29% manifestó sentirse "feliz" durante la actividad y el 3% manifestó sentirse "bien" durante la actividad.
6. Taller Prevención del consumo de sustancias psicoactivas: Esta actividad se llevó a cabo el día 21 de septiembre de 2022, con asistencia de 22 servidores(as) y colaboradores(as) de la SDIS, 22 diligenciaron la encuesta de satisfacción, 27% manifestó sentirse "Súper Feliz" durante la actividad, 59% manifestó sentirse "feliz" durante la actividad y el 14% manifestó sentirse "bien" durante la actividad.
7. Taller Prevención del embarazo temprano: Esta actividad se llevó a cabo el día 21 de septiembre de 2022, con asistencia de 43 servidores(as) y colaboradores(as) de la SDIS, 43 diligenciaron la encuesta de satisfacción, 7% manifestó sentirse "Súper Feliz" durante la actividad, 60% manifestó sentirse "feliz" durante la actividad y el 33% manifestó sentirse "bien" durante la actividad.
Durante el trimestre julio-septiembre se aplicaron encuestas a trece (13) actividades de las desarrolladas en el marco del Plan de Bienestar e Incentivos 2022, con un total de 1.315 participantes que respondieron las encuestas, de los cuales 391 afirmaron sentirse súper feliz y 634 feliz, lo que nos arroja un 78% de nivel de satisfacción por parte de los funcionarios, en el periodo reportado.</t>
  </si>
  <si>
    <t>11/10/2022
En concordancia con los análisis elaborados para los meses anteriores se sugiere indicar cuáles fueron las actividades a las que les fueron aplicadas las encuestas. 
12/10/2022
No se generan observaciones ni sugerencias adicionales para el periodo de reporte.</t>
  </si>
  <si>
    <t>TH-007</t>
  </si>
  <si>
    <t xml:space="preserve">Cobertura del Plan de Bienestar e Incentivos </t>
  </si>
  <si>
    <t>Fomentar la participación de los servidores públicos de la entidad, en las actividades formuladas en el plan de bienestar e incentivos.</t>
  </si>
  <si>
    <t>Participación de los Servidores públicos de la Entidad</t>
  </si>
  <si>
    <t>Número de Servidores públicos participantes/ Número total de servidores públicos activos en el periodo.</t>
  </si>
  <si>
    <t>Listados de Asistencia y/o Documentos que sustenten la participación en la actividad</t>
  </si>
  <si>
    <t>Una Matriz con los nombres de los servidores y todas las actividades en las que participó, y cuando sean presenciales se tomarán los listados de asistencia y se relacionaran en la matriz.
Nota : Todas las participaciones en las diferentes actividades, de los servidores públicos, serán registradas en la Matriz, sin embargo para efectos de cobertura solo se tendrá en cuenta una participación por servidor durante la vigencia.</t>
  </si>
  <si>
    <t>Matriz de control de participación en actividades programadas de Bienestar (Documento No Controlado)</t>
  </si>
  <si>
    <t>Durante el mes de enero se elaboró, revisó y aprobó el Plan Anual de Bienestar e Incentivos vigencia 2022, y fue publicado en la página web de la entidad. 
No se cuenta con encuestas de satisfacción por tratarse de actividades de planeación.</t>
  </si>
  <si>
    <t xml:space="preserve">Durante el mes de febrero se llevaron a cabo 15 actividades programadas, con las cuales se impactó un total de 614 servidores en el marco de la ejecución del Plan Anual de Bienestar, así: 
Componente formativo: 
*Charla- Pre pensionados sobre “traslado de fondo”, a la cual asistieron 56 personas. 
*Desayuno de bienvenida como terminación del proceso de inducción institucional de los nuevos funcionarios y funcionarias que ingresaron en el marco de la Convocatoria Distrito IV, con una asistencia de 314 personas. 
Componente social: 
*Actividad de CORO: 4 sesiones, con una asistencia de 36 personas. 
*Actividad de DANZA: 4 sesiones, con una asistencia de 44 personas. 
*Actividad de TEATRO: 4 sesiones, con una asistencia de 29 personas. No se tiene la percepción de estas actividades (coro, danza y teatro), puesto que aun se encuentran en ejecución).               
*Tarjetas de cumpleaños: para el periodo que se reporta, fueron enviadas 135 tarjetas de cumpleaños  a funcionarios y funcionarias  </t>
  </si>
  <si>
    <t>Durante el primer trimestre de 2022 se llevaron a cabo 36 actividades, algunas de ellas programadas en el marco de la ejecución del Plan Anual de Bienestar 2021, y otras (cumpleaños y actividades a coste cero) programadas en el Plan Anual de Bienestar 2022. Dentro de las actividades desarrolladas, 13 de ellas fueron relacionadas con las sesiones de los talleres de Coro, Danza y Teatro, con un número de 116 personas; 8 actividades relacionadas con visitas de Tu Boleta para la redención de Bonos de navidad y Cumpleaños otorgados en el marco de la ejecución del Contrato 10428 de 2021 suscrito entre la SDIS y el Instituto Distrital de Artes (IDARTES), apoyando a 181 servidores y servidoras en la redención de los Bonos; 3 visitas por parte de compensar brindando asesoría en salud y Caja de Compensación a 30 personas en el Nivel Central; 3 actividades de envío de tarjetas de cumpleaños con las cuales se impactaron 449 a servidores y servidoras SDIS; 3 actividades en el marco del Ciclo de conferencias por la conmemoración del Día Internacional de la mujer a las que asistieron 167 personas; 2 actividades para prepensionados llegando a 101 personas de la SDIS con dicho perfil; 1 campaña en conmemoración del Día Internacional de la mujer con la que se llegó a 4.000 personas de la SDIS; 1 actividad relacionada con las Olimpiadas llegando a 650 personas; 1 actividad de bienvenida para los nuevos servidores que ingresaron en el marco del Plan Anual de Bienestar e Incentivos, al cual asistieron 314 personas.
Para el cálculo del indicador se tuvieron en cuenta las actividades en las que se impactaron a los servidores de planta durante el período reportado, para un total de 1105 y con una Planta definida de 2175 empleos para la Entidad, logramos un 51% de avance sobre la meta.</t>
  </si>
  <si>
    <t>18/04/2022
En la evidencia entregada  se indica un total de 6024 participantes y no se identifican las 1105 personas impactadas según lo reportado. Se debe tener en cuenta que en el soporte del indicador se debe poder verificar el numerador y denominador del indicador para el periodo reportado.
18/04/2022
No se generan recomendaciones ni sugerencias adicionales para el periodo reportado.</t>
  </si>
  <si>
    <t>Durante el mes de abril se llevaron a cabo 7 actividades, con las cuales se impactaron  1.638 personas en el marco de la ejecución del Plan Anual de Bienestar. Dichas actividades fueron: 
*Jornada Liberada “importancia de la actividad física”, a la cual asistieron 812 personas. 
*Jornada Liberada “alimentación en la Mujer, la cual tuvo una asistencia de 450 personas. 
*Taller de Niños y niñas, con los cuales se obtuvo un promedio de asistencia de 139 personas a todas las jornadas. 
*Visitas de Tu boleta para la redención de bonos otorgados, con una atención a 46 servidores de la SDIS. 
*Actividad de Rumbaterapia el cual buscó motivar a los asistentes de realizar actividades físicas de forma alternativa, con una asistencia de 16 personas. 
*Charla sobre prevención del Suicidio, la cual buscó sensibilizar sobre un tema, con una asistencia de 148 personas.*Charla sobre Diversidad Sexual y de Género, con una asistencia de 27 personas.</t>
  </si>
  <si>
    <t>Durante el mes de mayo se llevaron a cabo 14 actividades, con las cuales se impactaron 4.336 personas en el marco de la ejecución del Plan Anual de Bienestar. Dichas actividades fueron: 
* Jornadas Liberadas (2)  Proyectos sociales y académicos de Transformación con un número de asistencia de 814; Derechos sexuales y derechos reproductivos con una participación de 799 personas. 
* Sesiones de acondicionamiento físico (3): la primera llevada a cabo el 24/05/2022 con un número de participantes de 18 personas; la segunda el 25/05/2022 con una participación de 3 personas; y la tercera con una participación de 8 personas. 
* Días culturales (2): el primero de este el día 27/05/2022 con una participación de 56 funcionarios y funcionarias sin contar sus familias; el 28/05/2022 con una participación de 26 funcionarios y funcionarias sin contar sus familias. 
* Inauguración de las Olimpiadas SDIS 2022; con una participación de 1000 personas. 
* Desarrollo de los torneos en las diferentes disciplinas con una participación de 1.112 personas. 
* Taller sobre hábitos de vida saludables con una participación de 45 personas. 
* Charla de clima organizacional “reconéctate con tu sentido de vida”, con una asistencia de 121 personas. 
* Taller de actividad física; Autocuidado emocional, físico, intelectual, y social, con una participación de 18 de personas.
* Olimpiadas SDIS 2022  cierre, con una participación de 200 personas. 
* Se remitieron 116 tarjetas de cumpleaños a los servidores y servidores que cumplieron año durante el periodo que reporta. Para verificar el índice de cobertura durante el periodo.</t>
  </si>
  <si>
    <t>13/06/2022
No se generan observaciones ni recomendaciones para el periodo.</t>
  </si>
  <si>
    <t>Durante el mes de junio se llevaron a cabo 9 actividades, con las cuales se impactaron a 2.559 servidores y servidoras de la SDIS en el marco de la ejecución del Plan Anual de Bienestar e Incentivos. Dichas actividades fueron: 
* Jornadas Liberadas (3) con una participación en total de 1.858 persona: Liderazgo (531), violencia de Género y amor romántico (471), y Cultivando nuestro bienestar emocional (856). 
* Un taller de prevención de riesgo de suicidio, con un número de participantes de 126 personas. 
* Un taller sobre manejo del estrés “con el tiempo en las manos” con una participación de 54 personas. 
* Una de actividad física de forma presencial en la comunidad de Cuidado Bosque popular de la Subdirección para la Vejez con una participación de 17 personas. 
* Socialización del Plan Anual de Bienestar e Incentivos con una participación de 60 personas. 
* Una feria de Vivienda en articulación con Compensar, en diferentes fechas (Casa Rosada, Santa Fe, Chapinero, Tunjuelito y San Cristóbal), logrando impactar 444 servidores y servidoras. 
* En aras de aportar en el salario emocional de los servidores se remitieron 144 tarjetas de cumpleaños a los servidores y servidores que cumplieron durante el periodo reportado. 
El balance del trimestre da cuenta de que se contó con 8.533 participaciones de servidores (as) públicos en actividades del Plan de Bienestar.
Para el cierre del indicador se va a tomar la actividad de la Celebración del Día de la Familia SDIS con la cual se llegó al 100%  de los servidores y servidoras (1766) y no los 8.533, por que con solo esta actividad se da cobertura al 100% de los servidores(as) de la Entidad.
No obstante aunque ya se haya cumplido la meta de cobertura, se dará continuidad con las actividades programadas, para alcanzar una mayor participación de servidores en estas.</t>
  </si>
  <si>
    <t>12/07/2022
En el análisis no es claro por qué primero se dice que en el mes de junio se impactaron 2,559 servidores(doras), pero luego se dice que en el trimestre se tuvo una cobertura del 100% con 1,766, ajustar la redacción. Ahora bien en las evidencias se tiene que se impactaron a 8533, habría que poner esta cifra en el ejecutado y en el programado el total de servidores activos para el periodo, revisar.
14/07/2022
No se identifican observaciones ni recomendaciones adicionales para el reporte del periodo.</t>
  </si>
  <si>
    <t>Durante el mes de julio se llevaron a cabo 6 actividades, con las cuales se impactaron a 322 servidores y servidoras de la SDIS en el marco de la ejecución del Plan Anual de Bienestar e Incentivos. Dichas actividades fueron: 
1). Taller sobre estereotipos de género y nuevas masculinidades con un número de participantes de 50 personas
2).  Taller sobre relaciones positivas, con un número de participantes de 65 personas. 
3). Talleres sobre prácticas de meditación at work. La participación fue de 13 personas.
4). Feria financiera en el nivel central con una participación de 151 servidores y servidoras. 
5). Actividad física en la Subdirección de Engativá, con la participación de 12 personas. 
6). Actividad física en la Subdirección de san Cristóbal con la participación de 31 personas.</t>
  </si>
  <si>
    <t>Durante el mes de agosto de 2022 se ejecutó 1 de 4 actividades programadas impactando a 17 servidores(as) y colaboradores(as), las 3 actividades restantes correspondientes a ferias de servicios en subdirecciones locales y charla /taller a costo 0 ", fueron reprogramadas debido a condiciones logísticas y contractuales no se ejecutaron según planeación.</t>
  </si>
  <si>
    <t xml:space="preserve">
Durante el trimestre julio-septiembre 2022 se contó con 2.074 participaciones de servidores (as) públicos en actividades desarrolladas del Plan de Bienestar e Incentivos.
Aún cuando se cumplió con la meta de cobertura en el trimestre anterior, se ha dado continuidad con las actividades programadas, para alcanzar una mayor participación de servidores y servidoras de la Entidad en estas.
No se registran datos numéricos considerando que la meta ya fue cumplida desde el trimestre anterior.</t>
  </si>
  <si>
    <t>11/10/2022
No se generan observaciones ni sugerencias para el periodo de reporte.</t>
  </si>
  <si>
    <t>TH-008</t>
  </si>
  <si>
    <t xml:space="preserve">Circular No 023 del 25/07/2022 </t>
  </si>
  <si>
    <t>Frecuencia de Accidentalidad</t>
  </si>
  <si>
    <t>Monitorear el  comportamiento de la accidentalidad, con el fin de implementar acciones de prevención y corrección de los agentes causantes.</t>
  </si>
  <si>
    <t>Reporte oportuno de accidentes de trabajo por parte de colaboradores</t>
  </si>
  <si>
    <t>(N° accidentes de trabajo del periodo / N° total de Colaboradores activos del periodo)* 100</t>
  </si>
  <si>
    <t>*Formato único de reportes de accidentes de trabajo
*Matriz Registros de accidentalidad 
* Base de datos ARL
* Bases de datos de funcionarios de planta y contratistas</t>
  </si>
  <si>
    <t>Determinar el número de accidentes presentados en un periodo,  en relación con el número total de los colaboradores activos de la entidad. Para lo cual se tendrá en cuenta la siguiente tabla de rangos:
Rango % Avance
0 a 2,00% - 100% Sobresaliente
2,01% a 4,00% - 75% Satisfactorio
&gt; 4,01% - 50% Deficiente
Nota: La línea de referencia para este indicador es 2.0% mensual, lo que significa que los valores superiores generan una alerta y los inferiores un buen desempeño.</t>
  </si>
  <si>
    <t>Base de datos de accidentalidad</t>
  </si>
  <si>
    <t>En el mes de Enero 2022 se presentaron 52 eventos,  los cuales han sido reportados a la ARL Positiva, de estos accidentes 35 fueron por causa del COVID-19 (prueba confirmada) que corresponde al 67% de los accidentes ocurridos en el mes, el otro 33% corresponden a accidentes ocurridos por Golpes, lesiones múltiples, violencia y torceduras.
Para un total de 10411 entre funcionarios de planta y contratistas la frecuencia de la accidentalidad fue de 0,5%
A fin de reducir la accidentalidad se realizaron las siguientes acciones:
* Se estableció el cronograma de inspecciones 2022  para todas las Unidades Operativas de la SDIS .
* Se realizaron Inspecciones locativas, de emergencias y de verificación del Protocolo de Bioseguridad a las Unidades Operativas.
• Se estableció el cronograma de actividades de capacitación vigencia 2022, de acuerdo con la identificación de los riesgos y peligros a que se encuentran expuestos, capacitación en protocolo de Bioseguridad y prevención de caídas para el mes de febrero de 2022.</t>
  </si>
  <si>
    <t>En el mes de febrero 2022 se presentaron 42 eventos,  los cuales han sido reportados a la ARL Positiva, de estos accidentes 22 fueron por causa de golpes o contusiones que corresponde al 52% de los accidentes ocurridos en el mes, el otro 48% corresponde a accidentes ocurridos por COVID-19, torcedura esguince, golpe herida, trauma superficial, herida y lesiones múltiples.
Para un total de 10263 entre funcionarios de planta y contratistas la frecuencia de la accidentalidad fue de 0,41%
A fin de reducir la accidentalidad se realizaron las siguientes acciones:
* Se realizaron Inspecciones locativas, de emergencias y de verificación del Protocolo de Bioseguridad a las Unidades Operativas.
• Se realizaron actividades contenidas en el cronograma de actividades de capacitación vigencia 2022, de acuerdo a la identificación de los riesgos y peligros a que se encuentran expuestos, capacitación en protocolo de Bioseguridad y prevención de riesgos en el 2022.</t>
  </si>
  <si>
    <t xml:space="preserve">En el mes de abril  2022 se presentaron 37 eventos,  los cuales han sido reportados a la ARL Positiva, de estos accidentes 4 fueron por riesgo biomecánico correspondiente al 10.81%  3 por peligro biológico correspondiente al 8.10%  y 30 por condiciones de seguridad correspondientes a el 81.08%, para este mes se contaron con 1778 trabajadores de planta y 8604 contratistas para un total de 10.382 funcionarios, la frecuencia de la accidentalidad fue de 0,36%, porcentaje por debajo del techo fijado.
Con el fin de reducir la accidentalidad se realizaron las siguientes acciones:
* Se realizaron Inspecciones locativas, de emergencias y de verificación del Protocolo de Bioseguridad a las Unidades Operativas.
• Se realizaron capacitaciones según cronograma de actividades de capacitación vigencia 2022
</t>
  </si>
  <si>
    <t>En el mes de mayo 2022 se presentaron 46 eventos,  los cuales han sido reportados a la ARL Positiva, de estos accidentes 30 fueron por causa de golpes que corresponden al 65% de los accidentes ocurridos en el mes, el otro 35% corresponden a accidentes ocurridos por heridas, torcedura, trauma superficial, lesiones múltiples y conmoción o trauma interno
Para un total de 10.485 entre funcionarios de planta y contratistas la frecuencia de la accidentalidad fue de 0,44%
Con el fin de reducir la accidentalidad se realizaron las siguientes acciones:
* Seguimiento a los procesos de investigación de los accidentes de trabajo ocurridos
* Se realizó seguimiento a la ejecución del cronograma de inspecciones 2022 para todas las Unidades Operativas de la SDIS  frente al proceso de visitas
* Se realizaron Inspecciones locativas de emergencias y de verificación del Protocolo de Bioseguridad a las Unidades Operativas programadas para el periodo evaluado.
• Se hizo seguimiento a la ejecución del cronograma de actividades de capacitación vigencia 2022, de acuerdo con la identificación de riesgos y peligros a que se encuentran expuestos, capacitación en prevención de caídas, riesgo público y generalidades de atención en emergencias.</t>
  </si>
  <si>
    <t>En el mes de junio 2022 se presentaron 19 eventos, los cuales han sido reportados a la ARL Positiva, de estos accidentes 10 fueron por causa de golpes que corresponden al 53% de los accidentes ocurridos en el mes, el 16% corresponden a accidentes ocurridos por torcedura, esguince, desgarro muscular, herida o laceración de músculo o tendón, y el 31% restante por trauma, luxación, conmoción, quemadura y herida.
Para un total de 8.964 entre funcionarios de planta y contratistas la frecuencia de la accidentalidad fue de 0,21%, por debajo de la línea de referencia fijada.
Con el fin de reducir la accidentalidad se realizaron las siguientes acciones:
* Se realiza seguimiento a la ejecución del cronograma de inspecciones 2022 para todas las Unidades Operativas de la SDIS frente al proceso de visitas y verificación de hallazgos.
* Seguimiento a los casos COVID-19 (prueba confirmada), por parte del equipo de medicina laboral.
* Seguimiento permanente a las medidas de intervención identificadas.
* Seguimiento a la ejecución del cronograma de actividades de capacitación vigencia 2022, de acuerdo a la identificación de los riesgos y peligros a que se encuentran expuestos, capacitación en manejo de emergencias manejo de extintores, control de fugas y derrames, prevención de autocuidado y accidentalidad, manejo seguro de sustancias químicas y primeros auxilios psicológicos, prevención de caídas.</t>
  </si>
  <si>
    <t>12/07/2022
No se generan observaciones ni recomendaciones para el periodo.</t>
  </si>
  <si>
    <t>En el mes de julio 2022 se presentaron 30 eventos, los cuales han sido reportados a la ARL Positiva, de estos accidentes 18 fueron por causa de golpes que corresponden al 60% de los accidentes ocurridos en el mes, el 27% corresponden a accidentes ocurridos torcedura, esguince, desgarro muscular, herida o laceración de musculo o tendón y el 13% restante COVID-19, luxación y lesiones múltiples.
Para un total de 3450 entre funcionarios de planta y contratistas la frecuencia de la accidentalidad fue de 0,87%, por debajo del línea de referencia fijada y con un avance Sobresaliente según la tabla de rangos establecida.
Con el fin de reducir la accidentalidad se realizaron las siguientes acciones en el mes:
* Seguimiento a los casos COVID-19 (prueba confirmada), por parte del equipo de medicina laboral.
* Se realiza seguimiento a la ejecución del cronograma de inspecciones 2022 para todas las Unidades Operativas de la SDIS frente al proceso de visitas y verificación de hallazgos.
* Fortalecimiento de informe de gestión de accidentalidad
* Seguimiento permanente a las medidas de intervención identificadas.
* Se hace seguimiento a la ejecución del cronograma de actividades de capacitación vigencia 2022, de acuerdo con la identificación de los riesgos y peligros a que se encuentran expuestos, Inspecciones locativas, visita de unidades inducción y reinducción del SG-SST capacitación el rol de pasajero y peatón en la vía capacitación evacuación y rescate y manejo de extintores.</t>
  </si>
  <si>
    <t>En el mes de agosto 2022 se presentaron 40 eventos, los cuales han sido reportados a la ARL Positiva, de estos accidentes 10 fueron por torcedura, esguince, desgarro muscular, herida o laceración de musculo o tendón, sin heridas, que corresponde al 25%,   2 fueron por herida, correspondiente al 5% y  28 por golpe o contusión o aplastamiento correspondiente al 70%.  
Para este mes de tuvieron en total 9253 servidores entre funcionarios de planta y contratistas la frecuencia de la accidentalidad fue de 0,43%, por debajo del línea de referencia fijada y con un avance Sobresaliente según la tabla de rangos establecida.
Con el fin de reducir la accidentalidad se realizaron las siguientes acciones en el mes:
* Se realiza seguimiento a la ejecución del cronograma de inspecciones 2022 para todas las Unidades Operativas de la SDIS frente al proceso de visitas y verificación de hallazgos.
* Fortalecimiento de informe de gestión de accidentalidad
* Seguimiento permanente a las medidas de intervención identificadas.
* Se hace seguimiento a la ejecución del cronograma de actividades de capacitación vigencia 2022, de acuerdo con la identificación de los riesgos y peligros a que se encuentran expuestos, Inspecciones locativas, visita de unidades inducción y reinducción del SG-SST capacitación el rol de pasajero y peatón en la vía, evacuación y rescate y manejo de extintores.</t>
  </si>
  <si>
    <t>TH-009</t>
  </si>
  <si>
    <t>Ausentismo por causa médica</t>
  </si>
  <si>
    <t>Verificar el impacto de las actividades en promoción y prevención que se ejecutan, a través del Monitoreo del ausentismo por causa medicas.</t>
  </si>
  <si>
    <t>Reporte oportuno de incapacidades</t>
  </si>
  <si>
    <t>(No. de días de ausencia por incapacidad laboral y común en el periodo / (No. de días de trabajo programados en la entidad para el periodo * el número de servidores activos del periodo)*100</t>
  </si>
  <si>
    <t xml:space="preserve">* Base de datos ARL
* Bases de datos de trabajadores de planta
* Información de incapacidades medicas </t>
  </si>
  <si>
    <t>Calcular el número de días de ausencia por incapacidad medica laboral y común presentados en un periodo en relación con el número total de días programados por la entidad para laborar.  Para lo cual se tendrá en cuenta la siguiente tabla de rangos:
Rango %  Avance
0 a 1,80% - 100% Sobresaliente
1,81% a 3,60% - 75% Satisfactorio
&gt; 3,61% - 50% Deficiente
Nota: La línea de referencia para este indicador es 1.8% mensual, lo que significa que los valores superiores generan una alerta y los inferiores un buen desempeño.</t>
  </si>
  <si>
    <t>Matriz de registro de incapacidades filtrada para el período</t>
  </si>
  <si>
    <t>En el mes de enero se registraron 113 casos de ausencias por incapacidad médica certificada, por diferente origen, como lo son: 5 por accidente de trabajo, 107 enfermedad general, y 1 enfermedad laboral.
Derivado de estas incapacidades, se generaron 673 días de ausencia, registrando 600 días por enfermedad general, 70 días por accidente de trabajo y 3 días por enfermedad laboral.
En el mes se perdió el 0,32 % de días programados de trabajo, por incapacidad médica, muy por debajo de la meta esperada, teniendo en cuenta que se contaron con un total de 10.411 trabajadores, 20 días de trabajo programados en el mes, para un total de 208.220 número de días de trabajo programados en la empresa por el número de trabajadores.
Como resultado del análisis se encontró que los mayores grupos de enfermedad causantes de incapacidad  están generados por síntomas, signos y hallazgos anormales clínicos y de laboratorio, no clasificados en otra parte, traumatismos, envenenamientos y algunas otras consecuencias de causa externa, enfermedades del sistema respiratorio, enfermedades del sistema osteomuscular, enfermedades del aparato digestivo, neoplasias, enfermedades del sistema nervioso, ciertas enfermedades infecciosas y parasitarias, enfermedades del aparato genitourinario, enfermedades del oído y de la apófisis mastoides, trastornos mentales y del comportamiento.</t>
  </si>
  <si>
    <t>En el mes de febrero se registraron 128 casos de ausencias por incapacidad médica certificada, por diferente origen, como lo son: 6 por accidente de trabajo, 121 enfermedad general, y 1 enfermedad laboral.
Derivado de estas incapacidades, se generaron 685 días de ausencia, registrando 630 días por enfermedad general, 51 días por accidente de trabajo y 4 días por enfermedad laboral.
En el mes se perdió el 0,33 % de días programados de trabajo, por incapacidad médica, muy por debajo de la meta esperada, teniendo en cuenta que se contaron con un total de 10.263 trabajadores, 20 días de trabajo programados en el mes, para un total de 205.260 número de días de trabajo programados en la empresa por el número de trabajadores.
Como resultado del análisis se encontró que los mayores grupos de enfermedad causantes de incapacidad  están generados por síntomas, signos y hallazgos anormales clínicos y de laboratorio, no clasificados en otra parte, traumatismos, envenenamientos y algunas otras consecuencias de causa externa, enfermedades del sistema respiratorio, enfermedades del sistema osteomuscular, enfermedades del aparato digestivo, neoplasias, enfermedades del sistema nervioso, ciertas enfermedades infecciosas y parasitarias, enfermedades del aparato genitourinario, Enfermedades del oído y de la apófisis mastoides, trastornos mentales y del comportamiento.</t>
  </si>
  <si>
    <r>
      <t>En lo transcurrido del primer trimestre del año 2022, se registraron 374 casos de ausencia por causa médica (113 en el mes de enero, 128 en el mes de febrero y 133 en el mes de marzo), derivado de estas ausencias se registraron 2207 días perdidos (673 en el mes de enero, 685 en el mes de febrero, 849 en el mes de marzo), por diferentes tipos de origen.
En el mes de marzo se presentaron 133 casos de ausencias por incapacidad médica certificada, derivado de estas incapacidades se generaron 849 días de ausencia, registrando 718 días por enfermedad general, 126 días por accidente de trabajo, y 5 por enfermedad laboral, es decir que se perdió el 0,37 % de días programados de trabajo, contando con un total de 10.385 funcionarios de planta y contrato y 22 días trabajados. 
El promedio para el primer trimestre es 0,34% resultado por debajo del techo fijado.
Como resultado del análisis se encontró que los mayores grupos de enfermedad causantes de incapacidad están generados por:</t>
    </r>
    <r>
      <rPr>
        <sz val="9"/>
        <color rgb="FFFF0000"/>
        <rFont val="Arial"/>
        <family val="2"/>
      </rPr>
      <t xml:space="preserve"> </t>
    </r>
    <r>
      <rPr>
        <sz val="9"/>
        <rFont val="Arial"/>
        <family val="2"/>
      </rPr>
      <t>Códigos para uso de emergencia (u027), con 78 casos</t>
    </r>
    <r>
      <rPr>
        <sz val="9"/>
        <color rgb="FFFF0000"/>
        <rFont val="Arial"/>
        <family val="2"/>
      </rPr>
      <t>,</t>
    </r>
    <r>
      <rPr>
        <sz val="9"/>
        <color theme="1"/>
        <rFont val="Arial"/>
        <family val="2"/>
      </rPr>
      <t xml:space="preserve"> seguido por enfermedades del sistema osteomuscular y del tejido conjuntivo con 52 casos, 50 casos por enfermedades respiratorias, entre otras.
Como evidencia se aporta la base de datos de ausentismo. (Para el numerador ver fila 19 "Días perdidos" columnas E, H y K y para el denominador ver Fila 17 "Número de días de trabajo programados" columnas E, H y K).</t>
    </r>
  </si>
  <si>
    <t xml:space="preserve">En el mes de abril se registraron 88 casos de ausencias por incapacidad médica certificada, por diferente origen, como lo son: 7 por accidente de trabajo, 80 enfermedad general, y 1 enfermedad laboral.
Derivado de estas incapacidades, se generaron 450 días de ausencia, registrando 400 días por enfermedad general, 43 días por accidente de trabajo y 7 días por enfermedad laboral.
En el mes se perdió el 0,23 % de días programados de trabajo, por incapacidad médica, por debajo de la meta esperada, teniendo en cuenta que se contaron con un total de 10.382 trabajadores, 19 días de trabajo programados en el mes, para un total de 197.258 de días de trabajo programados en la empresa por el número de trabajadores.
Como resultado del análisis se encontró que los mayores grupos de enfermedad causantes de incapacidad  están generados por: síntomas, signos y hallazgos anormales clínicos y de laboratorio, no clasificados en otra parte,  enfermedades del sistema osteomuscular, enfermedades del sistema respiratorio, ciertas enfermedades infecciosas y parasitarias.
</t>
  </si>
  <si>
    <t>En el mes de mayo se registraron 124 casos de ausencias por incapacidad médica certificada, por diferente origen, como lo son: 9 por accidente de trabajo, 114 enfermedad general, y 1 accidente común.
Derivado de estas incapacidades, se generaron 537 días de ausencia, registrando 508 días por enfermedad general, 24 días por accidente de trabajo y 5 días por accidente común.
En el mes se perdió el 0,24 % de días programados de trabajo, por incapacidad médica, por debajo de la cifra límite proyectada, teniendo en cuenta que se contaron con un total de 10.485 trabajadores, 21 días de trabajo programados en el mes, para un total de 1.960.695 de horas de trabajo programados en la empresa por el número de trabajadores.
Como resultado del análisis se encontró que los mayores grupos de enfermedad causantes de incapacidad  están generados por: síntomas, signos y hallazgos anormales clínicos y de laboratorio, no clasificados en otra parte,  enfermedades del sistema osteomuscular, enfermedades del sistema respiratorio, ciertas enfermedades infecciosas y parasitarias.</t>
  </si>
  <si>
    <t xml:space="preserve">En el mes de junio se presentaron 112 casos de ausencias por incapacidad médica certificada, derivado de estas incapacidades se generaron 528 días de ausencia, registrando 489 días por enfermedad general y 39 días por accidente laboral, es decir, que se perdió el 0,29% de días programados de trabajo, contando con un total de 8.964 funcionarios de planta y contrato y, 20 días trabajados. 
En lo transcurrido del segundo trimestre del año 2022, se registraron 323 casos de ausencia por causa médica (87 en el mes de abril,  124 en el mes de mayo  y 112 en el mes de junio), derivado de estas ausencias se registraron 1.515 días perdidos (450 en el mes de abril, 537 en el mes de mayo, 528 en el mes de junio), por diferentes tipos de origen.
El promedio para el primer trimestre es 0,25% resultado que está por debajo de la línea de referencia fijada.
Como resultado del análisis se encontró que los mayores grupos de enfermedad causantes de incapacidad están generados por: Enfermedades del sistema respiratorio seguido por enfermedades del sistema osteomuscular y del tejido conjuntivo y por enfermedades derivadas de la emergencia sanitaria.
Como evidencia se aporta la base de datos de ausentismo. (El numerador es la sumatoria de la fila 19 "Días perdidos" columnas N, Q y T y para el denominador es la sumatoria de la Fila 17 "Número de días de trabajo programados" columnas N, Q y T).
</t>
  </si>
  <si>
    <t>12/07/2022
Hace falta que expliquen de donde sale la cifra 596.723.
14/07/2022
No se identifican observaciones ni recomendaciones adicionales para el reporte del periodo.</t>
  </si>
  <si>
    <t xml:space="preserve">En el mes de julio se registraron 107 casos de ausencias por incapacidad médica certificada por diferente origen, que se desglosan a continuación: 9 por accidentes de trabajo, 96 por enfermedad general y, 2 por accidentes de origen común.
Derivado de estas incapacidades, se generaron 675 días de ausencia, registrando 560 días por enfermedad general, 77 días por accidente de trabajo y 38 días por accidente común.
En el mes se perdió el 1,02% de días programados de trabajo, por incapacidad médica, por debajo de la línea de referencia fijada, y con un avance sobresaliente según la tabla de rangos establecida; teniendo en cuenta que se contaron con un total de  3450 trabajadores, 19 días de trabajo programados en el mes, para un total de 65550 de horas de trabajo programados en la empresa por el número de trabajadores.
Como resultado del análisis se encontró que los mayores grupos de enfermedad causantes de incapacidad  están generados por: Enfermedades del sistema respiratorio, traumatismos y enfermedades del sistema osteomuscular. </t>
  </si>
  <si>
    <t>En el mes de agosto se registraron 181 casos de ausencias por incapacidad médica certificada por diferente origen, como lo son: 15 por accidentes de trabajo, 164 por enfermedad general y, 2 por accidentes de origen común.
Derivado de estas incapacidades, se generaron 1.255 días de ausencia, registrando 1080 días por enfermedad general, 138 días por accidente de trabajo y 37 días por accidente común.
En el mes se perdió el 0.62% de días programados de trabajo, por incapacidad médica, por debajo de la línea de referencia fijada, y con un avance sobresaliente según la tabla de rangos establecida; teniendo en cuenta que se contaron con un total de 9253 trabajadores, 22 días de trabajo programados en el mes, para un total de 203566 de horas de trabajo programados en la empresa por el número de trabajadores.
Como resultado del análisis se encontró que los mayores grupos de enfermedad causantes de incapacidad están generados por: Enfermedades del sistema respiratorio, traumatismos y enfermedades del sistema osteomuscular.</t>
  </si>
  <si>
    <t xml:space="preserve">En el mes de septiembre se presentaron 181 casos de ausencias por incapacidad médica certificada, derivado de estas incapacidades se generaron 1131 días de ausencia, registrando 989 días por enfermedad general, 135 días por accidente laboral y 7 días por enfermedad laboral, es decir, que se perdió el 0,52% de días programados de trabajo, contando con un total de 9.908 funcionarios de planta y contrato y, 22 días trabajados. 
En lo transcurrido del tercer trimestre del año 2022, se registraron 469 casos de ausencia por causa médica (107 en el mes de julio,  181 en el mes de agosto  y 181 en el mes de septiembre), derivado de estas ausencias se registraron 3.061  días perdidos (675 en el mes de julio, 1255 en el mes de agosto, 1131 en el mes de septiembre), por diferentes tipos de origen.
El promedio para el tercer  trimestre es 0,63% resultado que está por debajo de la línea de referencia fijada y con un avance sobresaliente (100%) según la tabla de rangos establecida. 
Como resultado del análisis se encontró que los mayores grupos de enfermedad causantes de incapacidad están generados por: Enfermedades del sistema respiratorio seguido por enfermedades del sistema osteomuscular y del tejido conjuntivo y por enfermedades derivadas de la emergencia sanitaria.
Como evidencia se aporta la base de datos de ausentismo. (El numerador es la sumatoria de la fila 19 "Días perdidos" columnas W, Z y AC y para el denominador es la sumatoria de la Fila 17 "Número de días de trabajo programados" columnas W, Z y AC).
</t>
  </si>
  <si>
    <t>11/10/2022
Según la evidencia presentada para el número de días de trabajo programados, es decir, el denominador, es 487.092,  lo cual no coincide con el dato reportado, por favor verificar y ajustar.
12/10/2022
No se generan observaciones ni sugerencias adicionales para el periodo de reporte.</t>
  </si>
  <si>
    <t>TH-010</t>
  </si>
  <si>
    <t>Seguimiento a la Provisión de Empleos en SDIS</t>
  </si>
  <si>
    <t>Realizar el monitoreo a los empleos ocupados o cubiertos  del total de empleos que conforman la planta de la SDIS</t>
  </si>
  <si>
    <t>Implementación de las estrategias definidas en el Plan de Vacantes y Provisión de empleos de la vigencia 2022.</t>
  </si>
  <si>
    <t>(Número de empleos provistos en el periodo/Número total de cargos de planta establecidos en el Decreto vigente)*100</t>
  </si>
  <si>
    <t>* Base de datos con la Planta de empleos de la SDIS
* Nombramientos (Actos Administrativos)</t>
  </si>
  <si>
    <t>Primero determinar el número de empleos provistos en el período, posteriormente verificar con la base de datos con la planta vigente de empleos de la SDIS.
Nota: El denominador será el total de la planta de empleos para la vigencia 2022, según Decreto 460 del 12 de noviembre de 2021 Por medio del cual se modifica la planta de empleos de la Secretaría Distrital de Integración Social.</t>
  </si>
  <si>
    <t>Matriz de registro donde se evidencie la cantidad de empleos provistos en el período</t>
  </si>
  <si>
    <t>La planta de personal de la entidad se encuentra definida en el Decreto 460 del 12 de noviembre de 2021, en el cual  se establecen 2.174 empleos para la entidad. Sin embargo, en atención a un fallo de tutela, esta cifra se aumenta en 1 empleo adicional, para un total de 2.175. De este total de empleos, con corte al mes de marzo se encuentran provistos 1.777 empleos así: 1186 corresponden a carrera administrativa, 62 a libre nombramiento y remoción, 1 en período fijo, 330 en periodo de prueba , 30 en ascenso y 168 vinculados provisionalmente.
Como evidencia se aporta la Matriz de registro con la cantidad de empleos provistos en el período.</t>
  </si>
  <si>
    <t>18/04/2022
Se sugiere que la evidencia presentada contenga el periodo al que corresponde la información, para este caso Trimestre 1 de 2022.
18/04/2022
No se generan recomendaciones ni sugerencias adicionales para el periodo reportado.</t>
  </si>
  <si>
    <t>La planta de personal de la entidad se encuentra definida en el Decreto 460 del 12 de noviembre de 2021, en el cual  se establecen 2.174 empleos para la entidad. Sin embargo, en atención a un fallo de tutela, esta cifra se aumenta en 1 empleo adicional, para un total de 2.175. 
De este total de empleos, con corte al mes de abril se encuentran provistos 1.778 empleos así: 1150 corresponden a carrera administrativa, 63 a libre nombramiento y remoción, 1 en período fijo, 386 en periodo de prueba , 61 en período de prueba en ascenso y 117 vinculados provisionalmente.</t>
  </si>
  <si>
    <t>La planta de personal de la entidad se encuentra definida en el Decreto 460 del 12 de noviembre de 2021, en el cual  se establecen 2.174 empleos para la entidad. Sin embargo, en atención a un fallo de tutela, esta cifra se aumenta en 1 empleo adicional, para un total de 2.175. 
De este total de empleos, con corte al mes de mayo se encuentran provistos 1.782 empleos así: 1162 corresponden a carrera administrativa, 65 a libre nombramiento y remoción, 1 en período fijo, 378 en periodo de prueba , 64 en período de prueba en ascenso y 112 vinculados provisionalmente.</t>
  </si>
  <si>
    <t>La planta de personal de la entidad se encuentra definida en el Decreto 460 del 12 de noviembre de 2021, en el cual  se establecen 2.174 empleos para la entidad. Sin embargo, en atención a un fallo de tutela, esta cifra se aumenta en 1 empleo adicional, para un total de 2.175. 
De este total de empleos, con corte al mes de junio se encuentran provistos 1.766  empleos así: 1151 corresponden a carrera administrativa, 65 a libre nombramiento y remoción, 1 en período fijo, 376 en periodo de prueba , 64 en período de prueba en ascenso y 109 vinculados provisionalmente.
Se cubrieron 1.775 empleos en promedio durante el trimestre abril - junio, sobre el total de la planta de empleos para la vigencia 2022 en la SDIS,  lo que representa el 81,6% de empleos ocupados en el periodo, cumpliendo con Meta la del indicador.
Como evidencia se aporta la Matriz de registro con la cantidad de empleos provistos en el período.</t>
  </si>
  <si>
    <t>12/07/2022
Revisar evidencia del mes de abril, ya que sale error en la formula de resultados del mes.
14/07/2022
No se identifican observaciones ni recomendaciones adicionales para el reporte del periodo.</t>
  </si>
  <si>
    <t>La planta de personal de la entidad se encuentra definida en el Decreto 460 del 12 de noviembre de 2021, en el cual  se establecen 2.174 empleos para la entidad. Sin embargo, en atención a un fallo de tutela, esta cifra se aumenta en 1 empleo adicional, para un total de 2.175.  
Del total de empleos, con corte al mes de julio se encuentran provistos 1.753 así: 1158 corresponden a carrera administrativa, 59 a libre nombramiento y remoción, 1 en período fijo, 362 en periodo de prueba , 64 en período de prueba en ascenso y 109 vinculados provisionalmente.
Nota: La información reportada corresponde al estado de la Planta al 31 de Julio del presente, sin embargo es importante precisar que la Planta tiene movimientos diarios.</t>
  </si>
  <si>
    <t xml:space="preserve">La planta de personal de la entidad se encuentra definida en el Decreto 460 del 12 de noviembre de 2021, en el cual  se establecen 2.174 empleos para la entidad. Sin embargo, en atención a un fallo de tutela, esta cifra se aumenta en 1 empleo adicional, para un total de 2.175.
Del total de empleos, con corte al mes de agosto se encuentran provistos 1.765 así: 1157 corresponden a carrera administrativa, 61 a libre nombramiento y remoción, 1 en período fijo, 383 en periodo de prueba , 63 en período de prueba en ascenso y 100 vinculados provisionalmente.
Nota: La información reportada corresponde al estado de la Planta al 31 de agosto del presente, sin embargo es importante precisar que la Planta tiene movimientos diarios.  </t>
  </si>
  <si>
    <t xml:space="preserve">La planta de personal de la entidad se encuentra definida en el Decreto 460 del 12 de noviembre de 2021, en el cual  se establecen 2.174 empleos para la entidad. Sin embargo, en atención a un fallo de tutela, esta cifra se aumenta en 1 empleo adicional, para un total de 2.175.
Del total de empleos, con corte al mes de septiembre se encuentran provistos 1.768 así: 1457 corresponden a carrera administrativa, 58 a libre nombramiento y remoción, 1 en período fijo, 101 en periodo de prueba , 64 en período de prueba en ascenso y 87 vinculados provisionalmente.
Se cubrieron 1.762 empleos en promedio durante el trimestre julio - septiembre, sobre el total de la planta de empleos para la vigencia 2022 en la SDIS,  lo que representa el 81% de empleos ocupados en el periodo, cumpliendo con Meta la del indicador.
Nota: La información reportada corresponde al estado de la Planta al 30 de septiembre del presente, sin embargo es importante precisar que la Planta tiene movimientos diarios.  </t>
  </si>
  <si>
    <t>11/10/2022
Remitir la evidencia completa para el trimestre, pendiente los datos del mes de septiembre 2022.
12/10/2022
No se generan observaciones ni sugerencias adicionales para el periodo de reporte.</t>
  </si>
  <si>
    <t xml:space="preserve">TH-7748-001 </t>
  </si>
  <si>
    <t>Presupuesto ejecutado del proyecto de inversión</t>
  </si>
  <si>
    <t xml:space="preserve">Realizar seguimiento al presupuesto ejecutado para cada meta del proyecto de inversión, con el fin de tomar decisiones oportunas y asegurar una línea base para la próxima vigencia.
</t>
  </si>
  <si>
    <t>Ejecución de presupuesto programado por meta.</t>
  </si>
  <si>
    <t>(∑presupuesto  acumulado ejecutado de las metas del proyecto / ∑presupuesto acumulado programado de las metas del proyecto )*100</t>
  </si>
  <si>
    <t xml:space="preserve">Plan Anual de Adquisiciones
Ejecución PAC </t>
  </si>
  <si>
    <t xml:space="preserve">Programación :
1.Se distribuye el valor de PAA en el formato de PAC trimestralmente (PAC Vigencia)
Seguimiento:
1. Se realiza sumando la ejecución mensual para obtener el valor del seguimiento trimestral </t>
  </si>
  <si>
    <t>Informe programación y ejecución presupuestal por meta</t>
  </si>
  <si>
    <t>Algunos de los pagos previstos no se tramitaron durante el mes de enero y se reprogramaran para el mes de febrero, las renuncias que se presentaron durante el mes afectaron el pago total de nómina.</t>
  </si>
  <si>
    <t xml:space="preserve">15/03/2022
El formato fue ajustado en su formulación hasta la actualización por medio de circular para la vigencia 2022. </t>
  </si>
  <si>
    <t>Para este mes la ejecución de lo programado fue más baja con respecto al mes de enero debido a que no se realizaron algunos pagos que se tenían previstos relacionados con procesos en curso  y se han tenido que reprogramar para el mes de marzo.</t>
  </si>
  <si>
    <t xml:space="preserve">15/03/2022
No se generan observaciones ni recomendaciones para el periodo reportado. </t>
  </si>
  <si>
    <t xml:space="preserve">Para este mes la ejecución de lo programado fue más baja con respecto a los meses anteriores debido a que no se realizaron algunos pagos que se tenían previstos relacionados con los procesos en curso  que no han salido y por tal razón se han tenido que reprogramar para otros meses. La programación acumulada de enero a marzo correspondió a la suma de $45.549 millones y la ejecución del mismo periodo correspondió $39,482 millones lo cuál refleja un % de ejecución del 87% conforme lo programado. </t>
  </si>
  <si>
    <t>09/04/2022
El valor programado para el primer trimestre de la vigencia no corresponde al valor que figura en el PAC, se debe verificar ya que el dato  cuantitativo reportado debe corresponder a la evidencia presentada.
Adicionalmente se recuerda que es necesario realizar la actualización de los indicadores de gestión par la vigencia 2022.
12/04/2022
El valor programado para el primer trimestre de la vigencia no corresponde al valor que figura en el PAC, el cual se constituye como la evidencia que soporta el indicador, por lo cual no es posible validar el dato cuantitativo presentado.
13/04/2022
El dato cuantitativo para el programado no coincide con la evidencia presentada ,  por lo cual no es posible validar el reporte del periodo.</t>
  </si>
  <si>
    <t xml:space="preserve">Para este mes la ejecución de lo programado fue más alta con respecto a los meses anteriores mejorando la ejecución con respecto a la programación, ejecutando un 99,97% del presupuesto programado. </t>
  </si>
  <si>
    <t xml:space="preserve">09/05/2022
No se generan observaciones para el periodo reportado. 
A la fecha no se han actualizado los indicadores para el año 2022, con el fin de ajustar, como mínimo, las metas propuestas para la vigencia en curso.
</t>
  </si>
  <si>
    <t xml:space="preserve">Para este mes la ejecución de lo programado fue más baja con respecto   a l mes anterior, lo ejecutado corresponde a un 96% del presupuesto programado. </t>
  </si>
  <si>
    <t xml:space="preserve">08/06/2022
No se generan observaciones para el periodo reportado. 
A la fecha no se han actualizado los indicadores para el año 2022, con el fin de ajustar, como mínimo, las metas propuestas para la vigencia en curso, se sugiere realizar su actualización.
</t>
  </si>
  <si>
    <t>Para este mes la ejecución de lo programado mejoró con respecto   a l mes anterior, ya que el PAC ejecutado fue del 99% del presupuesto programado. Sin embargo la ejecución acumulada del PAC de enero a junio corresponde a un 93%.</t>
  </si>
  <si>
    <t>14/07/2022
Se deben remitir las evidencias para verificar el resultado reportado en el periodo. Se sugiere ajustar la redacción del análisis mensual con base en el resultado obtenido e indicar los motivos por los cuales no se alcanza la meta.
14/07/2022
No se identifican observaciones frente al reporte del periodo. Se sugiere que los análisis mensuales presentados contengan la información relacionada con los logros obtenidos o las situaciones que conllevaron al incumplimiento de la meta propuesta.</t>
  </si>
  <si>
    <t>Para este mes la ejecución de lo programado mejoró con respecto   a l mes anterior, ya que lo ejecutado correspondió a un 100% del presupuesto programado.</t>
  </si>
  <si>
    <t xml:space="preserve">11/08/2022
No se generan observaciones frente al periodo de reporte. 
Debido que en el reporte no fue relacionada la información correspondiente a la gestión de los meses anteriores se sugiere ajustar el archivo para que el proyecto cuente con toda la información de la gestión realizada durante la vigencia. 
</t>
  </si>
  <si>
    <t>Para este mes la ejecución de lo programado correspondió a un 99,99% del presupuesto programado.</t>
  </si>
  <si>
    <t>08/09/2022
No se generan observaciones frente al periodo de reporte. Se sugiere incluir en los análisis mensuales, la descripción de los logros obtenidos durante el periodo de medición.</t>
  </si>
  <si>
    <t xml:space="preserve">Para el trimestre julio-septiembre la ejecución correspondió a un 96% del presupuesto programado, teniendo en cuenta que la ejecución de los primeros trimestres de la vigencia fue mas baja de lo  proyectado debido a que los procesos contractuales  presentaron tardanza en su ejecución.   </t>
  </si>
  <si>
    <t>10/10/2022
Se debe remitir la evidencia de avance para los meses de julio y agosto, la cual debe concordar con el dato cuantitativo reportado para el trimestre. 
Se sugiere nuevamente incluir en los análisis reportados, la descripción de los logros obtenidos y/o la descripción de las situaciones que conllevaron al incumplimiento durante el periodo de medición.
13/10/2022
No se generan observaciones ni sugerencias adicionales para el periodo reportado.</t>
  </si>
  <si>
    <t>TH-7748-002</t>
  </si>
  <si>
    <t>Seguimiento a la ejecución de tareas del proyecto de inversión</t>
  </si>
  <si>
    <t xml:space="preserve">Controlar la planeación y ejecución integral y sistemática de todas las metas - actividades - tareas que deben desarrollarse para el proyecto de inversión.
</t>
  </si>
  <si>
    <t>Cumplimiento de tareas programadas.</t>
  </si>
  <si>
    <t>(# de tareas ejecutadas en el periodo / Total de tareas programadas en el periodo) *100%</t>
  </si>
  <si>
    <t>Plan de Acción - SPI</t>
  </si>
  <si>
    <t>Programación :
Sumar las tareas que están programadas por cada uno de los meses por cada una de las actividades
Seguimiento:
Validar que las tareas estén ejecutadas
Sumar las tareas que se ejecutaron  y reportarlas mensualmente</t>
  </si>
  <si>
    <t>Plan de Acción - SPI con seguimiento para el periodo.</t>
  </si>
  <si>
    <t>Se cumplió con la ejecución total de las actividades programadas para el mes de enero de 2022</t>
  </si>
  <si>
    <t>15/03/2022
El formato fue ajustado en su formulación hasta la actualización por medio de circular para la vigencia 2022. 
Se debe remitir la evidencia SPI para poder verificar el dato cuantitativo reportado en el periodo.
15/03/2022
El dato cuantitativo correspondiente a las actividades ejecutadas no coincide con el SPI para el mes de enero de 2022, en el que no se identifica avance de las actividades programadas. Se debe verificar.
22/03/2022
No se generan observaciones ni recomendaciones adicionales para el periodo reportado.</t>
  </si>
  <si>
    <t>Para este periodo no se cumplió con la totalidad de las actividades programadas teniendo en cuenta que no se emitió la Resolución de Caja Menor por falta de recursos, y así mismo la actividad relacionada con gestión documental del monitoreo de condiciones medio ambientales para el Archivo Central y Archivos de Gestión de la entidad, se cumplió parcialmente por demoras en la entrega de los equipos adquiridos para dicho proceso.</t>
  </si>
  <si>
    <t xml:space="preserve">15/03/2022
Se debe remitir la evidencia SPI para poder verificar el dato cuantitativo reportado en el periodo.
15/03/2022
No se generan observaciones ni recomendaciones adicionales para el periodo reportado.
</t>
  </si>
  <si>
    <t>Para este periodo se programaron 23 tareas, de las cuales se ejecutaron las 23  tareas programadas, aunque la actividad relacionada con la caja menor no cumplió con el 100%  ya que se tramitó la Resolución de Caja Menor pero no se realizaron desembolsos.</t>
  </si>
  <si>
    <t>09/04/2022
Según el SPI para el mes de marzo se tiene programadas 23 tareas las cuales se ejecutaron en su totalidad, se debe verificar ya que el dato  cuantitativo reportado debe corresponder a la evidencia presentada. Adicionalmente se recuerda que es necesario realizar la actualización de los indicadores de gestión par la vigencia 2022.
12/04/2022
Las tareas programadas y ejecutadas para el mes de marzo  según el SPI son 23 y no 22, por lo cual no es posible validar los datos cuantitativos reportados. 
13/04/2022
No se tienen observaciones ni sugerencias adicionales frente al reporte del periodo.</t>
  </si>
  <si>
    <t>Para este periodo se programaron 22tareas, de las cuales se ejecutaron todas las 22 reflejando un cumplimiento del 100%.  En la tarea "Realizar monitoreos de condiciones medioambientales del Archivo Central y Archivos de Gestión de las dependencias", se realizaron las actividades que quedaron pendientes en febrero.</t>
  </si>
  <si>
    <t>09/05/2022
Ajustar dato cuantitativo el cual no concuerda con la evidencia reportada (22 tareas ejecutadas)
A la fecha no se han actualizado los indicadores para el año 2022, con el fin de ajustar, como mínimo, las metas propuestas para la vigencia en curso.</t>
  </si>
  <si>
    <t>Para este periodo se programaron 23 tareas, de las cuales se ejecutaron todas las 23 reflejando un cumplimiento del 100%</t>
  </si>
  <si>
    <t>Para este periodo se programaron 23 tareas, de las cuales se ejecutaron todas las 23 reflejando un cumplimiento del 100%.</t>
  </si>
  <si>
    <t>14/07/2022
Se deben remitir las evidencias para verificar el resultado reportado en el periodo.
14/07/2022
No se identifican observaciones ni sugerencias adicionales frente al reporte del periodo.</t>
  </si>
  <si>
    <t>Para este periodo se programaron 27 tareas, y se ejecutaron todas las 27 reflejando un cumplimiento del 100%</t>
  </si>
  <si>
    <t xml:space="preserve">Para este periodo se programaron 23 tareas, y se ejecutaron todas las 23, aunque existió una tarea con cumplimiento parcial, en total se refleja un cumplimiento del 99%. </t>
  </si>
  <si>
    <t>08/09/2022
No se generan observaciones frente al periodo de reporte. Se sugiere incluir en los análisis mensuales, la descripción de las situaciones que conllevaron al incumplimiento de las tareas para el periodo reportado.</t>
  </si>
  <si>
    <t xml:space="preserve">Para este periodo se programaron 23 tareas, y se ejecutaron todas las 23, en total se refleja un cumplimiento del 100%. </t>
  </si>
  <si>
    <t>10/10/2022
No se generan observaciones frente al periodo de reporte. 
Se sugiere nuevamente incluir en los análisis reportados, la descripción de los logros obtenidos en el periodo de medición.</t>
  </si>
  <si>
    <t xml:space="preserve">Gestión documental </t>
  </si>
  <si>
    <t>GD-001</t>
  </si>
  <si>
    <t>Circular N° 007 del 28/02/2022</t>
  </si>
  <si>
    <t>Dependencias con seguimiento de la implementación de los lineamientos archivísticos.</t>
  </si>
  <si>
    <t>Establecer el porcentaje de dependencias a las que se les realiza los seguimientos de implementación de lineamientos archivísticos.</t>
  </si>
  <si>
    <t>Aplicación oportuna de los lineamientos archivísticos  por parte de los responsables de las Subdirecciones Locales y Dependencias para el seguimiento de la implementación.</t>
  </si>
  <si>
    <t>(Número de Dependencias con seguimientos de implementación de los lineamientos archivísticos/ Número total de Dependencias de la entidad con producción documental) * 100</t>
  </si>
  <si>
    <t>*Informe de Visitas de seguimiento.
*Registros de asistencia.</t>
  </si>
  <si>
    <t>Numerador: Sumar las dependencias con seguimientos de implementación de los lineamientos archivísticos.
Denominador: Tomar el total de dependencias de la SDIS con producción documental, para las cuales aplica la implementación de lineamientos archivísticos.
Nota: El resultado del indicador de la vigencia será el del último periodo.</t>
  </si>
  <si>
    <t>Para el mes de enero se diseñó el cronograma de visitas de seguimiento para la verificación de la implementación de la normatividad archivística, lineamientos y directrices, así como, se realizaron visitas a los archivos de gestión de las siguientes dependencias de la Secretaría.
1. Subdirección para la Discapacidad.
2. Subdirección de Nutrición.
3. Subdirección de Abastecimiento.</t>
  </si>
  <si>
    <t>11/03/2022. No se generan observaciones respecto al análisis reportado para el seguimiento del indicador.</t>
  </si>
  <si>
    <t>Para el mes de febrero se remitió memorando dirigido al Despacho, Directores(as), Subdirectores(as) Técnicos(as), Subdirectores(as) Locales y jefes(as) de oficina para comunicar el cronograma de visitas de seguimiento 2022, así como, se realizaron visitas de seguimiento a las dependencias de:
1. Sistema Integral de Atención Ciudadana.
2. Oficina Asesora Jurídica.
3. Oficina Asesora de Comunicaciones.
4. SLIS Usme - Sumapaz.
5. SLIS Ciudad Bolívar.</t>
  </si>
  <si>
    <t>11/03/2022. No se generan observaciones respecto al análisis reportado para el seguimiento del indicador. Sin embargo, se recomienda tener en cuenta que el "Sistema Integral de Atención a la Ciudadanía", no es una dependencia oficial dentro de la estructura orgánica de la entidad, por lo cual ese seguimiento no puede ser considerado dentro de la ejecución cuantitativa del indicador que se deberá reportar dentro del semestre, solamente se considera como una gestión adicional reportada de forma cualitativa.</t>
  </si>
  <si>
    <t>Durante el mes de marzo se realizaron las siguientes visitas de seguimiento: 
1. Oficina de Asuntos Disciplinarios
2. Subdirección de Gestión y Desarrollo del Talento Humano
En este sentido, es pertinente precisar que se dio prioridad por parte del equipo a las actividades relacionadas con la actualización de las TRD ya que se debía dar respuesta al concepto de la evaluación de las mismas por parte del Archivo de Bogotá, por lo cual se definió que las demás visitas programadas se cumplirán durante el trascurso del semestre cumpliendo con toda la programación establecida para el periodo.
Con respecto a la visita de seguimiento al Proyecto de Maternidad y Paternidad Temprana no se realizó debido a que no se obtuvo respuesta frente a la asignación del referente documental por lo cual se decidió adelantar la visita a la SGDTH, y cumplir con la meta del nivel central para el mes.
Así mismo se estableció el cronograma de visitas a comisarías de familia el cual será validado por la referente documental de la Subdirección para la familia y será enviado para aprobación por parte del Subdirector Administrativo y Financiero, para posteriormente dar inicio de visitas en el mes de abril de 2022.</t>
  </si>
  <si>
    <t>18/04/2022. Se recomienda incluir en el análisis mensual, el motivo por el cual no se dio cumplimiento al cronograma de visitas tal como fue diseñado, en el cual se tenían programadas para este mes las visitas a las SLIS de Usaquén y Bosa, y el Proyecto de Maternidad y Paternidad temprana, y no se tenia programada la SGDTH. Adicionalmente, completar la información indicando quien debe aprobar el cronograma de visitas a comisarias.
19/04/2022. No se generan observaciones adicionales respecto al análisis reportado para el seguimiento del indicador.</t>
  </si>
  <si>
    <t>Durante el mes de abril se realizaron las siguientes visitas de seguimiento: 
1. Dirección Corporativa
2. SLIS Usaquén
3. SLIS Bosa
4. SLIS Santafé Candelaria
5.Subdirección para la Familia: 
- Comisaría Candelaria
- Comisaría Capiv
- Comisaría Chapinero
- Comisaría Santa Fe
Se dio inicio a la ejecución del cronograma de visitas a comisarías de familia.</t>
  </si>
  <si>
    <t>10/05/2022. No se generan observaciones respecto al análisis reportado para el seguimiento del indicador. Sin embargo, se recomienda tener en cuenta que las Comisarias de familia no son dependencias independientes dentro de la estructura orgánica de la entidad (son unidades operativas de la Subdirección para la Familia), por lo cual ese seguimiento no puede ser considerado dentro de la ejecución cuantitativa del indicador que se deberá reportar dentro del semestre, solamente se considera como una gestión adicional reportada de forma cualitativa.</t>
  </si>
  <si>
    <t>Durante el mes de mayo se realizaron las siguientes visitas de seguimiento: 
1. Dirección de Nutrición y Abastecimiento
2. Dirección de Análisis y Diseño Estratégico
3. Subdirección de Diseño, Evaluación y Sistematización
4. Subdirección Local Puente Aranda –Antonio Nariño
5. Subdirección Local Rafael Uribe Uribe
6. Subdirección para la Familia: 
- Comisaría Bosa 1
- Comisaría San Cristóbal 1
- Comisaría San Cristóbal 2
- Comisaría Kennedy 1
- Comisaría Kennedy 2
- Comisaría Kennedy 3
- Comisaría Kennedy 4
- Comisaría Kennedy 5
- Comisaría Usme 2
- Comisaria Los Mártires
- Comisaria Puente Aranda</t>
  </si>
  <si>
    <t>14/06/2022. No se generan observaciones respecto al análisis reportado para el seguimiento del indicador.</t>
  </si>
  <si>
    <t>Durante el mes de junio se realizaron las siguientes visitas de seguimiento: 
1. Subdirección para la infancia 
2. Subdirección para la identificación, caracterización e Integración - ICI
3. Subdirección de investigación e información 
4. Subdirección Local Mártires
5. Subdirección para la Familia:
- Comisaría Engativá 1
- Comisaría Engativá 2
- Comisaría Teusaquillo
- Comisaría Tunjuelito
- Comisaría Usaquén 2
Para el corte del semestre se visitaron, de las 47 dependencias de la Secretaría Distrital de Integración Social, las 24 programadas que equivalen al 51% de las dependencias de la Entidad, las 23 restantes se visitarán durante el próximo semestre de acuerdo a lo establecido en el cronograma de visitas.</t>
  </si>
  <si>
    <t>13/07/2022. Se debe ajustar el valor de la programación de acuerdo con lo establecido en la formula del indicador (total de dependencias), e incluir el análisis del resultado del indicador.
15/07/2022. No se generan observaciones adicionales respecto al análisis y las evidencias presentadas en el seguimiento del indicador.</t>
  </si>
  <si>
    <t xml:space="preserve">Para el mes de julio el equipo profesional archivista visitó las siguientes dependencias de conformidad con el cronograma previamente establecido:
1. Subdirección Local de Fontibón.
2. Subdirección Local de Engativá.
3. Subdirección para la vejez.
4. Dirección poblacional.
</t>
  </si>
  <si>
    <t>11/08/2022. No se generan observaciones respecto al análisis reportado para el seguimiento del indicador.</t>
  </si>
  <si>
    <t>Para el mes de agosto el equipo profesional archivista visitó las siguientes dependencias:
1. Subdirección para asuntos LGBTI.
2. Subdirección para la juventud.
3. Oficina de Control Interno.
4. Subdirección para la Familia.</t>
  </si>
  <si>
    <t>12/09/2022. No se generan observaciones respecto al análisis reportado para el seguimiento del indicador.</t>
  </si>
  <si>
    <t>Para el mes de septiembre el equipo profesional archivista visitó las siguientes dependencias:
1. Dirección Territorial.
2. Subdirección para la Gestión Integral Local.</t>
  </si>
  <si>
    <t>14/10/2022. No se generan observaciones respecto al análisis reportado para el seguimiento del indicador.</t>
  </si>
  <si>
    <t>GD-003</t>
  </si>
  <si>
    <t>Nivel de inventario documental</t>
  </si>
  <si>
    <t>Establecer el nivel de avance del levantamiento de inventario documental conforme a los criterios técnicos de archivo, en las dependencias con producción documental de la entidad.</t>
  </si>
  <si>
    <t>Levantamiento de inventario documental y organización conforme a los criterios técnicos de archivo en los archivos de gestión por parte de las dependencias con producción documental de la entidad.</t>
  </si>
  <si>
    <t>(Volumetría documental con FUID conforme a los criterios técnicos de archivo en las dependencias con producción documental/Volumetría total identificada en las dependencias con producción documental)*100</t>
  </si>
  <si>
    <t>*Informe de Visitas de seguimiento.
*FUID de las  Dependencias.</t>
  </si>
  <si>
    <t>Numerador: Sumatoria de la volumetría en metros lineales  con inventario documental (FUID) de las dependencias con producción documental.
Denominador: Sumatoria total de la volumetría en metros lineales, identificada en las visitas de seguimiento en las dependencias con producción documental.</t>
  </si>
  <si>
    <t>Se organizó una mesa de trabajo con el equipo profesional archivista para realizar la formulación de un nuevo indicador el cual fue enviado a la Subdirección de Diseño Evaluación y Sistematización para revisión y retroalimentación, posteriormente se envió memorando de solicitud de oficialización, el cuál fue notificado como creado a través de circular 007 del 28/02/2022.</t>
  </si>
  <si>
    <t>Durante las visitas de seguimiento que fueron realizadas en el mes de marzo, se encontraron los siguientes avances en el levantamiento del inventario documental: 
1. OFICINA DE ASUNTOS DISCIPLINARIOS: 
- 159 cajas que corresponden a 39,75 metros lineales totales
- 25 cajas inventariadas con FUID, que corresponden a 6,25 metros lineales
2. SUBDIRECCIÓN PARA LA GESTION DEL TALENTO HUMANO: 
- 2753 cajas que corresponden a 688,25 metros lineales totales
- 680 cajas inventariadas con FUID, que corresponden a 170 metros lineales.</t>
  </si>
  <si>
    <t>18/04/2022. El análisis cualitativo presentado no da cuenta de los avances para alcanzar el objetivo del indicador; se recomienda tener en cuenta las variables definidas en la formula de cálculo, donde el criterio no es solamente la volumetría total, sino aquella que cuenta con FUID.
19/04/2022. No se generan observaciones adicionales respecto al análisis reportado para el seguimiento del indicador.</t>
  </si>
  <si>
    <t>Durante las visitas de seguimiento que fueron realizadas en el mes de abril se encontraron los siguientes avances en el levantamiento del inventario documental: 
- Dirección Corporativa: 
Total Cajas 139 que corresponden a 34,75 metros lineales
Total Cajas Inventariadas 13 que correspondientes a 3,25 metros lineales
- SLIS Usaquén
Total Cajas 1.088 que corresponden a 272 metros lineales
Total Cajas Inventariadas 1.000 que corresponden a 250 metros lineales
- SLIS Bosa:
Total Cajas 1.205 que corresponden a 301,25 metros lineales
Total Cajas Inventariadas 556 que corresponden a 139 metros lineales
- SLIS Santa Fe - Candelaria:
Total Cajas 697 que corresponden a 174,25 metros lineales
Total Cajas Inventariadas 221 que corresponden a 55,25 metros lineales
Adicionalmente, se dio inicio a las visitas a las comisarías de familia; con el cronograma preliminar se socializó el memorando con la Subdirección de Familia y se enviará en mayo el definitivo con la aprobación de la Subdirección Administrativa y Financiera.
En las visitas realizadas se evidenció que no se ha realizado un ejercicio juicioso de diligenciamiento del FUID por lo cual se brindó la asesoría para dar inicio al levantamiento del mismo.</t>
  </si>
  <si>
    <t>10/05/2022. No se generan observaciones respecto al análisis reportado para el seguimiento del indicador.</t>
  </si>
  <si>
    <t>Durante las visitas de seguimiento que fueron realizadas en el mes de mayo, se encontraron los siguientes avances en el levantamiento del inventario documental: 
- Dirección de Nutrición y Abastecimiento
Total Cajas 123 que corresponden a 30,75 metros lineales
Se tiene relacionado el total de las cajas y metros lineales en el inventario.
- Dirección de Análisis y Diseño Estratégico
Total Cajas 5 que corresponden a 1,25 metros lineales
No tienen inventario documental.
- Subdirección de Diseño, Evaluación y Sistematización
Total Cajas 48 que corresponden a 12 metros lineales
No tienen inventario documental.
- Subdirección Local Puente Aranda –Antonio Nariño
Total de Cajas 942 que corresponden a 235,5 metros lineales
Total de Cajas Inventariadas 818 que corresponden a 204,5 metros lineales
- Subdirección Local Rafael Uribe Uribe
Total de Cajas 1530 que corresponden a 382,5 metros lineales
Total de Cajas Inventariadas 195 que corresponden a 48,75 metros lineales
- Comisaría Bosa 1
Total de Cajas 859 que corresponden a 214,75 metros lineales
Total de Cajas Inventariadas 145 que corresponden a 36,25 metros lineales
- Comisaría San Cristóbal 1
Total de Cajas 651 que corresponden a 162,75 metros lineales
Total de Cajas Inventariadas 123 que corresponden a 30,75 metros lineales
- Comisaría San Cristóbal 2
Total de Cajas 286 que corresponden a 71,5 metros lineales
No tienen inventario documental.
- Comisaría Kennedy 1
Total de Cajas 592 que corresponden a 148 metros lineales
No tienen inventario documental.
- Comisaría Kennedy 2
Total de Cajas 323 que corresponden a 80,75 metros lineales
No tienen inventario documental.
- Comisaría Kennedy 3
Total de Cajas 424 que corresponden a 106 metros lineales
Total de Cajas Inventariadas 105 que corresponden a 26,25 metros lineales
- Comisaría Kennedy 4
Total de Cajas 436 que corresponden a 109 metros lineales
Total de Cajas Inventariadas 104 que corresponden a 26 metros lineales
- Comisaría Kennedy 5
Total de Cajas 643 que corresponden a 160,75
No tienen inventario documental.
- Comisaría Usme 2
Total de Cajas 583 que corresponden a 145,75
No tienen inventario documental.
- Comisaria Los Mártires
Total de Cajas 251 que corresponden a 63
No tienen inventario documental.
- Comisaria Puente Aranda
Total de Cajas 389 que corresponden a 97
No tienen inventario documental.</t>
  </si>
  <si>
    <t>13/07/2022. Se deben registrar los valores de lo programado y lo ejecutado, de acuerdo con lo establecido en la formula del indicador; también se debe incluir el análisis del resultado del indicador.
15/07/2022. No se generan observaciones adicionales respecto al análisis y las evidencias presentadas en el seguimiento del indicador.
Adicionalmente, se recomienda revisar la pertinencia de actualizar la meta del indicador, teniendo en cuenta el sobrecumplimiento del 456% que presenta el indicador, respecto al 5% programado como meta para la vigencia.</t>
  </si>
  <si>
    <t>Las dependencias visitadas para el mes de julio presentaron los siguientes avances en levantamiento de inventario documental:
1. Subdirección Local de Fontibón.
-Total de cajas 1511 equivalentes a  377,75 metros lineales.
-Total cajas inventariadas 1432 equivalentes a 358 metros lineales.
2. Subdirección Local de Engativá.
-Total de cajas 1121 equivalentes a  280,25 metros lineales.
-Total cajas inventariadas 758 equivalentes a 189,5  metros lineales.
3. Subdirección para la vejez.
-Total de cajas 2090 equivalentes a  522,5 metros lineales.
-Total cajas inventariadas 690 equivalentes a 172,5 metros lineales.
4. Dirección poblacional.
-Total de cajas 77 equivalentes a  19,25 metros lineales.
-Total cajas inventariadas 9 equivalentes a 2,25 metros lineales.</t>
  </si>
  <si>
    <t>11/08/2022. No se generan observaciones respecto al análisis reportado para el seguimiento del indicador.
Adicionalmente, se reitera la recomendación de revisar la pertinencia de actualizar la meta del indicador, teniendo en cuenta el sobrecumplimiento del 456% que presenta el indicador, respecto al 5% programado como meta para la vigencia.</t>
  </si>
  <si>
    <t>Las dependencias visitadas para el mes de agosto presentaron los siguientes avances en levantamiento de inventario documental:
1. Subdirección para asuntos LGBTI..
-Total de cajas 257 equivalentes a  64,25 metros lineales.
-Total cajas inventariadas 69 equivalentes a  17,25  metros lineales.
2. Subdirección para la juventud.
-Total de cajas 307 equivalentes a 76,75 metros lineales
-Total cajas inventariadas 0 equivalentes a 0 metros lineales.
3. Oficina de Control Interno.
-Total de cajas 6 equivalentes a  1,5 metros lineales.
-Total cajas inventariadas 6 equivalentes a 1,5 metros lineales.
4. Subdirección para la Familia.
-Total de cajas 500 equivalentes a  125 metros lineales.
-Total cajas inventariadas 0 equivalentes a 0 metros lineales.
Dado que para el mes de agosto no se contó con el equipo de trabajo completo para realizar el análisis respectivo a la reformulación de la meta del indicador, no fue posible avanzar en el proceso de actualización.</t>
  </si>
  <si>
    <t>12/09/2022. No se generan observaciones respecto al análisis reportado para el seguimiento del indicador.
Adicionalmente, se reitera alerta respecto al sobrecumplimiento del 456% que presenta el indicador, con corte al primer semestre 2022.</t>
  </si>
  <si>
    <t>Las dependencias visitadas para el mes de septiembre presentaron los siguientes avances en levantamiento de inventario documental:
1. Dirección Territorial.
-Total de cajas 25 equivalentes a  6,25 metros lineales.
-Total cajas inventariadas 0 equivalentes a  0  metros lineales.
2. Subdirección para la Gestión Integral Local.
-Total de cajas 36 equivalentes a 9 metros lineales
-Total cajas inventariadas 0 equivalentes a 0 metros lineales.
Para finales del mes de septiembre se logró contar con el equipo profesional archivista a cargo de la ejecución de las visitas de seguimiento a los archivos de gestión de las dependencias con producción documental de la entidad, por tanto, se llegó al compromiso de realizar una mesa de trabajo para reformular la meta del indicador para el mes de octubre.</t>
  </si>
  <si>
    <t>GF-001</t>
  </si>
  <si>
    <t>Circular No. 007 de 28/02/2022</t>
  </si>
  <si>
    <t>Plan Anual de Caja (PAC) ejecutado</t>
  </si>
  <si>
    <t>Determinar el porcentaje mensual de ejecución del Plan Anual de Caja (PAC)  para realizar seguimiento a la  programación y emitir alertas oportunamente</t>
  </si>
  <si>
    <t>Radicación de cuentas por parte de las dependencias de acuerdo a la programación mensual del PAC</t>
  </si>
  <si>
    <t>(Valor ejecutado del PAC mensual / Valor programado del PAC mensual) * 100)</t>
  </si>
  <si>
    <t>Ejecución del PAC: giros cargados en el aplicativo BogData de la Secretaría Distrital Hacienda, de acuerdo a la radicación de los formatos MC14 en el área financiera.
Programación del PAC: entregada por cada proyecto al área financiera de la entidad y cargada en el aplicativo BogData de la Secretaría Distrital Hacienda</t>
  </si>
  <si>
    <t xml:space="preserve">Numerador:
Corresponde a los giros del mes.
Denominador:
Corresponde al PAC programado del mes
Nota: el resultado de la vigencia corresponde a la aplicación de la fórmula con la sumatoria de todos los periodos.
</t>
  </si>
  <si>
    <t xml:space="preserve">Porcentaje </t>
  </si>
  <si>
    <t>Ejecución del PAC Sistema BogData - Secretaría Distrital de Hacienda
o
Informe CBN-1001-PROGRAMA ANUAL DE CAJA</t>
  </si>
  <si>
    <t>Para el mes de enero 2022 se tiene una ejecución de PAC del 78%, quedando un porcentaje  de recursos programados sin ejecutar por $4.102.627.494 equivalente al 22%, recursos que quedarán en PAC no ejecutado, por lo tanto se efectuarán las respectivas recomendaciones y orientaciones por parte de la Subdirección Administrativa y Financiera - Asesoría de Recursos Financieros (Grupo de Presupuesto), a las Direcciones y Subdirecciones técnicas para que efectúen las acciones de seguimiento pertinente.</t>
  </si>
  <si>
    <t>Para el mes de febrero se tiene una ejecución de PAC del 84%, quedando un porcentaje  de recursos programados sin ejecutar por $7.116.416.046 equivalente al 16%,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</si>
  <si>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Para el mes de marzo se tiene una ejecución de PAC del 84%, quedando un porcentaje  de recursos programados sin ejecutar por $9.588.205.079 equivalente al 16%,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</si>
  <si>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Para el mes de abril se tiene una ejecución de PAC del 99,8%, quedando un porcentaje mínimo  de recursos programados sin ejecutar por $125.068.571 equivalente al 0,2%,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</si>
  <si>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 xml:space="preserve">10/05/2022:
No se generan observaciones respecto al análisis y evidencias reportados para el seguimiento del indicador. </t>
  </si>
  <si>
    <t>Para el mes de mayo se tiene una ejecución de PAC del 96%, quedando un porcentaje de recursos programados sin ejecutar por $3.665.154.756 equivalente al 4%,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</si>
  <si>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 xml:space="preserve">15/06/2022:
No se generan observaciones respecto al análisis y evidencias reportados para el seguimiento del indicador. </t>
  </si>
  <si>
    <t>Para el mes de junio se tiene una ejecución de PAC del 97%, quedando un porcentaje de recursos programados sin ejecutar por $2.599.585.182 equivalente al 3%,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</si>
  <si>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 xml:space="preserve">13/07/2022:
No se generan observaciones respecto al análisis y evidencias reportados para el seguimiento del indicador. </t>
  </si>
  <si>
    <t>Para el mes de julio se tiene una ejecución de PAC del 98,9%, quedando un porcentaje mínimo de recursos programados sin ejecutar por $960.638.827 equivalente al 0,1%,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</si>
  <si>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 xml:space="preserve">Para el mes de agosto se tiene una ejecución de PAC del 100%, quedando un porcentaje mínimo de recursos programados sin ejecutar por $4.137.342 equivalente al 0%, recursos que quedarán en PAC no ejecutado. </t>
  </si>
  <si>
    <t xml:space="preserve">12/09/2022:
No se generan observaciones respecto al análisis y evidencias reportados para el seguimiento del indicador. </t>
  </si>
  <si>
    <t>Para el mes de septiembre se tiene una ejecución de PAC del 99,9%, quedando un porcentaje mínimo de recursos programados sin ejecutar por $73.921.871 equivalente al 0,1%,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</si>
  <si>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 xml:space="preserve">06/10/2022:
No se generan observaciones respecto al análisis y evidencias reportados para el seguimiento del indicador. </t>
  </si>
  <si>
    <t>GF-005</t>
  </si>
  <si>
    <t>Conciliaciones elaboradas</t>
  </si>
  <si>
    <t>Medir la gestión de las conciliaciones elaboradas, para garantizar la razonabilidad en los estados financieros</t>
  </si>
  <si>
    <t>Entrega oportuna de la información financiera por parte de las dependencias al área contable de la entidad</t>
  </si>
  <si>
    <t>(Número de conciliaciones elaboradas en el periodo / Número de conciliaciones programadas en el periodo) *100</t>
  </si>
  <si>
    <t>Conciliaciones elaboradas por el área contable de la entidad</t>
  </si>
  <si>
    <t>Numerador:
conciliaciones elaboradas en el mes
Denominador:
Conciliaciones programadas para el mes
Nota: el resultado de la vigencia corresponde a la aplicación de la fórmula con la sumatoria de todos los periodos.</t>
  </si>
  <si>
    <t>Registro en Excel de conciliaciones programadas y elaboradas</t>
  </si>
  <si>
    <t xml:space="preserve">Para el mes de diciembre se programó la elaboración de 13 conciliaciones de las cuales se efectuaron 13, cumpliendo con el 100% de las mismas. 
De igual manera desde la Asesoría de recursos Financieros se envía mensualmente de manera personalizada (subdirector área responsable) correo recordatorio de la información que deben reportar y sus respectivos plazos. </t>
  </si>
  <si>
    <t xml:space="preserve">Para el mes de enero 2022 se programó la elaboración de 12 conciliaciones de las cuales se efectuaron 10, cumpliendo con el 83% de las mismas. 
- Las conciliaciones faltantes no fue posible realizarlas teniendo en cuenta que el área generadora de información contable no realizó el correspondiente reporte.
Es por ello que desde la Asesoría de recursos Financieros se envía mensualmente de manera personalizada (subdirector área responsable) correo recordatorio de la información que deben reportar y sus respectivos plazos. </t>
  </si>
  <si>
    <t xml:space="preserve">Para el mes de febrero 2022 se programó la elaboración de 13 conciliaciones de las cuales se efectuaron 12, cumpliendo con el 92% de las mismas. 
- La conciliación faltante no fue posible realizarla teniendo en cuenta que el área generadora de información contable no realizó el correspondiente reporte.
Es por ello que desde la Asesoría de recursos Financieros se envía mensualmente de manera personalizada (subdirector área responsable) correo recordatorio de la información que deben reportar y sus respectivos plazos. </t>
  </si>
  <si>
    <t>Para el mes de marzo 2022 se programó la elaboración de 15 conciliaciones de las cuales se efectuaron 15, cumpliendo con el 100% de las mismas. 
De igual manera desde la Asesoría de recursos Financieros se envía mensualmente de manera personalizada (subdirector área responsable) correo recordatorio de la información que deben reportar y sus respectivos plazos.</t>
  </si>
  <si>
    <t>Para el mes de abril 2022 se programó la elaboración de 14 conciliaciones de las cuales se efectuaron las 14, cumpliendo con el 100% de las mismas. 
De igual manera desde la Asesoría de recursos Financieros se envía mensualmente de manera personalizada (a cada subdirector de área responsable) correo recordatorio de la información que deben reportar y sus respectivos plazos.</t>
  </si>
  <si>
    <t>Para el mes de mayo 2022 se programó la elaboración de 15 conciliaciones de las cuales se efectuaron las 14, cumpliendo con el 93% de las mismas.
- La conciliación faltante no fue posible realizarla teniendo en cuenta que el área generadora de información contable no realizó el correspondiente reporte.
De igual manera desde la Asesoría de recursos Financieros se envía mensualmente de manera personalizada (a cada subdirector de área responsable) correo recordatorio de la información que deben reportar y sus respectivos plazos.</t>
  </si>
  <si>
    <t>Para el mes de junio 2022 se programó la elaboración de 16 conciliaciones de las cuales se efectuaron las 15, cumpliendo con el 94% de las mismas.
- La conciliación faltante no fue posible realizarla teniendo en cuenta que el área generadora de información contable no realizó el correspondiente reporte.
De igual manera desde la Asesoría de recursos Financieros se envía mensualmente de manera personalizada (a cada subdirector de área responsable) correo recordatorio de la información que deben reportar y sus respectivos plazos.</t>
  </si>
  <si>
    <t>Para el mes de julio 2022 se programó la elaboración de 15 conciliaciones de las cuales se efectuaron las 14, cumpliendo con el 93% de las mismas.
- La conciliación faltante no fue posible realizarla teniendo en cuenta que el área generadora de información contable no realizó el correspondiente reporte.
De igual manera desde la Asesoría de recursos Financieros se envía mensualmente de manera personalizada (a cada subdirector de área responsable) correo recordatorio de la información que deben reportar y sus respectivos plazos.</t>
  </si>
  <si>
    <t>Para el mes de agosto 2022 se programó la elaboración de 15 conciliaciones de las cuales se efectuaron todas, cumpliendo con el 100% de las mismas.
De igual manera desde la Asesoría de recursos Financieros se envía mensualmente de manera personalizada (a cada subdirector de área responsable) correo recordatorio de la información que deben reportar y sus respectivos plazos.</t>
  </si>
  <si>
    <t>GJ-002</t>
  </si>
  <si>
    <t xml:space="preserve"> Conciliaciones extrajudiciales atendidas en audiencia de conciliación.</t>
  </si>
  <si>
    <t xml:space="preserve">Verificar la asistencia a las audiencias de conciliación notificadas a la Secretaría Distrital de Integración Social, con el fin de realizar la correspondiente representación judicial en la instancia conciliatoria judicial y extra- judicial. </t>
  </si>
  <si>
    <t xml:space="preserve">Certificado de la Secretaria Técnica del Comité de Conciliación que habilita la asistencia de representación ante la instancia conciliatoria correspondiente. </t>
  </si>
  <si>
    <t>(Número de solicitudes de conciliación extrajudicial atendidas en el periodo / Número de solicitudes de conciliación extrajudiciales recibidas en la SDIS con citación a  audiencia en el periodo) * 100%</t>
  </si>
  <si>
    <t>Base de Datos de Conciliaciones de la OAJ.
Sistema de Información de Procesos Judiciales- SIPROJ WEB-  Módulo de MACS- Fichas de Conciliación.</t>
  </si>
  <si>
    <t>Se toma la base de datos "conciliaciones de la OAJ" y se filtra la columna "Conciliaciones con citación a Audiencia en la Procuraduría" por la fecha del periodo que corresponda.</t>
  </si>
  <si>
    <t>%</t>
  </si>
  <si>
    <r>
      <t>Base de datos Conciliaciones de la OAJ</t>
    </r>
    <r>
      <rPr>
        <strike/>
        <sz val="9"/>
        <color rgb="FFFF0000"/>
        <rFont val="Arial"/>
        <family val="2"/>
      </rPr>
      <t xml:space="preserve"> 
</t>
    </r>
  </si>
  <si>
    <t>Durante el mes de enero se asistió a tres (3) audiencias de conciliación extrajudicial. 
Se evacuaron 2 sesiones ordinarias del comité de conciliación.</t>
  </si>
  <si>
    <t xml:space="preserve">22/03/2022
No se identifican observaciones frente al reporte del periodo. </t>
  </si>
  <si>
    <t>Durante el mes de febrero se asistió a tres (3) audiencias de conciliación extrajudicial. 
Se evacuaron 2 sesiones ordinarias del comité de conciliación.</t>
  </si>
  <si>
    <r>
      <t xml:space="preserve">Durante el mes de marzo </t>
    </r>
    <r>
      <rPr>
        <sz val="9"/>
        <rFont val="Calibri"/>
        <family val="2"/>
        <scheme val="minor"/>
      </rPr>
      <t>se asistió a dos (2)</t>
    </r>
    <r>
      <rPr>
        <sz val="9"/>
        <color theme="1"/>
        <rFont val="Calibri"/>
        <family val="2"/>
        <scheme val="minor"/>
      </rPr>
      <t xml:space="preserve"> audiencias de conciliación extrajudicial. 
Se evacuaron 2 sesiones ordinarias  y una extraordinaria del comité de conciliación.</t>
    </r>
  </si>
  <si>
    <t xml:space="preserve">18/04/2022
No se identifican observaciones ni sugerencias  frente al reporte del periodo. </t>
  </si>
  <si>
    <r>
      <t xml:space="preserve">Durante el mes de abril </t>
    </r>
    <r>
      <rPr>
        <sz val="9"/>
        <rFont val="Calibri"/>
        <family val="2"/>
        <scheme val="minor"/>
      </rPr>
      <t>se asistió a dos (2)</t>
    </r>
    <r>
      <rPr>
        <sz val="9"/>
        <color theme="1"/>
        <rFont val="Calibri"/>
        <family val="2"/>
        <scheme val="minor"/>
      </rPr>
      <t xml:space="preserve"> audiencias de conciliación extrajudicial. 
Se evacuaron 2 sesiones ordinarias  del comité de conciliación.</t>
    </r>
  </si>
  <si>
    <t xml:space="preserve">18/05/2022
No se identifican observaciones ni sugerencias  frente al reporte del periodo. </t>
  </si>
  <si>
    <t>Durante el mes de mayo se asistió a tres (3) audiencias de conciliación extrajudicial. 
Se evacuaron 2 sesiones ordinarias  del comité de conciliación.</t>
  </si>
  <si>
    <t xml:space="preserve">13/06/2022
No se identifican observaciones ni sugerencias  frente al reporte del periodo. </t>
  </si>
  <si>
    <t>"Durante el mes de junio se asistió a cinco (5) audiencias de conciliación extrajudicial. 
Se evacuaron 2 sesiones ordinarias  del comité de conciliación."
En relación al análisis del primer semestre, es importante resaltar que de las 18 audiencias de conciliaciones extrajudiciales programadas, se asistieron a las 18, obteniendo un 100% de cumplimiento, mismo resultado de la meta propuesta al inicio del año.
Es importante tener en cuenta que las cifras reportadas de las sesiones ordinarias del comité de conciliación se da con ocasión a las audiencias de conciliación extrajudicial registradas, no influyen en el comportamiento del indicador pero se incluye en el análisis como gestión.</t>
  </si>
  <si>
    <t xml:space="preserve">19/07/2022
Relacionar el análisis del indicador con respecto a  la meta, cuáles fueron los logros obtenidos o la gestión que permitió o no el cumplimiento de la meta. Aclarar en  dicho análisis si las sesiones ordinarias  del comité de conciliación mencionadas en los análisis mensuales de enero a mayo de la vigencia, entran en el desempeño del indicador o la razón por la cual se reportan mensualmente.
Marcar las  evidencias con el código del indicador según corresponda, en la carpeta compartida.
19/07/2022
No se identifican observaciones ni sugerencias adicionales frente al reporte del periodo. </t>
  </si>
  <si>
    <t>"Durante el mes de julio se asistió a tres (3) audiencias de conciliación extrajudicial. Se evacuaron 2 sesiones ordinarias  y 1 extraordinaria del comité de conciliación."
"Durante el mes de agosto se asistió a ocho (8) audiencias de conciliación extrajudicial. Se evacuaron 2 sesiones ordinarias  y 3 extraordinaria del comité de conciliación."
Durante el mes de septiembre se asistió a siete (7) audiencias de conciliación extrajudicial. Se evacuaron 2 sesiones ordinarias  y 2 extraordinaria del comité de conciliación.</t>
  </si>
  <si>
    <t xml:space="preserve">11/10/2022
No se identifican observaciones ni sugerencias  frente al reporte del periodo. </t>
  </si>
  <si>
    <t>GJ-003</t>
  </si>
  <si>
    <t xml:space="preserve">
Actuaciones de defensa jurídica atendidas</t>
  </si>
  <si>
    <t>Determinar la oportunidad en la defensa judicial de la Entidad, con el fin de evitar condenas y sanciones contra la Secretaría.</t>
  </si>
  <si>
    <t xml:space="preserve">Atención de los estados judiciales que requieren actuaciones dentro del termino establecido por la ley. </t>
  </si>
  <si>
    <t>(Número de actuaciones atendidas en el periodo / Número de actuaciones notificadas por los diferentes despachos judiciales) * 100%</t>
  </si>
  <si>
    <t>Base de Datos de Procesos Judiciales de la OAJ.
Sistema de Información de Procesos Judiciales- SIPROJ WEB-  Módulo Judiciales- Contingente Judicial</t>
  </si>
  <si>
    <t>Se toma la base de datos "Procesos judiciales de la OAJ" y se filtra la columna "Número de actuaciones atendidas" y la comuna "actuaciones notificadas" para el periodo del reporte.</t>
  </si>
  <si>
    <t>Base de datos Procesos judiciales</t>
  </si>
  <si>
    <t>En el mes de enero de 2022, realizamos estudios de conciliaciones judiciales, presentamos contestación de demandas, asistimos a  audiencias iniciales, de pruebas, alegaciones y juzgamiento, presentamos alegatos de conclusión en diferentes instancias y recursos.
La mayor parte de las audiencias a las que se hace alusión fueron programadas y notificadas en meses anteriores. Igualmente se fijaron fechas para audiencias para meses posteriores.
Así mismo fueron notificadas demandas dentro de las cuales se tiene un plazo de contestación de 30 días hábiles.</t>
  </si>
  <si>
    <t>En el mes de febrero de 2022, realizamos estudios de conciliaciones judiciales, presentamos contestación de demandas, asistimos a  audiencias iniciales, de pruebas, alegaciones y juzgamiento, presentamos alegatos de conclusión en diferentes instancias y recursos.
La mayor parte de las audiencias a las que se hace alusión fueron programadas y notificadas en meses anteriores. Igualmente se fijaron fechas para audiencias para meses posteriores.
Así mismo fueron notificadas demandas dentro de las cuales se tiene un plazo de contestación de 30 días hábiles.</t>
  </si>
  <si>
    <t xml:space="preserve">En el mes de marzo de 2022, realizamos estudios de conciliaciones judiciales, presentamos contestación de demandas, asistimos a  audiencias iniciales, de pruebas, alegaciones y juzgamiento, presentamos alegatos de conclusión en diferentes instancias y recursos.
La mayor parte de las audiencias a las que se hace alusión fueron programadas y notificadas en meses anteriores. Igualmente se fijaron fechas para audiencias para meses posteriores.
Así mismo fueron notificadas demandas dentro de las cuales se tiene un plazo de contestación de 30 días hábiles.
</t>
  </si>
  <si>
    <t>En el mes de abril de 2022, contestamos solicitudes de la aplicación de  efectos de la jurisprudencia de unificación del Consejo de Estado No. 00260 de 2016 (Expediente 23001233300020130026001) - Artículo 102 de la Ley 1437 de 2011. 
Por otra parte, realizamos estudios de conciliaciones judiciales, presentamos contestación de demandas, asistimos a  audiencias iniciales, de pruebas, alegaciones y juzgamiento, presentamos alegatos de conclusión en diferentes instancias y recursos.
La mayor parte de las audiencias a las que se hace alusión fueron programadas y notificadas en meses anteriores. Igualmente se fijaron fechas para audiencias para meses posteriores.
Así mismo fueron notificadas demandas dentro de las cuales se tiene un plazo de contestación de 30 días hábiles. En consideración con lo anterior y para ejercer la defensa técnica de la entidad, hemos solicitado insumos a las diferentes dependencias.</t>
  </si>
  <si>
    <t xml:space="preserve">En el mes de mayo de 2022, contestamos solicitudes de la aplicación de  efectos de la jurisprudencia de unificación del Consejo de Estado No. 00260 de 2016 (Expediente 23001233300020130026001) - Artículo 102 de la Ley 1437 de 2011. 
Por otra parte, realizamos estudios de conciliaciones judiciales, presentamos contestación de demandas, asistimos a  audiencias iniciales, de pruebas, alegaciones y juzgamiento, presentamos alegatos de conclusión en diferentes instancias y recursos.
La mayor parte de las audiencias a las que se hace alusión fueron programadas y notificadas en meses anteriores. Igualmente se fijaron fechas para audiencias para meses posteriores.
Así mismo fueron notificadas demandas dentro de las cuales se tiene un plazo de contestación de 30 días hábiles. En consideración con lo anterior y para ejercer la defensa técnica de la entidad, hemos solicitado insumos a las diferentes dependencias.
</t>
  </si>
  <si>
    <t>En el mes de junio de 2022, contestamos solicitudes de la aplicación de  efectos de la jurisprudencia de unificación del Consejo de Estado No. 00260 de 2016 (Expediente 23001233300020130026001) - Artículo 102 de la Ley 1437 de 2011. 
Por otra parte, realizamos estudios de conciliaciones judiciales, presentamos contestación de demandas, asistimos a  audiencias iniciales, de pruebas, alegaciones y juzgamiento, presentamos alegatos de conclusión en diferentes instancias y recursos.
La mayor parte de las audiencias a las que se hace alusión fueron programadas y notificadas en meses anteriores. Igualmente se fijaron fechas para audiencias para meses posteriores.
Así mismo fueron notificadas demandas dentro de las cuales se tiene un plazo de contestación de 30 días hábiles. En consideración con lo anterior y para ejercer la defensa técnica de la entidad, hemos solicitado insumos a las diferentes dependencias.
Como análisis del semestre es importante señalar que no todas las actuaciones notificadas al buzón electrónico de notificaciones judiciales requieren intervención, debido a que muchas de estas no son incidentes en el curso del proceso judicial. En tal sentido, con el 91%, como resultado de gestión en el indicador se cumple en su totalidad junto con el desarrollo de este.</t>
  </si>
  <si>
    <t xml:space="preserve">19/07/2022
Relacionar el análisis del indicador con respecto a  la meta, cuáles fueron las situaciones que conllevaron al incumplimiento de la meta. 
Marcar las  evidencias con el código del indicador según corresponda, en la carpeta compartida.
19/07/2022
No se identifican observaciones ni sugerencias adicionales frente al reporte del periodo. </t>
  </si>
  <si>
    <t>11/10/2022
Ajustar el análisis para los tres meses ya que la información se repite puede ir relacionada una sola vez. 
14/10/2022
No se generan observaciones ni sugerencias adicionales para el periodo reportado.</t>
  </si>
  <si>
    <t>GJ-004</t>
  </si>
  <si>
    <t>Seguimientos y recomendaciones a los casos del Deber de Denuncia emitidos por la Oficina Asesora Jurídica- OAJ</t>
  </si>
  <si>
    <t>Atender de manera oportuna los asuntos que competen al Deber de Denuncia, aportando a la protección  de los derechos de los participantes de la SDIS y previniendo el daño antijurídico de la Entidad.</t>
  </si>
  <si>
    <t xml:space="preserve">Informes de deber de denuncia radicados ante la Oficina Asesora Jurídica de contenido administrativo
</t>
  </si>
  <si>
    <t>(Número de seguimientos y recomendaciones remitido(s) a la dependencia(s) competente(s) dentro de los diez días hábiles siguientes a la radicación de los informes en la OAJ / Número de informes de Deber de denuncia de contenido administrativo radicados en la OAJ) * 100%</t>
  </si>
  <si>
    <t>Base de datos de deber de denuncia de la Oficina Asesora Jurídica</t>
  </si>
  <si>
    <t>Se toma la base de datos "deber de denuncia" y se filtra la columna "fecha ingreso" y la columna "fecha de salida" Nota: los casos que llegan a finales de mes se contestan y se contabilizan dentro del siguiente mes, dando cumplimiento a los términos de respuesta.</t>
  </si>
  <si>
    <r>
      <t xml:space="preserve">Base de datos Deber de denuncia </t>
    </r>
    <r>
      <rPr>
        <strike/>
        <sz val="9"/>
        <color rgb="FFFF0000"/>
        <rFont val="Arial"/>
        <family val="2"/>
      </rPr>
      <t xml:space="preserve">
</t>
    </r>
  </si>
  <si>
    <t>En el mes de enero las diferentes dependencias de la SDIS en el marco del Procedimiento de Deber de Denuncia, reportaron quince (15) informes, de los cuales no se tramitó ninguno, debido al alto flujo que se encontraba pendiente de los meses anteriores. Estos oficios serán tramitados en el mes de febrero de 2022, en término, comoquiera que el trámite de los mismos se vio afectado por la terminación de los contratos de algunos de los profesionales del equipo. 
Durante el mes de enero de 2022 dieciocho (18) oficios pendientes del mes de octubre de 2021, veintinueve (29) oficios pendientes del mes de noviembre de 2021 y siete (7) oficios pendientes del mes de diciembre de 2021.</t>
  </si>
  <si>
    <t>En el mes de febrero las diferentes dependencias de la SDIS reportaron treinta y un (31) informes, de los cuales se tramitó uno (1). Lo anterior, si se tiene en cuenta el alto volumen que se encontraba pendiente de los meses anteriores. Estos oficios serán tramitados en el mes de marzo de 2022, en término, comoquiera que el trámite de los mismos se vio afectado por la terminación de los contratos de algunos de los profesionales del equipo.
Durante el mes de febrero de 2022 se tramitaron cinco (5) oficios pendientes del mes de enero de 2022. En cuanto a los trámites de 2021, durante el mes de febrero de 2022 se tramitaron cinco (5) oficios pendientes del mes de septiembre, tres (3) oficios pendientes del mes de octubre, uno (1) del mes de noviembre y nueve (9) del mes de diciembre
Finalmente, ocho (8) informes del mes de septiembre de 2021, dieciocho (18) informes del mes de octubre de 2021, veintiún (21) informes del mes de noviembre de 2021, veintisiete (27) informes del mes de diciembre de 2021, ocho (8) informes del mes de enero de 2022 y treinta (30) informes del mes de febrero de 2022 se encuentran pendientes y serán tramitados para firma, una vez los profesionales retomen sus obligaciones contractuales</t>
  </si>
  <si>
    <t xml:space="preserve">En el mes de marzo las diferentes dependencias de la SDIS en el marco del Procedimiento de Deber de Denuncia, reportaron ciento seis (106) informes, de los cuales se tramitaron cinco (5), debido al alto flujo que se encontraba pendiente de los meses anteriores. Estos oficios serán tramitados en el mes de abril de 2022, en término, comoquiera que el trámite de los mismos se vio afectado por el rezago pendiente por respuesta y el incremento en el número de trámites derivado del retorno a la prespecialidad a las Unidades Operativas.  
Durante el mes de marzo de 2022 se tramitaron cuatro (4) oficios pendientes del mes de octubre y once (11) oficios pendientes del mes de diciembre de 2021. En cuanto a los trámites de 2022, se tramitó un (1) oficio pendiente del mes de enero y once (11) oficios pendientes del mes de febrero. 
Finalmente, ocho (8) informes del mes de septiembre de 2021, once (11) informes del mes de octubre de 2021, 18 dieciocho informes del mes de noviembre de 2021, (27) informes del mes de diciembre de 2021, seis (6) informes del mes de enero de 2022, diecisiete (17) informes del mes de febrero de 2022 y ciento uno (101) informes del mes de febrero de 2022 se encuentran pendientes y serán tramitados para firma. </t>
  </si>
  <si>
    <t>En el mes de abril de 2022 las diferentes dependencias de la SDIS en el marco del Procedimiento de Deber de Denuncia, reportaron noventa y seis (96) informes, de los cuales se tramitaron dos (2), debido al alto flujo que se encontraba pendiente de los meses anteriores. Estos oficios serán tramitados en el mes de mayo de 2022, en término, comoquiera que el trámite de los mismos se vio afectado por el rezago pendiente por respuesta, el incremento en el número de trámites derivado del retorno a la prespecialidad a las Unidades Operativas y las implicaciones derivadas del encargo realizado en el cargo de Jefe de la Oficina Asesora Jurídica de la SDIS.  
Durante el mes de abril de 2022, se tramitó un (1) oficio pendiente del mes de marzo de 2022. 
Finalmente, ocho (8) informes del mes de septiembre de 2021, once (11) informes del mes de octubre de 2021, 18 dieciocho informes del mes de noviembre de 2021, (27) informes del mes de diciembre de 2021, seis (6) informes del mes de enero de 2022, diecisiete (17) informes del mes de febrero de 2022, cien (100) informes del mes de marzo de 2022 y noventa y cuatro (94) informes del mes de abril de 2022 se encuentran pendientes y serán tramitados para firma.</t>
  </si>
  <si>
    <t>En el mes de mayo de 2022 las diferentes dependencias de la SDIS en el marco del Procedimiento de Deber de Denuncia, reportaron ciento veintiún (121) informes, de los cuales no se tramitó ninguno. Es de anotar que estos serán tramitados en el mes de junio de 2022, en término, comoquiera que el trámite de los mismos se vio afectado por el rezago pendiente por respuesta y las implicaciones derivadas de dos encargos realizados para cubrir el cargo de Jefe de la Oficina Asesora Jurídica de la SDIS.   
Durante el mes de mayo de 2022, se tramitaron doce (12) oficios pendientes del mes de marzo de 2022.  
Finalmente, ocho (8) informes del mes de septiembre de 2021, once (11) informes del mes de octubre de 2021, 18 dieciocho informes del mes de noviembre de 2021, (27) informes del mes de diciembre de 2021, seis (6) informes del mes de enero de 2022, diecisiete (17) informes del mes de febrero de 2022, ochenta y ocho (88) informes del mes de marzo de 2022, noventa y cuatro (94) informes del mes de abril de 2022 y ciento veintiún (121) informes del mes de mayo de 2022 se encuentran pendientes y serán tramitados para firma.</t>
  </si>
  <si>
    <t xml:space="preserve">19/7/2022
Verificar el dato reportado para el numerador del indicador,  el cual debe concordar con los datos cualitativos que han sido reportados  de enero a mayo de la vigencia con un total de 397 y no 393.
Por favor aclarar en el análisis para el semestre la evidencia que se presenta y cómo debe ser filtrada para obtener el dato reportado. Indicar que se da cumplimiento de la meta.
Marcar las  evidencias con el código del indicador según corresponda, en la carpeta compartida.
19/07/2022
No se identifican observaciones ni sugerencias adicionales frente al reporte del periodo. </t>
  </si>
  <si>
    <t>En el mes de julio de 2022, las Unidades Operativas y Subdirecciones Locales de la SDIS, reportaron ciento cuarenta y nueve casos (149)   en el marco del Procedimiento de Deber de Denuncia.
En el mes de julio se dio contestación a un total de ciento seis (106) casos, los cuales, fueron tramitados así: sesenta y nueve de meses anteriores (69) y treinta y siete (37) correspondientes al mes de julio. Las respuestas correspondientes a los meses anteriores surgen con ocasión del tema contractual de la entidad y los casos que se encuentran pendientes por responder, serán tramitados en el mes de agosto de 2022.
En julio se tramitaron dos (2) casos del mes de marzo; nueve (9) memorandos del mes de abril; nueve (9) memorandos del mes de mayo; cuarenta y nueve (49) memorandos de respuesta de junio. 
En el mes de agosto las Unidades Operativas y Subdirecciones Locales de la SDIS, reportaron ciento cuatro casos (104) en el marco del Procedimiento de Deber de Denuncia.
De esos ciento cuatro (104) casos en el mes de agosto se dio contestación a un total de noventa y cuatro casos (94) casos, que corresponden al siguiente trámite: 
- Setenta (70) del rezago que venía de meses anteriores, que como se ha venido señalando en cada informe, surgen con ocasión del tema contractual de la entidad, quedando algo mínimo para septiembre.
- Veinticuatro (24) correspondientes al mes de agosto. 
En agosto se tramitaron diecinueve (19) casos del mes de mayo; cincuenta y uno (51) memorandos del mes de julio.
En el mes de septiembre la Oficina Asesora Jurídica recibió ochenta y siete (87) casos reportados por las Subdirecciones Locales de la SDIS y las Unidades Operativas.
De esos ochenta y siete (87) casos en el mes de septiembre se dio contestación a un total de noventa y uno (91) casos, que se disgregan con el siguiente trámite: 
- Mes de septiembre: se proyectó memorando de seguimiento a treinta y cinco (35) casos. 
- Meses anteriores, se proyectaron memorandos de seguimiento a cincuenta y seis (56) casos del rezago que venía de meses anteriores</t>
  </si>
  <si>
    <t>GJ-005</t>
  </si>
  <si>
    <t>Circular No. 012 del 29/04/2022.</t>
  </si>
  <si>
    <t xml:space="preserve">
Respuesta oportuna de las acciones de tutela notificadas a la Oficina Asesora Jurídica. </t>
  </si>
  <si>
    <t>Demostrar la oportuna defensa judicial, respecto de la respuesta a las acciones de tutela notificadas a la Oficina Asesora Jurídica dentro de los términos legales establecidos por los diferentes Despachos Judiciales.</t>
  </si>
  <si>
    <t>Contestación en termino legal de las acciones de tutela notificadas a la Oficina Asesora Jurídica</t>
  </si>
  <si>
    <t>(No. de Acciones de Tutela contestadas en el término legal / No. de Acciones de Tutela notificadas a la OAJ) * 100%</t>
  </si>
  <si>
    <t xml:space="preserve">"Base de Datos de Acciones de Tutela de la OAJ "
</t>
  </si>
  <si>
    <t>El Administrador de este procedimiento de acciones tutela, verifica mensualmente la base de datos de acciones de tutela,  verificando el cumplimiento de los términos establecidos por los respectivos despachos judiciales.
Para el cumplimiento del termino se tiene en cuenta la columna "contestada en términos".</t>
  </si>
  <si>
    <r>
      <t>Base de datos Tramite acción de tutela con la verificación mensual de cumplimiento de términos</t>
    </r>
    <r>
      <rPr>
        <strike/>
        <sz val="9"/>
        <color rgb="FFFF0000"/>
        <rFont val="Arial"/>
        <family val="2"/>
      </rPr>
      <t xml:space="preserve">
</t>
    </r>
  </si>
  <si>
    <t>En el mes de enero de 2022, fueron contestadas setenta (70) acciones de tutela, de estas, cuatro (4) fueron contestadas por fuera del primer término establecido por el Despacho Judicial.
En consecuencia, el 94 % de las acciones de tutela fueron enviadas a los despachos judiciales en el primer tiempo otorgado por el Despacho Judicial.</t>
  </si>
  <si>
    <t>En el mes de febrero de 2022, fueron contestadas ochenta y nueve (89) acciones de tutela, de estas, ocho (8) fueron contestadas por fuera del primer término establecido por el Despacho Judicial.
En consecuencia, el 91 % de las acciones de tutela fueron enviadas a los despachos judiciales en el primer tiempo otorgado por el Despacho Judicial y el 9 % por diferentes situaciones entre ellas, la tardanza del área técnica para aportar los insumos solicitados por la temática de la acción de tutela (convocatoria distrito 4).</t>
  </si>
  <si>
    <t>En el mes de marzo de 2022, fueron contestadas ciento siete (107) acciones de tutela, de estas, ocho (8) fueron contestadas por fuera del primer término establecido por el Despacho Judicial.
En consecuencia, el 93 % de las acciones de tutela fueron enviadas a los despachos judiciales en el primer tiempo otorgado por el Despacho Judicial y el 7 % por diferentes situaciones entre ellas, la tardanza del área técnica para aportar los insumos solicitados</t>
  </si>
  <si>
    <t>En el mes de abril de 2022, fueron contestadas setenta y cuatro (74) acciones de tutela, de estas, dos (2) fueron contestadas por fuera del primer término establecido por el Despacho Judicial.
En consecuencia, el 97 % de las acciones de tutela fueron enviadas a los despachos judiciales en el primer tiempo otorgado por el Despacho Judicial y el 3 % fuera del referido término, por la tardanza del área técnica para aportar los insumos solicitados.</t>
  </si>
  <si>
    <t>En el mes de mayo de 2022, fueron contestadas ochenta y tres (83) acciones de tutela, de estas, seis (6) fueron contestadas por fuera del primer término establecido por el Despacho Judicial.
En consecuencia, el 93% de las acciones de tutela fueron enviadas a los despachos judiciales en el primer tiempo otorgado por el Despacho Judicial y el 7 % por retraso en la recopilación de los insumos por parte de las áreas técnicas.</t>
  </si>
  <si>
    <t>En el mes de junio de 2022, fueron contestadas noventa y una (91) acciones de tutela, de estas, once (11) fueron contestadas por fuera del primer término establecido por el Despacho Judicial.
En consecuencia, el 88% de las acciones de tutela fueron enviadas a los despachos judiciales en el primer tiempo otorgado por el Despacho Judicial y el 12.087 % por diferentes situaciones entre ellas, la tardanza del área técnica para aportar los insumos solicitados y disminución de profesionales contestando por terminación de contratos.</t>
  </si>
  <si>
    <t>19/7/2022
No se identifican observaciones frente al reporte del periodo. 
Marcar las  evidencias con el código del indicador según corresponda, en la carpeta compartida.</t>
  </si>
  <si>
    <t>En el mes de julio de 2022, fueron contestadas ochenta (80) acciones de tutela, de estas, cuatro (4) fueron contestadas por fuera del primer término establecido por el Despacho Judicial.
En consecuencia, el 95 % de las acciones de tutela fueron enviadas a los despachos judiciales en el primer tiempo otorgado por el Despacho Judicial y el 5 % en su mayoría por retraso en la recopilación de los insumos por parte de las áreas técnicas.
En el mes de agosto de 2022, fueron contestadas noventa (90) acciones de tutela, de estas, cinco (5) fueron contestadas por fuera del primer término establecido por el Despacho Judicial.
En consecuencia, el 94 % de las acciones de tutela fueron enviadas a los despachos judiciales en el primer tiempo otorgado por el Despacho Judicial y el 4 % fuera del referido término, por la tardanza del área técnica para aportar los insumos solicitados
En el mes de septiembre de 2022, fueron contestadas sesenta y siete (67) acciones de tutela, de estas, tres (3) fueron contestadas por fuera del primer término establecido por el Despacho Judicial.
En consecuencia, el 96% de las acciones de tutela fueron enviadas a los despachos judiciales en el primer tiempo otorgado por el Despacho Judicial</t>
  </si>
  <si>
    <t>11/10/2022
La evidencia para el mes de agosto no coincide con lo reportado. Se identifican 5 tutelas contestadas por fuera de termino y no 4 por favor verificar.
Debido a que no se realizaron los reportes de avance de indicadores en julio y agosto, la información de esos meses debe estar en blanco, por favor ajustar.
14/10/2022
No se generan observaciones ni sugerencias adicionales para el periodo reportado.</t>
  </si>
  <si>
    <t>GL-001</t>
  </si>
  <si>
    <t>Servicios Logísticos Satisfactorios</t>
  </si>
  <si>
    <r>
      <t xml:space="preserve">
Medir el cumplimiento de los servicios logísticos a través de la atención oportuna de las solicitudes</t>
    </r>
    <r>
      <rPr>
        <strike/>
        <sz val="9"/>
        <color theme="1"/>
        <rFont val="Arial"/>
        <family val="2"/>
      </rPr>
      <t xml:space="preserve"> </t>
    </r>
    <r>
      <rPr>
        <sz val="9"/>
        <color theme="1"/>
        <rFont val="Arial"/>
        <family val="2"/>
      </rPr>
      <t>presentadas derivadas de las alertas tempranas, conceptos sanitarios , visitas de supervisión en campo o informes de los operadores.</t>
    </r>
  </si>
  <si>
    <t>Medir el porcentaje de cumplimiento de la atención a los requerimientos logísticos de la entidad presentados  en el periodo</t>
  </si>
  <si>
    <t xml:space="preserve">
(Número de servicios requeridos atendidos dentro de los 30 días calendario siguientes a su recepción / Total de servicios requeridos recibidos durante los 30 días calendario ) *100</t>
  </si>
  <si>
    <t xml:space="preserve">1. Alertas tempranas
2. Conceptos Sanitarios
3. Visitas de Supervisión en Campo
4. Informes de operadores </t>
  </si>
  <si>
    <t>Realizar el conteo de los servicios requeridos atendidos dentro de los 30 días posteriores a la fecha de recepción e Identificar la cantidad de requerimientos allegados al proceso de Gestión Logística en el mismo periodo.</t>
  </si>
  <si>
    <t>Matriz en Excel de los servicios requeridos con la descripción de las acciones realizadas para atención del servicio requerido y sus respectivos soportes</t>
  </si>
  <si>
    <t>18/04/2022. No se generan observaciones o recomendaciones respecto al análisis presentado en el seguimiento al indicador de gestión</t>
  </si>
  <si>
    <t>En el mes de abril se recibieron 4319 requerimientos por parte de las diferentes Unidades operativas y subdirecciones locales con referencia a los servicios de vigilancia, transporte, servicios generales y manipulación de alimentos, fotocopiado, papelería y mantenimiento, los cuales fueron gestionados de forma eficiente en el transcurso del periodo</t>
  </si>
  <si>
    <t>11/05/2022: Se recomienda en la evidencia del informe de fotocopiado, este con fecha de elaboración, el nombre  y firma de la persona que lo elaboró.
16/05/2022. No se generan más  observaciones o recomendaciones respecto al análisis presentado en el seguimiento al indicador de gestión</t>
  </si>
  <si>
    <t>En el mes de mayo se recibieron 4351 requerimientos por parte de las diferentes unidades operativas y subdirecciones locales con referencia a los servicios de vigilancia, transporte, servicios generales y manipulación de alimentos, papelería, fotocopiado y mantenimiento, los cuales fueron gestionados en un 100% de forma eficiente en el transcurso del periodo</t>
  </si>
  <si>
    <t>7/06/2022. Se recomienda que el análisis se hable en términos de porcentaje para tener más claridad sobre el resultado de la gestión.
En el informe de servicios requeridos, se encuentra repetido el mes de abril y no se encuentra mayo.
13/06/2022. No se generan más  observaciones o recomendaciones respecto al análisis y evidencias presentado en el seguimiento al indicador de gestión</t>
  </si>
  <si>
    <t xml:space="preserve">En el mes de junio se recibieron 5.435 requerimientos por parte de las diferentes unidades operativas y subdirecciones locales con referencia a los servicios de vigilancia, transporte, servicios generales y manipulación de alimentos, los cuales fueron gestionados en un 100% de forma eficiente en el transcurso del periodo.
</t>
  </si>
  <si>
    <t xml:space="preserve">19707/2022: En las evidencias no se encuentra la matriz en Excel de los servicios requeridos.
19/07/2022. No se generan más observaciones o recomendaciones respecto al análisis presentado en el seguimiento al indicador de gestión
</t>
  </si>
  <si>
    <r>
      <t xml:space="preserve">En el mes de agosto se recibieron </t>
    </r>
    <r>
      <rPr>
        <sz val="9"/>
        <rFont val="Arial"/>
        <family val="2"/>
      </rPr>
      <t>5.491</t>
    </r>
    <r>
      <rPr>
        <sz val="9"/>
        <color theme="1"/>
        <rFont val="Arial"/>
        <family val="2"/>
      </rPr>
      <t xml:space="preserve"> requerimientos por parte de las diferentes unidades operativas y subdirecciones locales con referencia a los servicios de vigilancia, transporte, servicios generales y manipulación de alimentos, los cuales fueron gestionados en un 100% de forma eficiente en el transcurso del periodo.
</t>
    </r>
  </si>
  <si>
    <t>12/09/2022. No se generan observaciones o recomendaciones respecto al análisis presentado en el seguimiento al indicador de gestión</t>
  </si>
  <si>
    <r>
      <t xml:space="preserve">En el mes de septiembre se recibieron </t>
    </r>
    <r>
      <rPr>
        <sz val="9"/>
        <rFont val="Arial"/>
        <family val="2"/>
      </rPr>
      <t>5.283</t>
    </r>
    <r>
      <rPr>
        <sz val="9"/>
        <color theme="1"/>
        <rFont val="Arial"/>
        <family val="2"/>
      </rPr>
      <t xml:space="preserve"> requerimientos por parte de las diferentes unidades operativas y subdirecciones locales con referencia a los servicios de vigilancia, transporte, servicios generales y manipulación de alimentos, los cuales fueron gestionados en un 100% de forma eficiente en el transcurso del periodo.
</t>
    </r>
  </si>
  <si>
    <t>11/10/2022. No se generan observaciones o recomendaciones respecto al análisis presentado en el seguimiento al indicador de gestión</t>
  </si>
  <si>
    <t>GL-002</t>
  </si>
  <si>
    <t>Sensibilización de uso responsable de los bienes</t>
  </si>
  <si>
    <t>Promover el uso responsable de los bienes públicos de la entidad</t>
  </si>
  <si>
    <t>Buen uso de los bienes institucionales por parte de los funcionarios y contratistas de la SDIS</t>
  </si>
  <si>
    <t>(Campañas de sensibilización ejecutadas en el periodo / Campañas de sensibilización programadas en el periodo) * 100 
2 campañas de sensibilización en el año</t>
  </si>
  <si>
    <t>Normatividad y procedimientos vigentes en lo que concierne al manejo de inventarios en la SDIS</t>
  </si>
  <si>
    <t>Realizar el conteo de las campañas de sensibilización y dividirlo en la cantidad campañas de sensibilización programadas para el periodo.</t>
  </si>
  <si>
    <t>Correos electrónicos, memorandos y/o reuniones, piezas comunicativas</t>
  </si>
  <si>
    <t>El grupo de inventarios se encuentra realizando los seguimientos pertinentes a la difusión de la pieza comunicativa la cual fue difundida en el mes de abril. A partir del mencionado ejercicio se espera realizar antes de finalizar el semestre diferentes reuniones de socialización respecto a la información difundida.</t>
  </si>
  <si>
    <t>11/05/2022. No se generan observaciones o recomendaciones respecto al análisis presentado en el seguimiento al indicador de gestión</t>
  </si>
  <si>
    <t>El grupo de inventarios continúa realizando las actividades pertinentes a la sensibilización en temas relacionados con inventarios. Se espera tener las evidencias pertinentes de dichos seguimientos finalizando el mes e junio</t>
  </si>
  <si>
    <t>7/06/2022. No se generan observaciones o recomendaciones respecto al análisis presentado en el seguimiento al indicador de gestión</t>
  </si>
  <si>
    <t xml:space="preserve">El grupo de inventarios  de la Subdirección Administrativa y Financiera, continúa adelantando jornadas de transmisión de conocimiento  sobre aplicación  de procedentes de manejo de  inventarios que hacen parte de Sistema Integrado de gestión de la SDIS. Se dispone de  evidencias continuas de dichas gestiones.
Como evidencia se entrega memorando y correo de muestra de campaña de sensibilización para aprobación, teniendo un 45% de avance en las campañas (2 al año) programadas durante la vigencia </t>
  </si>
  <si>
    <t xml:space="preserve">19/07/2022: Se recomienda realizar el análisis cualitativo en las casillas correspondientes, debido a que se debe reportar semestralmente.
19/07/2022. No se generan más observaciones o recomendaciones respecto al análisis presentado en el seguimiento al indicador de gestión
</t>
  </si>
  <si>
    <t>Durante el mes de agosto se realizaron actividades de transmisión de conocimiento al interior del grupo de inventarios, con la entrega del cargo de la persona a cargo del equipo de Trabajo.</t>
  </si>
  <si>
    <t>11/10/2022: Se recomienda tener en cuenta las piezas comunicativas que se van a realizar en la vigencia 2022 y que se verificaran cuando termine dicha vigencia
12/10/2022. No se generan observaciones o recomendaciones respecto al análisis presentado en el seguimiento al indicador de gestión</t>
  </si>
  <si>
    <t>GL-003</t>
  </si>
  <si>
    <t xml:space="preserve">Traslados realizados en tiempo real </t>
  </si>
  <si>
    <t>Gestionar traslados de bienes en tiempo real</t>
  </si>
  <si>
    <t xml:space="preserve">Actualizar los responsables y ubicación del inventario institucional </t>
  </si>
  <si>
    <t xml:space="preserve">
(Número de solicitudes de traslado  atendidas en el trimestre / Total de solicitudes de traslado recibidas en el trimestre) *100</t>
  </si>
  <si>
    <t>Aplicativo SEVEN</t>
  </si>
  <si>
    <t>Identificar en la base de datos consolidada de inventarios de traslados realizados en el periodo en el aplicativo SEVEN, los cuales deben compararse con el total solicitudes de traslado recibidas en el periodo</t>
  </si>
  <si>
    <t>Matriz en Excel de los traslados atendidos</t>
  </si>
  <si>
    <t>En el mes de abril se recibieron 522 solicitudes de traslado las cuales fueron atendidas en un 100%</t>
  </si>
  <si>
    <t>En el mes de mayo se recibieron 727 solicitudes de traslado las cuales fueron atendidas en un 100%</t>
  </si>
  <si>
    <t xml:space="preserve">En el mes de junio se gestionaron 820 traslados de bienes mediante los cuales se modifico la responsabilidad sobre bienes de inventario de la SDIS. Se tramito el 100% de  los mismos. 
En el 2do trimestre se sacaron 2069 traslados de bienes los cuales fueron ejecutados al 100%
</t>
  </si>
  <si>
    <t>En el mes de agosto se gestionaron 711 traslados de bienes mediante los cuales se modifico la responsabilidad sobre bienes de inventario de la SDIS. Se tramito el 100% de  los mismos.</t>
  </si>
  <si>
    <t xml:space="preserve">En el mes de septiembre se gestionaron 547 traslados de bienes mediante los cuales se modificó la responsabilidad sobre bienes de inventario de la SDIS. Se tramito el 100% de  los mismos. 
En el tercer trimestre se efectuaron 2011 traslados de bienes los cuales fueron ejecutados al 100%
</t>
  </si>
  <si>
    <t>GL-005</t>
  </si>
  <si>
    <t>Seguimiento a las pruebas representativas y/o conteos selectivos</t>
  </si>
  <si>
    <t>Realizar el seguimiento a las pruebas representativas ejecutadas por las dependencias, Subdirecciones Locales y unidades operativas en general de la SDIS</t>
  </si>
  <si>
    <t>Realizar seguimientos de la ubicación y estado del inventario institucional</t>
  </si>
  <si>
    <t>(Seguimientos de las pruebas representativas realizadas por las dependencias, Subdirecciones Locales y unidades operativa de la SDIS /   Seguimientos de las pruebas representativas  programados por las dependencias, Subdirecciones Locales y unidades operativa de la SDIS) * 100
12 pruebas representativas y/o conteos selectivos en la vigencia</t>
  </si>
  <si>
    <t>Subdirecciones Locales y unidades operativas en general de la SDIS</t>
  </si>
  <si>
    <t>Identificar en la base de datos consolidada de inventarios de pruebas representativas o selectivas realizadas, los cuales deben compararse con el total de pruebas representativas o selectivas programadas</t>
  </si>
  <si>
    <t>Informe de gestión por cada seguimiento realizado</t>
  </si>
  <si>
    <t>Se han venido realizando los seguimientos pertinentes a las solicitudes realizadas de pruebas representativas, información que se irá analizando y consolidando.</t>
  </si>
  <si>
    <t>El grupo de inventarios continúa realizando los seguimientos pertinente para la recepción de la información relacionada con pruebas representativas. Se espera que en el mes de junio se cuente con la información correspondiente al segundo trimestre del año 2022</t>
  </si>
  <si>
    <t xml:space="preserve"> consolido y remitió  entrega de 302  pruebas representativas de inventario correspondientes al primer semestre del año 2022, las cuales se entregan al 100%.
Se tiene definido plan de entrega trimestral de pruebas.
NOTA: Debido a la coyuntura presentada con la contratación del personal, el informe de gestión será elaborado y entregado para el reporte del mes de Julio.</t>
  </si>
  <si>
    <t xml:space="preserve">19/07/2022: Se recomienda describir en el análisis cualitativo, a que corresponde el 302 y también definir dicho análisis en términos de porcentajes
En las evidencias no se encuentra el informe de gestión por cada seguimiento realizado. 
19/07/2022. No se generan más observaciones o recomendaciones respecto al análisis presentado en el seguimiento al indicador de gestión
</t>
  </si>
  <si>
    <t>Durante el mes de agosto el grupo de almacén e inventarios consolidó tres pruebas representativas con 364 bienes plenamente identificados cumpliendo con la programación del periodo de reporte.</t>
  </si>
  <si>
    <t>Durante el mes de reporte se consolidan 116 pruebas representativas ejecutadas en las Subdirecciones Locales y Subdirecciones Técnicas por parte de los referentes de Nivel Central y los Gestores Locales de Inventario.
Se consolida una base de datos compartida con el fin de organizar la información de las pruebas representativas durante la presente vigencia</t>
  </si>
  <si>
    <t>IVC-005</t>
  </si>
  <si>
    <t>Circular No. 026 del 18/08/2022</t>
  </si>
  <si>
    <t>Visitas realizadas por primera vez de inspección a las instituciones nuevas inscritas.</t>
  </si>
  <si>
    <t>Medir el porcentaje de cumplimiento de las visitas por primera vez  de Inspección a las Instituciones prestadoras de servicios sociales de Educación Inicial desde el enfoque de Atención Integral a la Primera Infancia - AIPI y de Protección y atención integral a personas mayores en el Distrito Capital, inscritas en el Sistema de Información y Registro de Servicios Sociales - SIRSS.</t>
  </si>
  <si>
    <t>Talento humano suficiente para atender todas las visitas de inspección de primera vez.
Disposición de las instituciones para atender la visita por primera vez.</t>
  </si>
  <si>
    <t xml:space="preserve">(Número de instituciones nuevas inscritas en el SIRSS acumuladas al periodo con visita de inspección por primera vez / Número total  acumulado de instituciones nuevas  inscritas en el SIRSS)*100 
</t>
  </si>
  <si>
    <t xml:space="preserve">Instrumentos Únicos de Verificación - IUV diligenciados en el período.
Base de datos de inscripción en el Sistema de Información y Registro de Servicios Sociales - SIRSS </t>
  </si>
  <si>
    <t xml:space="preserve">El numerador corresponde al número de instituciones nuevas inscritas en el SIRSS que prestan servicios sociales con visitas por primera vez de inspección, realizadas acumuladas.
El denominador corresponde al total acumulado de instituciones nuevas inscritas en el SIRSS que prestan  servicios sociales.
</t>
  </si>
  <si>
    <t>Reporte en Excel de Instituciones prestadoras de servicios sociales de educación inicial y de protección y atención integral a personas mayores en el Distrito Capital, con fecha  de inscripción en el SIRSS, fecha de verificación de la primera visita de inspección</t>
  </si>
  <si>
    <t>En el mes de enero, seis (6) instituciones se inscribieron en el SIRSS para la prestación del servicio social de Educación Inicial y de Atención y Protección a las Personas Mayores.
En este sentido, se planea iniciar las visitas de verificación en los meses de marzo y abril de 2022.</t>
  </si>
  <si>
    <t>En el mes de febrero, tres (3) instituciones se inscribieron en el SIRSS para la prestación del servicio social de Educación Inicial.
Durante el mes no se inscribieron Instituciones de Atención y Protección a las Personas Mayores.
En este sentido, se planea iniciar las visitas de verificación en los meses de marzo y abril de 2022.</t>
  </si>
  <si>
    <t>En el mes de marzo, seis (6) instituciones se inscribieron en el SIRSS para la prestación del servicio social de Educación Inicial y de Atención y Protección a las Personas Mayores.
Durante el periodo se visitaron los dos (2) hogares de persona mayor inscritos, considerando que para el servicio de Educación Inicial se realizó la actualización de los estándares de calidad en el marco de la Resolución 2151 de 2021. Una vez se lleve a cabo el proceso de socialización de los estándares a los jardines, se realizarán las visitas de primera vez.
En este sentido, se planea iniciar las visitas de verificación entre abril y mayo.</t>
  </si>
  <si>
    <t>07/04/2022
Se recomienda realizar las visitas de inspección por primera vez entre abril y mayo para las instituciones inscritas durante el primer trimestre, como se indica en el análisis, e iniciar con las visitas de inspección a las instituciones que se inscriban durante el segundo trimestre para conseguir un nivel de cumplimiento más alto con respecto de la meta en el próximo trimestre.
Por lo demás, no se generan observaciones o recomendaciones adicionales respecto al análisis presentado en el seguimiento al indicador de gestión.</t>
  </si>
  <si>
    <t>En el mes de abril, cinco (5) instituciones se inscribieron en el SIRSS para la prestación del servicio social de Educación Inicial y Atención y Protección a las Personas Mayores. Durante el periodo no se realizaron visitas de primera vez, considerando que conforme con la programación del equipo de Inspección y Vigilancia se realizarán entre los meses de mayo y junio.</t>
  </si>
  <si>
    <t>En el mes de mayo, siete (7) instituciones se inscribieron en el SIRSS para la prestación del servicio social de Educación Inicial y Atención y Protección a las Personas Mayores. Durante el periodo el equipo de Inspección y Vigilancia inició y realizó visitas de primera vez.
En el mes de junio se dará continuidad, priorizando la realización de las visitas de primera vez, para lograr así el cumplimiento de la meta propuesta para la presente vigencia.</t>
  </si>
  <si>
    <t>08/06/2022
No se generan observaciones o recomendaciones respecto al análisis presentado en el seguimiento al indicador de gestión.</t>
  </si>
  <si>
    <t>En el primer semestre de la vigencia, 32 instituciones se inscribieron en el SIRSS para la prestación del servicio social de Educación Inicial y de Atención y Protección a las Personas Mayores, de las cuales 19 instituciones nuevas inscritas en el SIRSS que prestan servicios sociales cuentan con visitas de inspección realizadas por primera vez (acumuladas), con un porcentaje de cumplimiento del 59%.
Con corte a junio se visitaron cuatro (4) hogares de persona mayor inscritos y quince (15) jardines infantiles públicos y privados realizando la visita de primera vez.
En este sentido se continuará realizando programación continua de visitas de primera vez a las instituciones que realicen o han realizado el proceso de inscripción al SIRSS, cumpliendo con la primera verificación de condiciones de operación de estas instituciones y el respectivo proceso de inspección y vigilancia y así lograr el cumplimiento de la meta del indicador.</t>
  </si>
  <si>
    <t>En el mes de julio, dos (2) instituciones se inscribieron en el SIRSS para la prestación del servicio social de Educación Inicial y Atención y Protección a las Personas Mayores. Durante el periodo el equipo de Inspección y Vigilancia inició y realizó visitas de primera vez.
En el mes de agosto se dará continuidad, priorizando la realización de las visitas de primera vez, para lograr así el cumplimiento de la meta propuesta para la presente vigencia.</t>
  </si>
  <si>
    <t>08/08/2022
No se generan observaciones o recomendaciones respecto al análisis presentado en el seguimiento al indicador de gestión.</t>
  </si>
  <si>
    <t>En el mes de agosto, dos (2) instituciones se inscribieron en el SIRSS para la prestación del servicio social de Educación Inicial y Atención y Protección a las Personas Mayores. Durante el periodo el equipo de Inspección y Vigilancia inició y realizó visitas de primera vez.
En el transcurso de la vigencia se continuará priorizando la realización de las visitas de primera vez conforme se reciban inscripciones, para lograr así el cumplimiento de la meta propuesta para la presente vigencia.</t>
  </si>
  <si>
    <t>06/09/2022
No se generan observaciones o recomendaciones respecto al análisis presentado en el seguimiento al indicador de gestión.</t>
  </si>
  <si>
    <t>A septiembre de 2022, 43 instituciones se inscribieron en el SIRSS para la prestación del servicio social de Educación Inicial y de Atención y Protección a las Personas Mayores, de las cuales 30 instituciones nuevas inscritas en el SIRSS que prestan servicios sociales cuentan con visitas de inspección realizadas por primera vez (acumuladas), con un porcentaje de cumplimiento del 70%.
Con corte a septiembre se visitaron cinco (5) hogares de persona mayor inscritos y veinticinco (25) jardines infantiles públicos y privados realizando la visita de primera vez. Se debe aclarar que las instituciones inscritas en septiembre tendrán visita de inspección en el siguiente mes.
En este sentido se continuará realizando programación continua de visitas de primera vez a las instituciones que realicen o han realizado el proceso de inscripción al SIRSS, cumpliendo con la primera verificación de condiciones de operación de estas instituciones y el respectivo proceso de inspección y vigilancia y así lograr el cumplimiento de la meta del indicador.</t>
  </si>
  <si>
    <t>20/10/2022
No se generan observaciones o recomendaciones respecto al análisis presentado en el seguimiento al indicador de gestión.</t>
  </si>
  <si>
    <t>IVC-007</t>
  </si>
  <si>
    <t>Visitas de Inspección y Vigilancia realizadas a las instituciones no inscritas, inscritas y activas en el Sistema de Información y Registro de Servicios Sociales (SIRSS).</t>
  </si>
  <si>
    <t>Establecer el porcentaje de visitas efectivas de inspección y vigilancia realizadas a las instituciones no inscritas, inscritas y activas en el Sistema de Información y Registro de Servicios Sociales (SIRSS), en el marco de la verificación de estándares técnicos de calidad u otros lineamientos.</t>
  </si>
  <si>
    <t>Talento humano suficiente para llevar a cabo las visitas de inspección y vigilancia a las instituciones no inscritas, e inscritas y activas.
Disposición de las instituciones para atender las visitas de inspección y vigilancia de verificación de estándares técnicos de calidad u otros lineamientos</t>
  </si>
  <si>
    <t xml:space="preserve">(Número total de visitas efectivas de inspección y vigilancia realizadas acumuladas / Número total de visitas de inspección y vigilancia programadas acumuladas en el periodo)*100
</t>
  </si>
  <si>
    <t>Base de datos de Instituciones no inscritas.
Base de datos de instituciones inscritas y activas en SIRSS.
Base de datos con la información de las visitas de inspección y vigilancia  programadas y las visitas efectivas realizadas a las instituciones.</t>
  </si>
  <si>
    <t>El numerador corresponde al número visitas de inspección y vigilancia  realizadas acumuladas en el marco de la verificación de estándares técnicos de calidad u otros lineamientos a las instituciones no inscritas, inscritas y activas en el SIRSS.
El denominador corresponde al número total visitas de inspección y vigilancia programadas acumuladas en el periodo del reporte.</t>
  </si>
  <si>
    <t xml:space="preserve">
Base de datos de las visitas de inspección y vigilancia programadas con la fecha de visita y resultado obtenido.</t>
  </si>
  <si>
    <t>El indicador se creó y oficializó a través de la Circular No. 026 de 18/08/2022.</t>
  </si>
  <si>
    <t>Durante el mes de agosto se programaron visitas de inspección y de vigilancia a  hogares de persona mayor y jardines infantiles a los cuales se les realizó la verificación de estándares técnicos de calidad.
Con el fin de avanzar en el cumplimiento de la meta establecida se continúa realizando seguimiento a la programación y ejecución de las visitas de verificación de estándares técnicos de calidad y seguimiento a su cumplimiento.</t>
  </si>
  <si>
    <t>A Septiembre de la presente vigencia, se programaron 1.128 visitas de verificación de estándares de calidad a  815 instituciones, de las cuales  918 visitas fueron efectivas aplicando el Instrumento Único de Verificación - IUV de estándares, correspondientes a 714 visitas de inspección y 204 a vigilancias presenciales y virtuales.
En ese sentido se realizaron: 
- 162 visitas de inspección a  Instituciones de Protección y Atención a las Personas Mayores.
- 756 visitas de inspección y vigilancia a instituciones que prestan los servicios de Educación Inicial - AIPI de carácter público y privado, de las cuales 552 fueron de inspección y 204 a vigilancias presenciales y virtuales.
Las instituciones restantes tuvieron imposibilidad de visita, considerando que por diversos factores manifestados en los Hogares Gerontológicos (HG) o Jardines Infantiles (JI) no atendieron la visita. De igual forma, se continuará programando las diferentes instituciones para lograr realizar efectivamente las visitas, con el fin de avanzar en el cumplimiento de la meta establecida y se continuará realizando seguimiento a la programación y ejecución de las visitas de verificación de estándares técnicos de calidad y seguimiento a su cumplimiento.</t>
  </si>
  <si>
    <t>PE-001</t>
  </si>
  <si>
    <t>Circular N° 026 del 18/08/2022</t>
  </si>
  <si>
    <t>Gestión en la verificación de los precios de referencia</t>
  </si>
  <si>
    <t>Verificar el cumplimiento de los requisitos mínimos para establecer los precios de referencia, de acuerdo con lo establecido en el procedimiento Precios unitarios de referencia (PCD-PE-014)</t>
  </si>
  <si>
    <t>Brindar respuesta a las solicitudes de precios de referencia entre tres (3) y ocho (8) días hábiles, una vez radicada la solicitud.</t>
  </si>
  <si>
    <t>(Número de solicitudes de tramitadas oportunamente en el mes / Número de solicitudes radicadas por las dependencias en el mes ) *100</t>
  </si>
  <si>
    <t>Matriz de seguimiento al tramite de solicitudes de precios de referencia</t>
  </si>
  <si>
    <t>Registrar en la matriz de seguimiento, las solicitudes de precios de referencia e indicar el memorando y la fecha en que se dio respuesta.
Numerador: hace referencia a la cantidad de solicitudes que tramitaron oportunamente en el mes del reporte.
Denominador: corresponde a la cantidad de solicitudes radicadas en el mes (el mes se contará desde el día 23 del mes anterior del reporte hasta el día 22 de mes de reporte).
Nota: el resultado del indicar al final de la vigencia será acumulado.</t>
  </si>
  <si>
    <t xml:space="preserve">Los resultados obtenidos obedecen a que se brindó respuestas a las dos solicitudes allegadas al corte comprendidas entre el 1 de enero al 22 de mes, detallado de la siguiente manera:
• Subdirección de Abastecimiento 
   Alimentos
• Gastos de comisión y bolsas
Lo que da un porcentaje de avance del 100% para el indicador.
</t>
  </si>
  <si>
    <t>10/03/2022 Verificar ya que la evidencia no se visualiza en la respectiva carpeta. Adicionalmente, se recomienda usar la estructura sugerida para el análisis del indicador, verificar redacción y evitar el uso de mayúsculas.
15/03/2022 No se generan observaciones respecto al análisis reportado para el seguimiento del indicador.</t>
  </si>
  <si>
    <t>10/03/2022 Verificar la evidencia ya que no se identifican claramente las solicitudes radicadas y las tramitadas. Adicionalmente, se recomienda usar la estructura sugerida para el análisis del indicador, verificar redacción y evitar el uso de mayúsculas.
15/03/2022 Verificar ya que se indica que se brindo respuesta al total de solicitudes recibidas, pero describe un porcentaje de cumplimiento del 93% como esta en la evidencia, lo cual tampoco es coherente con el resultado reportado (100%). 
No se generan más observaciones respecto al análisis reportado para el seguimiento del indicador.</t>
  </si>
  <si>
    <t>Los resultados obtenidos obedecen a que se brindó respuestas a 4 de las 4 de las solicitudes allegadas al corte comprendidas entre el 21 de febrero hasta el 22 de marzo, detallado de la siguiente manera:
•	Subdirección de Plantas Físicas	
Ferretería
•	Subdirección Administrativa y Financiera	
Fotocopiado	
Combustible Plantas Eléctricas
•	Subdirección para la Discapacidad	
Servicio Integrarte Interno
Lo que da un porcentaje de avance del 100% para el indicador.</t>
  </si>
  <si>
    <t>07/04/2022 No se generan más observaciones respecto al análisis reportado para el seguimiento del indicador.</t>
  </si>
  <si>
    <t>Los resultados obtenidos obedecen a que se brindó respuestas a 5 de las 5 de las solicitudes allegadas al corte comprendidas entre el 23 de marzo hasta el 22 de abril, detallado de la siguiente manera:
Fotocopiado
Proceso de bonos canjeables
Señalización 2022
Externos 2022
Cuidado transitorio - 7770
Lo que da un porcentaje de avance del 100% para el indicador.</t>
  </si>
  <si>
    <t>10/05/2022 No se generan más observaciones respecto al análisis reportado para el seguimiento del indicador.</t>
  </si>
  <si>
    <t>Los resultados obtenidos obedecen a que se brindó respuestas a 7 de las 7 de las solicitudes de viabilidad de precios allegadas al corte comprendidas entre el 23 de abril hasta el 22 de mayo, detallado de la siguiente manera:
Mantenimiento - equipos - conservación de alimentos
Papelería 2022
Alcance proceso de bonos canjeables comisión
Refrigerios
Licencia - adobe creative cloud
Insumos químicos 
Proceso contractual alojamiento transitorio
Lo que da un porcentaje de avance del 100% para el indicador.</t>
  </si>
  <si>
    <t>08/06/2022 No se generan más observaciones respecto al análisis reportado para el seguimiento del indicador.</t>
  </si>
  <si>
    <t>Los resultados obtenidos obedecen a que se brindó respuestas a 13 de las 13 de las solicitudes de viabilidad de precios allegadas al corte comprendidas entre el 23 de mayo hasta el 22 de junio, detallado de la siguiente manera:
•	Canecas
•	Operador logístico
•	Cajas de archivo
•	Proceso gimnasia
•	Respel 2022
•	Alcance comisión paquetes y canastas 
•	Comisión paquetes y canastas
•	Ensayos de laboratorio
•	Listado 590 insumos motobombas
•	Señalización 2022 - alcance
•	Adquisición lavadoras
•	Alcance proceso contractual alojamiento transitorio 
•	Aerosoles
Lo que da un porcentaje de avance del 100% para el indicador.</t>
  </si>
  <si>
    <t>07/07/2022 No se generan más observaciones respecto al análisis reportado para el seguimiento del indicador.</t>
  </si>
  <si>
    <t>Los resultados obtenidos obedecen a que se brindó respuestas a 11 de las 11 de las solicitudes de viabilidad de precios allegadas al corte comprendidas entre el 22 de junio hasta el 23 de julio, detallado de la siguiente manera:
• Consultoría casona la candelaria
• Listado 4 insumos 
• PAPSO
• Toma de muestras de laboratorio
• Proceso adquisición carpas - proyecto 
• Bolsa de repuestos 2022
• Electrodomésticos
• Gasodomésticos
• Peluquería
• Material lúdico 
• Centros avanzar
Lo que da un porcentaje de avance del 100% para el indicador.</t>
  </si>
  <si>
    <t>11/08/2022 No se generan más observaciones respecto al análisis reportado para el seguimiento del indicador.</t>
  </si>
  <si>
    <t>Los resultados obtenidos obedecen a que se brindó respuestas a 12 de las 12 de las solicitudes de precios allegadas al corte comprendidas entre el 24 de julio hasta el 23 de agosto, detallado de la siguiente manera:
•	Centro día casa de la sabiduría al barrio - 7770
•	Fumigación y lavado de tanques
•	Comisión suministros 4 grupos
•	Aires acondicionados de precisión
•	116 insumos motobombas
•	Suministro mobiliario
•	Calderas y calderines
•	Cofinanciados
•	Alcance comisión suministros 4 grupos
•	Material deportivo
•	Comisión suministros 3 grupos
•	Cabildos
Lo que da un porcentaje de avance del 100% para el indicador.</t>
  </si>
  <si>
    <t>12/09/2022 No se generan más observaciones respecto al análisis reportado para el seguimiento del indicador.</t>
  </si>
  <si>
    <t>Los resultados  obedecen a que se brindó respuestas a 8 de las 8 de las solicitudes de precios allegadas al corte comprendidas entre el 24 de agosto hasta el 22 de septiembre, las cuales se realizo acompañamiento y retroalimentación mediante mesas de trabajo a las dependencias, que adelantaron los siguientes procesos:
•	Ganchos y carpetas
•	Manipulación de alimentos, lavandería y limpieza de campanas
•	Carnes
•	Microbiológicos
•	Pollo
•	Transporte
•	Listado insumos de obra ferretería
•	Toallas de baño
Es necesario señalar, se revisaron 4 procesos adicionales los cuales solicitaron no continuar con la validación por temas de tiempos contractuales. 
Lo anterior, evidencia un porcentaje de avance del 100% para el indicador.</t>
  </si>
  <si>
    <t>10/10/2022 Se recomienda realizar un avance cualitativo más específico, con el fin de evidenciar toda la gestión que realiza el proceso.
10/10/2022 No se generan más observaciones respecto al análisis reportado para el seguimiento del indicador.</t>
  </si>
  <si>
    <t>PE-7741-003</t>
  </si>
  <si>
    <t xml:space="preserve">Cumplimiento del plan de acción integrado de las dependencias que hacen parte del proyecto de inversión </t>
  </si>
  <si>
    <t xml:space="preserve">Calcular el promedio del porcentaje de avance de las actividades que conforman el Plan de Acción Institucional Integrado de la Dirección de Análisis y Diseño Estratégico, Subdirección de Diseño, Evaluación y Sistematización, Subdirección de Investigación e Información y Oficina Asesora de Comunicaciones </t>
  </si>
  <si>
    <t xml:space="preserve">Cumplimiento de las actividades del plan de acción institucional integrado para las dependencias Dirección de Análisis y Diseño Estratégico, Subdirección de Diseño, Evaluación y Sistematización, Subdirección de Investigación e Información y Oficina Asesora de Comunicaciones </t>
  </si>
  <si>
    <t xml:space="preserve">Promedio del resultado del seguimiento trimestral de las dependencias Dirección de Análisis y Diseño Estratégico, Subdirección de Diseño, Evaluación y Sistematización, Subdirección de Investigación e Información y Oficina Asesora de Comunicaciones en el Plan de Acción Institucional Integrado </t>
  </si>
  <si>
    <t xml:space="preserve">Reporte en Excel de la ejecución trimestral del plan de acción institucional integrado </t>
  </si>
  <si>
    <t xml:space="preserve">1. Solicitar el resultado del seguimiento trimestral por dependencias al Plan de Acción Institucional Integrado a la Subdirección de Diseño, Evaluación y Sistematización (Reporte en Excel y Acta del Comité Institucional de Gestión y Desempeño) 
2. Sumar el porcentaje de cumplimiento en el Plan de Acción Institucional Integrado de las dependencias Dirección de Análisis y Diseño Estratégico, Subdirección de Diseño, Evaluación y Sistematización, Subdirección de Investigación e Información y Oficina Asesora de Comunicaciones y dividirlo entre el número de dependencias analizadas 
Notas: 
*Para el reporte del I trimestre (corte a 30 de marzo ) se toma la información del reporte del Plan de Acción Institucional Integrado con corte al 31 de diciembre de la vigencia anterior. </t>
  </si>
  <si>
    <t xml:space="preserve">Reporte trimestral de ejecución del Plan de Acción Institucional Integrado 
Acta del Comité Institucional de Gestión y Desempeño con el resultado del seguimiento por dependencias en el Plan de Acción Institucional Integrado </t>
  </si>
  <si>
    <t>Con corte a 31 de enero de 2022 la Dirección de Análisis y Diseño Estratégico, Subdirección de Diseño, Evaluación y Sistematización, Subdirección de Investigación e Información y Oficina Asesora de Comunicaciones desarrollaron sus correspondientes actividades programadas para el primer trimestre de 2022 en el Plan de Acción Institucional Integrado, el cual será reportado en la primera semana de abril de 2022.</t>
  </si>
  <si>
    <t>14/03/2022 No se generan observaciones respecto al análisis presentado en el seguimiento al indicador de gestión. Se deja la siguiente recomendación: se debe adelantar todas las acciones pertinentes para dar cumplimiento a la meta propuesta.</t>
  </si>
  <si>
    <t>Con corte a 28 de febrero de 2022 la Dirección de Análisis y Diseño Estratégico, Subdirección de Diseño, Evaluación y Sistematización, Subdirección de Investigación e Información y Oficina Asesora de Comunicaciones desarrollaron sus correspondientes actividades programadas para el primer trimestre de 2022 en el Plan de Acción Institucional Integrado, el cual será reportado en la primera semana de abril de 2022.</t>
  </si>
  <si>
    <t xml:space="preserve">De acuerdo con el reporte del Plan de Acción Institucional Integrado (PAII) con corte a 31 de diciembre de 2021, se obtuvo un promedio de ejecución de los productos del PAII de la Dirección de Análisis y Diseño Estratégico del 100%, Subdirección de Diseño, Evaluación y Sistematización un 100%, Subdirección de Investigación e Información un 100% y de la Oficina Asesora de Comunicaciones de 100%, lo que da como resultado un avance promedio del PAII de las dependencias que hacen parte del proyecto de inversión 7741 del 100% </t>
  </si>
  <si>
    <t>07/04/2022 No se generan observaciones respecto al análisis presentado en el seguimiento al indicador de gestión. Se deja la siguiente recomendación: revisar si en los próximos reportes trimestrales seguirá siendo su porcentaje de cumplimiento mayor a la meta 95% propuesta, actualmente el indicador está en 111% de sobrecumplimiento.</t>
  </si>
  <si>
    <t>Con corte a 30 de abril de 2022 la Dirección de Análisis y Diseño Estratégico, Subdirección de Diseño, Evaluación y Sistematización, Subdirección de Investigación e Información y Oficina Asesora de Comunicaciones desarrollaron sus correspondientes actividades programadas para el segundo trimestre de 2022 en el Plan de Acción Institucional Integrado, el cual será reportado en la primera semana de julio de 2022.</t>
  </si>
  <si>
    <t>09/05/2022 No se generan observaciones respecto al análisis presentado en el seguimiento al indicador de gestión. Se deja la siguiente recomendación: es adelantar todas las acciones pertinentes para dar cumplimiento a la meta propuesta.</t>
  </si>
  <si>
    <t>Con corte a 31 de mayo de 2022 la Dirección de Análisis y Diseño Estratégico, Subdirección de Diseño, Evaluación y Sistematización, Subdirección de Investigación e Información y Oficina Asesora de Comunicaciones desarrollaron sus correspondientes actividades programadas para el segundo trimestre de 2022 en el Plan de Acción Institucional Integrado, el cual será reportado en la primera semana de julio de 2022.</t>
  </si>
  <si>
    <t>09/06/2022 No se generan observaciones respecto al análisis presentado en el seguimiento al indicador de gestión. Se deja la siguiente recomendación: se debe adelantar todas las acciones pertinentes para dar cumplimiento a la meta propuesta en el siguiente trimestre.</t>
  </si>
  <si>
    <t xml:space="preserve">De acuerdo con el reporte del Plan de Acción Institucional Integrado (PAII) con corte a 31 de marzo de 2022, se obtuvo un promedio de ejecución de los productos del PAII de la Dirección de Análisis y Diseño Estratégico del 100%, Subdirección de Diseño, Evaluación y Sistematización un 94,3%, Subdirección de Investigación e Información un 92,9% y de la Oficina Asesora de Comunicaciones de 100%, lo que da como resultado un avance promedio del PAII de las dependencias que hacen parte del proyecto de inversión 7741 del 96,8% </t>
  </si>
  <si>
    <t>11/07/2022 No se generan observaciones y/o recomendaciones respecto al análisis presentado en el seguimiento al indicador de gestión.</t>
  </si>
  <si>
    <t>Con corte a 31 de julio de 2022 la Dirección de Análisis y Diseño Estratégico, Subdirección de Diseño, Evaluación y Sistematización, Subdirección de Investigación e Información y Oficina Asesora de Comunicaciones desarrollaron sus correspondientes actividades programadas para el tercer trimestre de 2022 en el Plan de Acción Institucional Integrado, el cual será reportado en la primera semana de octubre de 2022.</t>
  </si>
  <si>
    <t>05/08/2022 No se generan observaciones respecto al análisis presentado en el seguimiento al indicador de gestión. Se deja la siguiente recomendación: continuar con todas las acciones pertinentes para dar cumplimiento a la meta propuesta en el siguiente trimestre.</t>
  </si>
  <si>
    <t>Con corte a 31 de agosto de 2022 la Dirección de Análisis y Diseño Estratégico, Subdirección de Diseño, Evaluación y Sistematización, Subdirección de Investigación e Información y Oficina Asesora de Comunicaciones desarrollaron sus correspondientes actividades programadas para el tercer trimestre de 2022 en el Plan de Acción Institucional Integrado, el cual será reportado en la primera semana de octubre de 2022.</t>
  </si>
  <si>
    <t>13/09/2022 No se generan observaciones respecto al análisis presentado en el seguimiento al indicador de gestión. Se deja la siguiente recomendación: continuar con todas las acciones pertinentes para dar cumplimiento a la meta propuesta en el siguiente trimestre.</t>
  </si>
  <si>
    <t xml:space="preserve">De acuerdo con el reporte del Plan de Acción Institucional Integrado (PAII) con corte a 30 de junio de 2022, se obtuvo un promedio de ejecución de los productos del PAII de la Dirección de Análisis y Diseño Estratégico del 99%, Subdirección de Diseño, Evaluación y Sistematización un 100%, Subdirección de Investigación e Información un 100% y de la Oficina Asesora de Comunicaciones de 96%, lo que da como resultado un avance promedio del PAII de las dependencias que hacen parte del proyecto de inversión 7741 del 98,75% </t>
  </si>
  <si>
    <t>PSS-7564-002</t>
  </si>
  <si>
    <t>Circular 010 de 31/03/2022</t>
  </si>
  <si>
    <t>Actuaciones de seguimiento a casos de violencia intrafamiliar, delito sexual y maltrato infantil que evidencian resultado en SIRBE</t>
  </si>
  <si>
    <t>Monitorear el registro de actuaciones de seguimiento en SIRBE para los casos de violencia Intrafamiliar, delito sexual y maltrato infantil atendidos por Comisarías de Familia</t>
  </si>
  <si>
    <t>Recibir el reporte de DADE de manera oportuna, contar con el talento humano idóneo y suficiente en el área de seguimiento en las Comisarias de Familia, tener computadores con conectividad y acceso al SIRBE de manera permanente</t>
  </si>
  <si>
    <t>(No. De actuaciones de seguimiento a casos de VIF, Delito sexual y MI / No. De actuaciones de seguimiento a casos de VIF, Delito sexual y MI con resultado en Comisarías de Familia en el periodo) * 100</t>
  </si>
  <si>
    <t>SIRBE Comisarías de Familia</t>
  </si>
  <si>
    <t xml:space="preserve">1. Solicitar a DADE la base de datos que contenga las órdenes administrativas por acción de violencia intrafamiliar, denuncia delito sexual y maltrato infantil en Estado de Seguimiento y el resultado de las actuaciones del periodo a medir. 
2. Numerador: Filtrar las ordenes administrativas por acción de violencia intrafamiliar, denuncia delito sexual y maltrato infantil en Estado de Seguimiento con resultado del periodo a medir. 
3. Denominador: Total de las ordenes administrativas por acción de violencia intrafamiliar, denuncia delito sexual y maltrato infantil en Estado de Seguimiento del periodo a medir. 
4. Obtener el porcentaje con los datos del numerador y el denominador. </t>
  </si>
  <si>
    <t>Base de datos suministrada por la DADE</t>
  </si>
  <si>
    <t>Para el mes de  enero de 2022 el proceso de contratación de los profesionales de seguimiento en las comisarías de familia se fue dando de manera progresiva , contando para este mes con por lo menos un profesional por despacho, lo cual aunado a la medición trimestral del indicador, se traducen en  acciones que benefician el registro oportuno de actuaciones en el SIRBE.</t>
  </si>
  <si>
    <t>11/03/2022 No se generan observaciones respecto al análisis presentado en el seguimiento al indicador de gestión. Se deja las siguientes recomendaciones: se debe adelantar todas las acciones pertinentes para dar cumplimiento a la meta propuesta en este último trimestres de la vigencia y enviar los insumos para la actualización del indicador y se oficialice en la circular del mes de marzo.</t>
  </si>
  <si>
    <t>Durante el mes de febrero de 2022 , con ocasión de nuevos  brotes de Covid 19 y teniendo en cuenta las Recomendaciones del Ministerio de Salud y Protección Social, se presentó un porcentaje significativo de aislamientos preventivos de profesionales de seguimiento. lo que puede generar dificultades en el registro de información en el sistema SIRBE Comisarías,  e incidir en el cumplimiento de la meta.</t>
  </si>
  <si>
    <r>
      <t xml:space="preserve">El día 5 de  abril de 2022 se recibe reporte de la medición del indicador con periodo de enero a marzo del 2022. 
</t>
    </r>
    <r>
      <rPr>
        <sz val="9"/>
        <color indexed="8"/>
        <rFont val="Arial"/>
        <family val="2"/>
      </rPr>
      <t>Análisis cuantitativo
Durante el periodo de medición se identifica que se programaron en seguimiento 12278 actuaciones, de las cuales 11578 registran resultado.  Lo cual indica un porcentaje de cumplimiento del  94.3% para este indicador. 
Análisis Cualitativo
Durante   el periodo comprendido entre el 1 de enero y el 31 de marzo de 2022, no se tiene reporte de novedades que hubieran podido afectar la prestación del servicio en las Comisarías de Familia, tampoco novedades frente al  registro de la información en el sistema SIRBE de forma oportuna y que estén relacionadas con el talento humano del nivel 4 de atención de la Ruta Interna de Comisarías de Familia.  Durante el periodo de medición se fortaleció el equipo de profesionales que se encuentran realizando seguimiento de años anteriores y su correspondiente registro en el sistema de información. Contando en la actualidad con 12 profesionales distribuidos en las siguientes comisarias Usme-1, Usme-2, Tunjuelito, Bosa-1, Bosa-3, Kennedy-1,  Engativa-1, Engativa-2, Suba-1, Puente Aranda, Ciudad Bolivar-1, Ciudad Bolivar-2 .</t>
    </r>
  </si>
  <si>
    <t>08/04/2022 No se generan observaciones respecto al análisis presentado en el seguimiento al indicador de gestión. Se deja la siguiente recomendación: revisar si en los próximos reportes trimestrales seguirá siendo su porcentaje de cumplimiento mayor a la meta 90% propuesta, actualmente el indicador está en 105% de sobrecumplimiento.</t>
  </si>
  <si>
    <t xml:space="preserve">Durante el mes de abril de 2022, la Subdirección para la Familia no recibió reportes de las Comisarías de Familia relacionados con ausencia por incapacidades u otros motivos del personal que se ubica en el cuarto nivel de atención, conforme a la ruta interna de atención en Comisarías de Familia, como tampoco recibieron reportes de fallas en la conectividad. Es importante resaltar que la Subdirección para la Familia entregó durante el primer cuatrimestre 75 equipos de cómputo en 34 Comisarías de Familia, lo que permitió mejoras en las herramientas tecnológicas para el ingreso oportuno de las actuaciones Sistema de Información SIRBE Comisarías de Familia.  </t>
  </si>
  <si>
    <t>09/05/2022 No se generan observaciones respecto al análisis presentado en el seguimiento al indicador de gestión. Se deja la siguiente recomendación: se debe adelantar todas las acciones pertinentes para dar cumplimiento a la meta propuesta en el siguiente trimestre.</t>
  </si>
  <si>
    <t>En el mes de mayo de 2022, se realizó el registro oportuno de la información en el sistema SIRBE en la mayoría de Comisarías de Familia, en este periodo solo se recibió el reporte de la Comisaría de Familia de Engativá 2, ya que a un profesional no se le renovó el contrato, ocasionando que las citas que tenía este profesional  programado previamente tuviese que se reasignarse al interior del equipo de la Comisaría de Familia, toda vez que la Subdirección para la familia no cuenta con disponibilidad presupuestal para asignar un reemplazo.
Es importante mencionar que aún continúa el equipo de profesionales de descongestión de seguimiento a medidas de protección de años anteriores y su correspondiente registro en el sistema de información. Contando en la actualidad con 12 profesionales distribuidos en las siguientes comisarias Usme-1, Usme-2, Tunjuelito, Bosa-1, Bosa-3, Kennedy-1, Engativa-1,Rafael Uribe Uribe, Suba-1, Puente Aranda, Ciudad Bolivar-1, Ciudad Bolivar-2 .</t>
  </si>
  <si>
    <t>09/06/2022 No se generan observaciones respecto al análisis presentado en el seguimiento al indicador de gestión. Se deja la siguiente recomendación: seguir adelantando todas las acciones pertinentes para dar cumplimiento a la meta propuesta en el siguiente trimestre.</t>
  </si>
  <si>
    <t>El día 4 de julio de 2022, se recibe reporte de medición durante el periodo enero a junio del año en curso del indicador de gestión.
En el periodo objeto de medición, se identificó que las Comisarías de Familia programaron 27.429 actuaciones en estado seguimiento, de las cuales registraron los respectivos resultados 25.664, logrando así el 93,56% de cumplimiento de cumplimiento oportuno de las actuaciones al Sistema de Información SIRBE COMISARÍAS.
Así mismo, durante el periodo comprendido entre el 1 de abril y el 30 de junio de 2022, no se recibieron reportes  significativos que pudiera afectar la prestación del servicio en las Comisarías de Familia, solamente en el mes de mayo se recibió novedad de la Comisaria de Familia de Engativá 2, el cual no hubo durante algunas semanas profesional de seguimiento asignado que cumpliera con las actuaciones de seguimiento programadas toda vez que no se le renovó contrato por prestación de servicios.
No obstante, se asignó a un profesional del equipo de descongestión en dicha Comisaría de Familia con miras a mitigar la situación presentada.
Durante el periodo de medición se fortaleció el equipo de profesionales que se encuentran realizando seguimiento de años anteriores y su correspondiente registro en el sistema de información. Contando en la actualidad con 12 profesionales distribuidos en las siguientes comisarias Usme-1, Usme-2, Tunjuelito, Bosa-1, Bosa-3, Kennedy-1, Engativa-1, Engativa-2, Suba-1, Puente Aranda y Ciudad Bolivar-2.</t>
  </si>
  <si>
    <t>07/07/2022 No se generan observaciones respecto al análisis presentando en el seguimiento al indicador de gestión. Se deja la siguiente recomendación: con respecto al cumplimiento del periodo ene-jun se encuentra actualmente en un sobrecumplimiento del 104% con respecto a la meta de la vigencia (90%).</t>
  </si>
  <si>
    <t>En el periodo comprendido entre el 1 al 31 de julio de 2022, se recibieron reportes provenientes de las comisarías de familia de: Bosa 1, CAPIV, San Cristóbal 1, Mártires, Usaquén 1, Puente Aranda, Kennedy 3, Ciudad Bolívar 2, Candelaria, Bosa 2 indicando la ausencia de uno o mas profesionales de seguimientos con ocasión a la culminación de los contratos por prestación de servicios, situación que incide en el resultado de la medición del indicador de gestión para Comisarías de Familia.  
No obstante, durante el periodo de medición se fortaleció el equipo de profesionales que se encuentran realizando seguimiento de años anteriores y su correspondiente registro en el sistema de información. Contando en la actualidad con 8 profesionales distribuidos en las siguientes comisarias Usme-1, Tunjuelito, Bosa-3, Engativa-1, Engativa-2, Suba-1, Puente Aranda y Ciudad Bolivar-2.</t>
  </si>
  <si>
    <t>08/08/2022 No se generan observaciones respecto al análisis presentando en el seguimiento al indicador de gestión. Se deja la siguiente recomendación: debemos revisar si en los próximos reportes el cumplimiento del indicador va seguir siendo mayor a la meta propuesta (90%), actualmente se encuentra en sobrecumplimiento del 104%. Si es así se recomienda actualizar la meta del indicador</t>
  </si>
  <si>
    <t>En el periodo comprendido entre el 1 al 31 de agosto de 2022, se recibieron reportes provenientes de las comisarías de familia de: CAPIV y Usaquén 1, indicando la ausencia de uno o mas profesionales de seguimientos por diferentes situaciones administrativas, situación que podría incidir en el resultado de la medición del indicador de gestión para Comisarías de Familia.  
No obstante, durante el periodo de medición se continuó con el equipo itinerante de profesionales que se encuentran realizando seguimiento de años anteriores y su correspondiente registro en el sistema de información. Contando en la actualidad con 8 profesionales distribuidos en las siguientes Comisarías de Familia: Kennedy 1, Usme-1, Tunjuelito, Bosa-3, Engativa-1, Suba-1, Puente Aranda y Ciudad Bolivar-2.</t>
  </si>
  <si>
    <t>11/09/2022 No se generan observaciones respecto al análisis presentando en el seguimiento al indicador de gestión. Se deja la siguiente recomendación: debemos revisar si en los próximos reportes el cumplimiento del indicador va seguir siendo mayor a la meta propuesta (90%), actualmente se encuentra en sobrecumplimiento del 104%. Si es así se recomienda actualizar la meta del indicador</t>
  </si>
  <si>
    <t>A 30 de septiembre de 2022, con base en el periodo de medición de los últimos 6 meses, se identificó que las Comisarías de Familia programaron 31.884 actuaciones en estado seguimiento, de las cuales registraron los respectivos resultados 29.687, logrando así el 93,11% de cumplimiento oportuno de las actuaciones al Sistema de Información SIRBE COMISARÍAS.
Durante el periodo de medición, aparte de tener en las 37 comisarías de familia, en cada uno de los equipos la totalidad de los profesionales de seguimiento, se mantuvo el equipo de profesionales de descongestión que se encuentran realizando seguimiento de años anteriores y su correspondiente registro en el sistema de información. En la actualidad se encuentran distribuidos en las siguientes comisarias Tunjuelito, Bosa-1, Bosa-3, Kennedy-1, Engativa-1, Engativá 1, Suba-1, Puente Aranda y Ciudad Bolivar-2</t>
  </si>
  <si>
    <t>Prestación de servicios sociales  para la inclusión social</t>
  </si>
  <si>
    <t>PSS-7730-001</t>
  </si>
  <si>
    <t>Personas en flujos migratorios mixtos con seguimiento a la referenciación</t>
  </si>
  <si>
    <t>Monitorear el proceso de seguimiento a la referenciación de población en flujos migratorios mixtos a servicios sociales</t>
  </si>
  <si>
    <t xml:space="preserve">Diligenciamiento correcto de los Formatos: Referenciación de población (FOR-PSS-079) que alimenta con información al Formato Seguimiento a la referenciación de población (FOR-PSS-086). </t>
  </si>
  <si>
    <t>(No. de personas migrantes con seguimiento a la referenciación en el período/ No. total de personas migrantes referenciadas en el período) * 100</t>
  </si>
  <si>
    <t>El Formato Seguimiento a la referenciación de población (FOR-PSS-086)</t>
  </si>
  <si>
    <t xml:space="preserve">Numerador:
El dato de las personas con seguimiento a la referenciación se tomará de la información contenida en el formato de seguimiento a la referenciación de población (FOR-PSS-086), Sección Seguimiento 1 Columna S “Fecha” y corresponderá al número de seguimientos hechos en el mes de reporte.
Denominador:
El dato de las personas referenciadas se tomará de la información contenida en el formato de seguimiento a la referenciación de población (FOR-PSS-086), Columna A “No.” y corresponderá al total de referenciaciones hechas en el mes de reporte.
Nota: El resultado del indicador de la vigencia corresponderá a la aplicación de la fórmula con la sumatoria de los periodos reportados.  </t>
  </si>
  <si>
    <t>Formato de seguimiento a la referenciación de población (FOR-PSS-086) consolidado por las unidades operativas del periodo de reporte correspondiente.</t>
  </si>
  <si>
    <t>Durante el primer mes del año 2022, se realizaron actividades orientadas a favorecer las opciones de seguimiento a la referenciación del servicio para la Integración y los derechos del migrante, refugiado y retornado, llevando a cabo el seguimiento a referenciaciones realizadas a los servicios de la Secretaria Distrital de Integración Social, Creciendo en Familia y Comisaría de familia. 
De otra parte, se hizo seguimiento a las referenciaciones realizadas a los servicios ofrecidos por agencias multilaterales tales como la Cruz Roja, Save the Children, Acnur y Humanity and Inclusión, actores que desarrollan acciones orientadas a la inclusión de la población migrante, refugiada y retornada. Lo anterior en consonancia con los propósitos definidos desde el servicio en mención y aportando en la cualificación del ejercicio de seguimiento a la referenciación, incluido en el procedimiento Orientación, información y referenciación (PCD-PSS-006).</t>
  </si>
  <si>
    <t>14/03/2022 No se generan observaciones respecto al análisis reportado para el seguimiento del indicador.</t>
  </si>
  <si>
    <t xml:space="preserve">Durante el mes de febrero se continuó realizando seguimiento de manera significativa a las referenciaciones adelantadas a los diferentes servicios de la Secretaria Distrital de Integración Social (SDIS). Por otra parte, se hizo seguimiento a referenciaciones adelantadas a actores externos como la Secretaría de Educación del Distrito (SED) y organismos internacionales como: Scalabrini, Save The Children, Cruz Roja, Fundación De Atención Al Migrante (FAMIG), la Organización Internacional para las Migraciones (OIM) y la Oficina del Alto Comisionado de las Naciones Unidas para los Refugiados (ACNUR), actores que desarrollan acciones orientadas a la Atención e inclusión de la población migrante, refugiada y retornada en la ciudad. Lo anterior en consonancia con los propósitos definidos desde el servicio en mención y el Procedimiento Orientación, información y referenciación (PCD-PSS-006).
Hasta el momento el seguimiento a la referenciación no presenta ningún rezago ni sobre cumplimiento en su ejecución y se muestra efectiva para la atención de la población migrante, refugiada y retornada, se espera seguir fortaleciendo dicho Actividad.
Por último, es importante señalar que este indicador surtió un proceso de actualización que se oficializo mediante circular 007 SG del 28/02/2022 la cual condujo a que ya no se utilice el Formato Base de consolidación población migrante (FOR-PSS-270) como evidencia del reporte y que solo quede como evidencia a partir de febrero el Formato Seguimiento a la referenciación de población (FOR-PSS-086). </t>
  </si>
  <si>
    <t>Durante el mes de marzo el cumplimiento del indicador corresponde a 61,7 %, dado que se referenciaron 123 personas y se realizaron 76 seguimientos a referenciación. 
Durante el primer trimestre de 2022, se referenciaron un total de 385 personas, realizando seguimiento a un total de 230 personas con lo cual el porcentaje de seguimiento fue de 60%, que corresponde al cumplimiento de lo programado en la meta del indicador.  Se continua con el proceso de referenciación de población proveniente de flujos migratorios mixtos tanto a los servicios de la Secretaria Distrital de Integración Social, como a otras entidades del orden distrital y de cooperación actores que desarrollan acciones orientadas a la atención e inclusión de la población migrante, refugiada y retornada en la ciudad. Lo anterior en concordancia con los propósitos definidos desde el servicio en mención y el procedimiento Orientación, información y referenciación (PCD-PSS-006).
Hasta el momento el seguimiento a la referenciación no presenta ningún rezago ni sobre cumplimiento en su ejecución y se muestra efectiva para la atención.</t>
  </si>
  <si>
    <t>08/04/2022 No se generan observaciones respecto al análisis reportado para el seguimiento del indicador.</t>
  </si>
  <si>
    <t>Durante el mes de abril se continua con el proceso de referenciación de población proveniente de flujos migratorios mixtos tanto a los servicios de la Secretaria Distrital de Integración Social, como a otras entidades del orden distrital y de cooperación internacional. Se evidencia particular referenciación a dos organismos internacionales para atención en salud (Medical Teams y Americares), siguiendo lo establecido en el Procedimiento Orientación, Información y Referenciación (PCD-PSS-006). 
Es importante mencionar que durante el mes hay un mayor número de referenciaciones, lo que indica que el proceso se ha ido fortaleciendo y sigue siendo efectivo para la atención.</t>
  </si>
  <si>
    <t>06/05/2022 No se generan observaciones respecto al análisis reportado para el seguimiento del indicador.</t>
  </si>
  <si>
    <t xml:space="preserve">Durante el mes de mayo se continúa con el proceso de referenciación de población proveniente de flujos migratorios mixtos tanto a los servicios de la Secretaria Distrital de Integración Social, como a otras entidades del orden distrital y de cooperación internacional. Se evidencia particular referenciación a dos organismos internacionales para atención en salud (Medical Teams y Americares): a la Fundación de Atención al Migrante (FAMIG) y a la Fundación Scalabrini, siguiendo lo establecido en el procedimiento Orientación, información y referenciación (PCD-PSS-006). 
Es importante mencionar que durante el mes hay una disminución en el número de referenciaciones, lo cual no afecta el desempeño del indicador con respecto a la meta programada.
</t>
  </si>
  <si>
    <t>06/06/2022 No se generan observaciones respecto al análisis reportado para el seguimiento del indicador.</t>
  </si>
  <si>
    <t>Durante el mes de junio el cumplimiento del indicador corresponde a 76,3 %, dado que se referenciaron 93 personas y se realizaron 71 seguimientos a la referenciación.
Durante el segundo trimestre de 2022, se referenciaron un total de 370 personas, realizando seguimiento a un total de 238 personas, con lo cual el porcentaje de seguimiento fue de 64%, que corresponde a un cumplimiento del 4,3 % por encima de lo programado en la meta del indicador. Este sobrecumplimiento está relacionado con una disminución del número de referenciaciones lo cual posibilito un mayor seguimiento a las mismas. Este aspecto se pueda interpretar como un indicativo de fortalecimiento en el seguimiento a la referenciación y en la realización de la atención. Se continúa con la referenciación de población proveniente de flujos migratorios mixtos tanto a los servicios de la Secretaria Distrital de Integración Social, como a otras entidades del orden distrital y de cooperación internacional. Lo anterior en concordancia con los propósitos definidos desde el servicio en mención y el procedimiento Orientación, información y referenciación (PCD-PSS-006).
Es importante mencionar que en atención al sobrecumplimiento que presenta el indicador en el mes de junio afectó el reporte trimestral, razón por la cual se hará seguimiento al comportamiento del indicador durante el tercer trimestre y se evaluará si es necesario adelantar una actualización de la meta programada.</t>
  </si>
  <si>
    <t>Durante el mes de julio se continúa con el proceso de referenciación de población proveniente de flujos migratorios mixtos tanto a los servicios de la Secretaria Distrital de Integración Social, como a otras entidades del orden distrital y de cooperación internacional. Se evidencia particular referenciación al programa ADN dignidad integrado por Acción Contra El hambre, Consejo Danés para Refugiados y Consejo Noruego para refugiados quienes brindan asistencia humanitaria a través de Transferencias Monetarias Multipropósito.  Lo anterior, siguiendo lo establecido en el procedimiento Orientación, información y referenciación (PCD-PSS-006). 
Es importante mencionar que durante el mes hay una disminución en el número de referenciaciones debido a una contingencia contractual. Sin embargo, no afecta el desempeño del indicador con respecto a la meta programada.</t>
  </si>
  <si>
    <t xml:space="preserve">Durante el mes de agosto se continua con el proceso de referenciación a la población de flujos migratorios mixtos acorde con los lineamientos y metas del proyecto. Se ha realizado una referenciación constante a servicios internos de la Secretaría Distrital de Integración Social como a servicios externos con entidades distritales y cooperantes internacionales. 
Se evidencia una alta referenciación a la entidad externa ADN Dignidad, el Alto Comisionado de las Naciones Unidas para los Refugiados (ACNUR) y la ONG Medical Teams International. Lo anterior se realizó de acuerdo con el procedimiento Orientación, información y referenciación (PCD-PSS-006) de la Secretaría Distrital de Integración Social.           
En términos operativos desde el equipo del servicio se están adelantando las acciones para dar cumplimiento a la meta del indicador de acuerdo con lo esperado y adicionalmente se está monitoreando el avance del mismo, con el objetivo de tomar las acciones que se requieran. </t>
  </si>
  <si>
    <t>08/09/2022 No se generan observaciones respecto al análisis reportado para el seguimiento del indicador.</t>
  </si>
  <si>
    <t>Durante el mes de septiembre el cumplimiento del indicador corresponde a 60,29 %, dado que se referenciaron 68 personas y se realizaron 41 seguimientos a la referenciación.
Durante el tercer trimestre de 2022, se referenciaron un total de 267 personas, realizando seguimiento a un total de 162 personas, con lo cual el porcentaje de seguimiento fue de 61%, que corresponde a un cumplimiento del 1% por encima de lo programado en la meta del indicador. Este sobrecumplimiento está relacionado con una disminución del número de referenciaciones lo cual posibilito un mayor seguimiento a las mismas. Este aspecto se pueda interpretar como un indicativo de fortalecimiento en el seguimiento a la referenciación y en la realización de la atención. 
Se continúa con la referenciación de población proveniente de flujos migratorios mixtos tanto a los servicios de la Secretaria Distrital de Integración Social, como a otras entidades del orden distrital y de cooperación internacional. Lo anterior en concordancia con los propósitos definidos desde el servicio en mención y el procedimiento Orientación, información y referenciación (PCD-PSS-006). Es importante mencionar que en atención al sobrecumplimiento que presenta el indicador, este es menor al que se presentó en el anterior trimestre e inferior a un punto porcentual con respecto a la meta programada, razón por la cual no se considera adelantar actualización de la meta programada en la vigencia 2022, pero se hará seguimiento al comportamiento del indicador durante el cuarto trimestre.</t>
  </si>
  <si>
    <t>06/10/2022 No se generan observaciones respecto al análisis reportado para el seguimiento del indicador.</t>
  </si>
  <si>
    <t>PSS-7735-002</t>
  </si>
  <si>
    <t>Circular N° 015 del 20/05/2022</t>
  </si>
  <si>
    <t>Personas atendidas en el servicio Centros de Desarrollo Comunitario que participan en otros servicios de la Secretaría Distrital de Integración Social.</t>
  </si>
  <si>
    <t>Medir el número de personas que se vinculan al servicio Centros de Desarrollo Comunitario-CDC,  que participan en otros servicios sociales de la Secretaría Distrital de integración Social - SDIS.</t>
  </si>
  <si>
    <t xml:space="preserve">1. Desarrollo de acciones del servicio CDC, para vincular participantes de otros servicios de la SDIS
2. Complementariedad y articulación de acciones  entre los servicios de la SDIS y el servicio CDC
</t>
  </si>
  <si>
    <t>(Número de personas vinculadas al servicio Centros de Desarrollo Comunitario en estado "atendido formado(cursos)" y estado "atendido no formado (cursos)", que participan en otros servicios de la SDIS en cualquier estado / Número total de personas vinculadas al servicio Centros de Desarrollo Comunitario en estado "atendido formado(cursos) y estado atendido no formado (cursos))*100</t>
  </si>
  <si>
    <t>SIRBE</t>
  </si>
  <si>
    <t>Del reporte SIRBE  suministrado por la Subdirección de Diseño, Evaluación y Sistematización, se toma la siguiente información: 
1. Para el numerador, la información corresponderá a la cantidad de personas atendidas en el servicio CDC en los estados “ATENDIDO FORMADO(CURSOS)" y "ATENDIDO NO FORMADO (CURSOS)", y que participan en otros servicios de la SDIS (acumulado).
2. Para el denominador, la información corresponderá al reporte del producto MGA, del periodo correspondiente (acumulado)
Nota: teniendo en cuenta que las mediciones se realizan de manera acumulada, el resultado del indicador de la vigencia será el del último mes.</t>
  </si>
  <si>
    <t>Reporte SIRBE</t>
  </si>
  <si>
    <t>36.8%</t>
  </si>
  <si>
    <t>14/03/2022. Registrar el avance y análisis correspondiente al mes de enero.
22/03/2022. No se generan observaciones adicionales respecto al análisis y evidencia reportada para el seguimiento del indicador.</t>
  </si>
  <si>
    <t>En el mes de febrero se registraron 6838 personas únicas atendidas en los Centros de Desarrollo Comunitario, de las cuales 1766 se encuentran vinculados a otros servicios de la SDIS, presentando como resultado un 26% en el indicador de gestión. Lo que es un buen indicador teniendo en cuenta que la meta es el 35%; esto se relaciona con que se han venido posicionando la complementariedad de los servicios que se prestan en los CDCs , con los demás servicios de la entidad. Esto se asocia a la implementación del Sistema Distrital del Cuidado, donde la oferta de los CDCs se plantea como uno de los componentes de la dupla de atención formulada en las manzanas del cuidado y se proponen servicios simultáneos para los sujetos de cuidado y para las personas cuidadoras, impactando en la dinámica de la modalidad orientando así la complementariedad de los servicios de manera más amplia. 
En particular, en febrero la oferta relacionada con respiro y autocuidado como yoga, pilates, defensa personal, vacaciones recreativas, actividad física y deportiva, tuvo muy buena acogida entre las personas cuidadoras, especialmente en las localidades de san Cristóbal, Rafael Uribe Uribe, Santa Fe y Barrios unidos que recogen el 60% de las atenciones. Los servicios con los que mas se presentó complementariedad desde CDC fueron paquetes alimentarios de jardines, Bono para personas con Discapacidad y apoyos económicos.</t>
  </si>
  <si>
    <t>14/03/2022. No se cuenta con las evidencias para validar el avance cuantitativo reportado. Adicionalmente se recomienda revisar el análisis cualitativo teniendo en cuenta la gestión de cada mes a reportar por separado (enero y febrero).
22/03/2022. No se generan observaciones adicionales respecto al análisis y evidencia reportada para el seguimiento del indicador.</t>
  </si>
  <si>
    <t>En el mes de marzo se registraron 13599 personas únicas atendidas en los Centros de Desarrollo Comunitario, de estas, 4557 se encuentran vinculados a otros servicios de la SDIS, presentando como resultado un 34% en el indicador de gestión. Lo anterior refleja la efectividad de las acciones implementadas teniendo en cuenta que la meta es del 35%, lo cual se relaciona con las articulaciones que se han venido desarrollando con las diferentes subdirecciones técnicas para el posicionamiento de la modalidad Desarrollo de Capacidades para la Generación de Oportunidades y del Servicio Tiempo Propio para Personas Cuidadoras; esto permite la referenciación y vinculación de los usuarios de los servicios y modalidades de la SDIS a la oferta de los CDC.
A corte de marzo el servicio tiempo propio para personas cuidadoras se ha visto fortalecido con la realización de 56 actividades donde se atendieron 1360 usuarios a través de la oferta de la modalidad de zonas de descanso y autocuidado. Los CDC que realizaron mayor número de atenciones a través de actividades son: CDC San Blas 461 atenciones, CDC La Victoria 185 atenciones, CDC José Antonio Galán 163 atenciones, CDC Porvenir 137 atenciones y CDC Arborizadora Alta 113 atenciones.</t>
  </si>
  <si>
    <t>05/04/2022. La cifra relacionada para el numerador del indicador, no corresponde con lo encontrado en la evidencia suministrada. Se recomienda revisar y ajustar según corresponda.
08/04/2022. No se generan observaciones adicionales respecto al análisis y evidencia reportada para el seguimiento del indicador.</t>
  </si>
  <si>
    <t>10/05/2022. No se generan observaciones respecto al análisis y evidencia reportada para el seguimiento del indicador.</t>
  </si>
  <si>
    <t>En el mes de mayo se registraron 26.953 personas únicas atendidas en los Centros de Desarrollo Comunitario, de estas 10.315 se encuentran vinculados a otros servicios de la SDIS, presentando como resultado un 38.3% en el indicador de gestión. Lo que refleja la efectividad de la articulación con otros servicios de la SDIS entre los que se resaltan los servicios de jardines infantiles, comedores, apoyo económico para persona mayor, creciendo en familia, personas con discapacidad y casas de la juventud. 
El servicio tiempo propio para personas cuidadoras hace parte de uno de los servicios de las manzanas del cuidado y el Sistema Distrital de Cuidado-SIDICU, que busca la atención integral de personas cuidadoras y sujetos del cuidado, a través de la implementación de 226 actividades donde se atendieron 7.015 usuarios a través de la oferta de la modalidad de zonas de descanso y autocuidado; las actividades con mayor participación son yoga, actividades lúdicas, gimnasia y aeróbicos, danzas y natación.</t>
  </si>
  <si>
    <t>07/06/2022. No se generan observaciones respecto al análisis y evidencia reportada para el seguimiento del indicador.</t>
  </si>
  <si>
    <t>Para este periodo se registró un descenso en el número de personas atendidas, lo que generó un leve descenso en el indicador de complementariedad que paso de un 39% a un 37%, lo cual puede explicarse en parte por la contingencia contractual que afecto la complementariedad con los demás servicios y modalidades de la SDIS ocasionado un menor numero de actividades en los territorios. La modalidad desarrollo de capacidades tuvo una mayor articulación con los siguientes servicios Centro día, apoyos económicos, bonos personas con discapacidad, casas de la juventud, bonos creciendo en familia comedores y enlace social. Por otro lado, el comportamiento del indicador también se explica por la dinámica que ha tomado la implementación del  servicio tiempo propio para personas cuidadoras en la modalidad de zonas de descanso y autocuidado donde se atendieron 5786 personas cuidadoras, las cuales en grandes porcentajes tienen a su sujeto de cuidado vinculado a los servicios de la SDIS, como resultado de la dinámica de las manzanas del cuidado. La oferta  con mayor acogida en esta modalidad se relaciona con  actividad física con la participación  de 3661 personas únicas y actividad de relajación con 1075 personas únicas.</t>
  </si>
  <si>
    <t>09/08/2022. No se generan observaciones respecto al análisis y evidencia reportada para el seguimiento del indicador.</t>
  </si>
  <si>
    <t>Durante este período se registra un aumento en el resultado de indicador de gestión, es decir que hubo una mayor  proporción de personas atendidas en los CDCs que participan en otros servicios SDIS. Este resultado se asocia principalmente a dos factores: por un lado, la superación de la contingencia contractual, que restablece la normalidad en la prestación  del servicio no solo en los CDCs sino en  todos los demás servicios de la entidad,  facilitando de nuevo las articulaciones locales para lograr la complementariedad  en la atención de los y las ciudadanas;  por  otro lado,  la dinámica que tiene la implementación del Sistema Distrital del Cuidado, que busca la integralidad en la atención a través de la articulación de la oferta disponible tanto para sujetos de cuidado como para personas cuidadoras.</t>
  </si>
  <si>
    <t>08/09/2022. No se generan observaciones respecto al análisis y evidencia reportada para el seguimiento del indicador.</t>
  </si>
  <si>
    <t>Durante este período se mantiene el resultado del indicador, logrando mantener la estabilidad en la prestación del servicio no solo en los CDCs sino en  todos los demás servicios de la entidad,  facilitando de nuevo las articulaciones locales para lograr la complementariedad  en la atención de los y las ciudadanas;  por  otro lado,  durante el mes de septiembre se presentó mayor nivel de complementariedad con los servicios asociados a seguridad alimentaria y atención a personas mayores.</t>
  </si>
  <si>
    <t>11/10/2022. No se generan observaciones respecto al análisis y evidencia reportada para el seguimiento del indicador.</t>
  </si>
  <si>
    <t>PSS-7740-001</t>
  </si>
  <si>
    <t>Jóvenes informados sobre Prevención Integral en el marco del componente de prevención integral.</t>
  </si>
  <si>
    <t>Determinar el número de jóvenes informados en el marco del componente de prevención  integral: 
Prevención en Salud Mental y Orientación Socio Ocupacional-OSO; Prevención sustancias psicoactivas SPA; Prevención de paternidad y maternidad temprana PPYMT, y violencias.</t>
  </si>
  <si>
    <t xml:space="preserve">Monitorear el cumplimiento de las acciones que se encuentran a cargo de la Subdirección para la Juventud, que hacen parte del componente de Prevención Integral. </t>
  </si>
  <si>
    <t>(Número de jóvenes informados sobre prevención integral / Número de jóvenes programados para ser informados sobre prevención integral) *100</t>
  </si>
  <si>
    <t>Sistema de Información Misional.</t>
  </si>
  <si>
    <t>El numerador corresponde al número de jóvenes informados en prevención integral de acuerdo con el  conteo de datos del Sistema misional
El denominador corresponde a la totalidad de jóvenes que se programaron para ser informados en prevención integral para la vigencia 2020-2024. de acuerdo con el plan de acción del proyecto 7740.
Nota: el resultado del acumulado del periodo es la sumatoria.</t>
  </si>
  <si>
    <r>
      <t>Conteo de metas del Sistema de Información Misional</t>
    </r>
    <r>
      <rPr>
        <strike/>
        <sz val="9"/>
        <color rgb="FFFF0000"/>
        <rFont val="Arial"/>
        <family val="2"/>
      </rPr>
      <t xml:space="preserve"> </t>
    </r>
  </si>
  <si>
    <t>Para el componente de prevención integral se realizaron diferentes talleres virtuales y presenciales, campañas comunicativas, jornadas, conferencias, ferias, entre otros, en torno a temas de prevención en Salud Mental y Orientación Socio Ocupacional-OSO; Prevención sustancias psicoactivas SPA; Prevención de paternidad y maternidad temprana PPYMT, y violencias. Desarrollado de forma articulada en los servicios territoriales de la Subdirección para la Juventud.</t>
  </si>
  <si>
    <t>14/03/2022 No se generan observaciones respecto al análisis presentado en el seguimiento al indicador de gestión. Se deja la siguiente recomendación: se debe adelantar todas las acciones pertinentes para dar cumplimiento a la meta propuesta.
Por favor revisar la ortografía antes de enviar el reporte.</t>
  </si>
  <si>
    <t>Es importante mencionar que para el mes de febrero se realizaron dos reuniones importantes con el equipo de prevención integral, una de ellas para organizar el plan de trabajo y otra para proponer la elaboración de un podcast de prevención de consumo de sustancias psicoactivas. Otra actividad a tener en cuenta es que se realizó una pieza gráfica que informe a los jóvenes acerca de las atenciones psicosociales que ofrece este componente.</t>
  </si>
  <si>
    <t>Se hizo una publicación de un taller de prevención de sustancias psicoactivas que se llevó a cabo en la localidad de Usme, así mismo se realizó taller de prevención con estudiantes del IED Santa Librada en Usme, abordando temas de consumo de sustancias psicoactivas con grados 8 y 9 el 4 de marzo.
El equipo de prevención integral desarrollo un taller sobre salud mental que busca identificar y fortalecer recursos personales, grupales y del entorno que motiven y faciliten el bienestar integral, realizado el lunes 28 de marzo mediante Google Meet.</t>
  </si>
  <si>
    <t>08/04/2022 No se generan observaciones respecto al análisis presentado en el seguimiento al indicador de gestión. Se deja la siguiente recomendación: se debe adelantar todas las acciones pertinentes para dar cumplimiento a la meta propuesta.
Se debe actualizar el indicador de gestión, con las recomendaciones dadas anteriormente en el correo. Por favor revisar la ortografía antes de enviar el reporte.</t>
  </si>
  <si>
    <t>Las actividades del mes de abril para el componente de prevención integral se enmarcaron en su gran mayoría en los talleres territoriales que realiza el equipo, como prevención de consumo de sustancias psicoactivas y salud mental en los colegios de las localidades de Usaquén y Usme.
Por otra parte, se realizó el alistamiento para las fechas conmemorativas anuales de este componente, también se realizó un guion para elaborar un podcast de prevención del consumo de sustancias
psicoactivas y finalmente se desarrolló un cubrimiento al evento de graduación de jóvenes del servicio</t>
  </si>
  <si>
    <t>09/05/2022 No se generan observaciones respecto al análisis presentado en el seguimiento al indicador de gestión. Se deja la siguiente recomendación: se debe adelantar todas las acciones pertinentes para dar cumplimiento a la meta propuesta.</t>
  </si>
  <si>
    <t>Las actividades del mes de mayo para el componente de prevención integral se enmarcan principalmente en el día de la familia en donde se realizó un podcast, entrevistando a una profesora experta en derecho de familia, también se registró la información en la parrilla de contenidos, con la cual se harán piezas de orientación psicosocial y salud mental, también se desarrollaron las piezas sobre el día de la prevención del consumo de tabaco realizado el 31 de mayo.</t>
  </si>
  <si>
    <t>09/06/2022 No se generan observaciones respecto al análisis presentado en el seguimiento al indicador de gestión. Se deja la siguiente recomendación: se debe adelantar todas las acciones pertinentes para dar cumplimiento a la meta propuesta en el siguiente reporte.</t>
  </si>
  <si>
    <t>Es importante recalcar que para el mes de junio frente a la política pública de enfoque diferencial y la acción propia de la línea de orientación socio ocupacional, se logró generar un avance en el acercamiento con organizaciones de jóvenes con orientaciones sexuales diversas, además de la participación de la marcha LGTBI en la localidad de Rafael Uribe Uribe, y en una institución educativa de la localidad de suba.
El cumplimento del indicador se evidencia en 100% siendo para el primer semestre una atención total de 6.830 jóvenes beneficiados médiate la atenciones en prevención integral como soporte la base datos datamart-SIRBE, por el componente de prevención  para el proyecto,   Este indicador se caracteriza por reflejar el número de jóvenes que son informados en temas relacionados con prevención integral mediante las atenciones que oferta el proyecto para que los jóvenes puedan expresar sus emociones a través de un dialogo participativo, con esto se busca que la juventud contrarreste el sufrimiento emocional y brinde la reconstrucción de los lazos sociales y familiares que quizás muchos en condiciones de vulnerabilidad manifiesta han perdido</t>
  </si>
  <si>
    <t>13/07/2022 No se generan observaciones y/o recomendaciones respecto al análisis presentado en el seguimiento al indicador de gestión.</t>
  </si>
  <si>
    <t xml:space="preserve">Las actividades del mes de julio para el componente de prevención integral fueron: algunas piezas de invitación a las jornadas de Bienestar Emocional, podcast sobre prevención de consumo de sustancias psicoactivas, enfocado a los patrones de consumo, carrusel de tips para cuidar la salud mental de los jóvenes y finalmente una publicación sobre cosas que se deben tener en cuenta para la prevención del ciberbullyng. </t>
  </si>
  <si>
    <t>12/08/2022 No se generan observaciones respecto al análisis presentado en el seguimiento al indicador de gestión. Se deja la siguiente recomendación: se debe adelantar todas las acciones pertinentes para dar cumplimiento a la meta propuesta en el siguiente reporte.</t>
  </si>
  <si>
    <t>La subdirección para la juventud  acompaño el lanzamiento de la ‘Gira Distrital de Educación Sexual Integral’ con la Secretaría de Educación de Bogotá y la presentación de Artillería Teatro desde el colegio IED Gonzalo Arango de Suba.</t>
  </si>
  <si>
    <t>13/09/2022 No se generan observaciones respecto al análisis presentado en el seguimiento al indicador de gestión. Se deja la siguiente recomendación: se debe adelantar todas las acciones pertinentes para dar cumplimiento a la meta propuesta en el siguiente reporte.</t>
  </si>
  <si>
    <t>Para el periodo comprendido entre julio y septiembre de la presente vigencia se informaron 1865 jóvenes en prevención integral de acuerdo con el  conteo de datos del Sistema misional y lo programado por el proyecto para el cumplimiento de las metas; es así que dentro del proceso de cobertura distrital, el alcance de prevención integral de la subdirección para la juventud, ha fortalecido los procesos de alianzas y de oferta con secretaria de educación con enfoque diferencial, solicitud del equipo de bienestar de la Universidad nacional para Jóvenes de reto a la u, acciones de participación en la Política Pública Distrital De Juventud 2019–2030 y Comité Distrital de Prevención de Violencias, Política Pública para la Atención y Prevención del Consumo y prevención de la vinculación a la Oferta de Sustancias Psicoactivas en Bogotá (Decreto 691 de 2011), Política Distrital De Salud Mental 2015–2025 y la Política Pública Distrital De Juventud 2019–2030 CONPES 08 en  la Dimensión de Inclusión Productiva, a los sectores LGBTIQ+.</t>
  </si>
  <si>
    <t>11/10/2022 No se generan observaciones y/o recomendaciones respecto al análisis presentado en el seguimiento al indicador de gestión.</t>
  </si>
  <si>
    <t>PSS-7740-002</t>
  </si>
  <si>
    <t xml:space="preserve">Jóvenes vinculados a la plataforma Distrito Joven. </t>
  </si>
  <si>
    <t xml:space="preserve">Determinar el número de jóvenes vinculados a la plataforma Distrito Joven con relación a la proyección de metas de registro anual. </t>
  </si>
  <si>
    <t>Implementar de manera efectiva las acciones proyectadas en materia de comunicación y gestión de oportunidades.</t>
  </si>
  <si>
    <t>(Número de jóvenes vinculados a la plataforma distrito joven / número de jóvenes programados para vincular a la plataforma distrito joven) *100</t>
  </si>
  <si>
    <t xml:space="preserve">Reportes plataforma Distrito Joven. </t>
  </si>
  <si>
    <t>El numerador corresponde al dato obtenido de los reportes de la plataforma Distrito Joven.
El denominador corresponde al totalidad de jóvenes programados para vincular a la plataforma Distrito Joven de acuerdo con lo definido en el perfil del proyecto de inversión.
Nota: el resultado del acumulado del periodo es la sumatoria.</t>
  </si>
  <si>
    <t>Reporte de registros de la plataforma Distrito Joven</t>
  </si>
  <si>
    <t>Se realiza la consolidación de los reportes de usuarios inscritos y oportunidades cargadas en la plataforma web y App distrito joven del mes de Enero del año 2022, se identifica un crecimiento en el número de inscritos en la App teniendo en cuenta el programa de Servicio Social para la Seguridad Económica de la Juventud y las demás ofertas realizadas por la Subdirección para la juventud.</t>
  </si>
  <si>
    <t>Las acciones realizadas durante el transcurso del mes de febrero se encuentran orientadas a la elaboración del documento de número de usuarios y oportunidades que se subieron en el transcurso del mes, es importante aclarar que, los datos y registros se realizaron con base en la información obtenida de la APP
Además, se realizaron diversas reuniones con el equipo de Alcaldía parara poder centralizar las oportunidades de las diferentes entidades del Distrito por medio del formulario de forms. También se hicieron reuniones con el equipo de DADE para trabajar en conjunto en las mejoras y actualizaciones propuestas para la App.</t>
  </si>
  <si>
    <t>Se realizaron diversas acciones basados en 3 componentes para el mes de marzo, descritos así: 1. Propuestas en mejoras de la APP, en la cual se desarrollan documentos para compilar las mejoras, 2. Revisión del formulario de ofertas del distrito, en el que se realizó el seguimiento a las oportunidades que ofertan diferentes entidades para compartir por la APP y 3. Reporte de usuarios inscritos, en donde se describen por las redes sociales los usuarios inscritos.</t>
  </si>
  <si>
    <t>La Subdirección para la Juventud Mediante el uso de la APP “Distrito Joven” ha realizado la difusión de la oferta institucional y la creación de contenidos dirigidos a los jóvenes de Bogotá, cargando oportunidades en temas relacionados con educación y vinculación laboral para el mes abril, así como un incremento en beneficiarios inscritos.</t>
  </si>
  <si>
    <t>Se realizaron diversas reuniones con el equipo de Alcaldía para poder centralizar las oportunidades de las diferentes entidades del Distrito por medio del formulario de Forms. También se hicieron reuniones con el equipo de DADE para trabajar en conjunto en las mejoras y actualizaciones propuestas para la App.</t>
  </si>
  <si>
    <t>Se realiza la consolidación de los reportes de usuarios inscritos y oportunidades cargadas en la plataforma web y app distrito joven del mes de junio del año 2022, nuevamente se identifica un crecimiento del número de inscritos en la App teniendo en cuenta el programa de Servicio Social para la Seguridad Económica de la Juventud y la necesidad de oportunidades laborales para las y los jóvenes de la ciudad.
Se evidencia una amplia posibilidad de mejora en los ingresos a cada una de las oportunidades publicadas, que están enfocadas en las necesidades de las y los jóvenes de la ciudad. 
El número de jóvenes beneficiados mediante la aplicación distrito joven reportadas para el primer semestre de la vigencia 2022 corresponde a 44.804 jóvenes que utilizaron la plataforma, lo que refleja los resultados de la difusión entre los jóvenes de la aplicación que para La Secretaría de Integración Social, a través de la Subdirección de Juventud, tiene como propósito fundamental brindar oportunidades a jóvenes entre los 14 a 28 años; que estén orientadas al desarrollo de habilidades y competencias ciudadanas o laborales, en aras de potenciar el ejercicio de sus derechos y proyectos de vida y promover la participación.</t>
  </si>
  <si>
    <t>Se realiza la consolidación de los reportes de usuarios inscritos y oportunidades cargadas en la plataforma web y app distrito joven del mes de julio del año 2022, nuevamente se identifica un crecimiento del número de inscritos en la App teniendo en cuenta el programa de Servicio Social para la Seguridad Económica de la Juventud y la necesidad de oportunidades laborales para las y los jóvenes de la ciudad.</t>
  </si>
  <si>
    <t>Durante el 1 de agosto hasta el 30 de agosto de 2022, se subieron un total de (23) oportunidades a la plataforma Distrito Joven, las cuales se encuentran distribuidas en las siguientes categorías.  Educación  19 oportunidades y Oportunidades Laborales 4.</t>
  </si>
  <si>
    <t>La Subdirección para la juventud inscribió 6783 jóvenes entre los 14 y 28 años durante los meses de julio a septiembre en el marco de las acciones realizadas que se  encuentran orientadas a la elaboración del documento de número de usuarios y oportunidades que se subieron en el transcurso del mes de septiembre de 2022, es importante aclarar que, los datos y registros se realizaron con base en la información obtenida de la APP</t>
  </si>
  <si>
    <t>PSS-7740-003</t>
  </si>
  <si>
    <t>Mujeres jóvenes vinculadas y beneficiadas de los servicios sociales.</t>
  </si>
  <si>
    <t>Determinar el número de mujeres jóvenes beneficiadas por los servicios sociales, del total de jóvenes atendidas con vulnerabilidad social.</t>
  </si>
  <si>
    <t>Implementar estrategias con enfoque diferencial de inclusión para las mujeres jóvenes en los servicios prestados.</t>
  </si>
  <si>
    <t xml:space="preserve">(Número de mujeres jóvenes beneficiadas por los servicios sociales de la Subdirección para la Juventud / Número total de jóvenes beneficiados por los servicios sociales de la Subdirección para la Juventud)*100.  </t>
  </si>
  <si>
    <t>El Numerador corresponde al dato tomado del conteo de metas de la ficha sirbe especifica para los servicios sociales de la Subdirección para la Juventud de las variables clasificación por grupo etario y sexo femenino.
El denominador corresponde al dato tomado del conteo de metas de la ficha sirbe especifica para los servicios sociales de la Subdirección para la Juventud de las variables grupo etario y sexo en su totalidad.
Nota: el resultado del acumulado del periodo es la sumatoria.</t>
  </si>
  <si>
    <t>Conteo de metas del  Sistema de Información Misional.</t>
  </si>
  <si>
    <t>Las actividades que se realizaron para el mes de enero referente a las actividades del enfoque diferencial fueron ajustar el plan de trabajo y actualizar el cronograma de fechas conmemorativas</t>
  </si>
  <si>
    <t>Se realizaron ferias de empleabilidad en las localidades de San Cristóbal, Usme, Fontibón y Engativá lo que permitió que jóvenes se acercaran con su hoja de vida y participaran de las oportunidades dispuestas en esta ferias para facilitar y contribuir a la búsqueda de empleo de estos jóvenes con la participación activa de las jóvenes en búsqueda de oportunidades laborales.</t>
  </si>
  <si>
    <t>De acuerdo con la articulación realizada con el colegio IED El Rodeo de la localidad de San Cristóbal se apoyó en la conmemoración del día internacional de la mujer con taller de cine foro para la prevención de violencias con estudiantes de las jornadas mañana y tarde de todo el ciclo de secundaria. 
Se realizó un Facebook Live el 8 de marzo sobre el empoderamiento y salud mental de las mujeres donde se trataron temas de derechos de las mujeres, salud mental y la oferta que tiene distrito joven,</t>
  </si>
  <si>
    <t>Se realizaron unas feria de sexualidad en dos colegios de Engativá para fomentar los derechos sexuales y derechos reproductivos y se hizo la publicación de los talleres territoriales que el equipo de prevención de maternidad y paternidad temprana realiza a lo largo y ancho de la ciudad.</t>
  </si>
  <si>
    <t>Para este mes se generó un producto audiovisual con una de las jóvenes PARCERAS vinculadas al programa y que hoy en día cuenta con un empleo que fue obtenido gracias a esta apuesta de ciudad. Karen Maquilón, hace parte del equipo de psicosociales de la SDIS y es por esto que junto al Subdirector se realizó visita a su lugar de residencia para realizar una entrevista y video que permita mostrar su historia como caso de éxito.</t>
  </si>
  <si>
    <t>En el marco de la campaña ‘Emprendiendo un Sueño’ como estrategia comunicativa que ayuda a visibilizar emprendimientos juveniles de la ciudad, por medio de la creación y producción de piezas audiovisuales que posteriormente son compartidas en las redes sociales de Distrito Joven, para el mes de junio de 2022 realizó la Difusión de Emprendimientos de tres (3) jóvenes beneficiarias del programa ‘Parceros por Bogotá’ .
Con corte a mes de junio se han atendido 20.639 mujeres jóvenes de los 34.725 jóvenes reportados , lo que representa un 59% de mujeres jóvenes atendidas en el proyecto a través de los  Componente de oportunidades juveniles, Política Pública y Prevención, donde se realiza  asesoría jurídica,  actividades para el uso del tiempo libre, entre otras.</t>
  </si>
  <si>
    <t>13/07/2022 No se generan observaciones respecto al análisis presentado en el seguimiento al indicador de gestión. Se tiene la siguiente recomendación: actualmente el indicador se encuentra en sobrecumplimiento (170%) su avance para la vigencia, con respecto a la meta propuesta (35%), se solicita revisar si en el siguiente periodo tendrá el mismo comportamiento y si es así se solicita actualizar la meta.</t>
  </si>
  <si>
    <t>En el mes de julio las actividades que se realizaron en el componente de enfoque diferencial se enmarcan en las fechas conmemorativas del mes, dentro de ellas  se realizó podcast conmemorando el día de la mujer afro y diáspora africana, un producto que buscaba darle protagonismo a las mujeres jóvenes afro enfocado a los consejos locales de juventud y la incidencia de ellas en las instancias de participación, por otra parte, se elaboró un  plan de trabajo con base a las actividades que se llevarán a cabo el segundo semestre del año 2022.</t>
  </si>
  <si>
    <t>12/08/2022 No se generan observaciones respecto al análisis presentado en el seguimiento al indicador de gestión. Se deja la siguiente recomendación: actualmente el indicador se encuentra en sobrecumplimiento (170%) su avance para la vigencia, con respecto a la meta propuesta (35%), se solicita revisar si en el siguiente periodo tendrá el mismo comportamiento y si es así se solicita actualizar la meta.</t>
  </si>
  <si>
    <t>Se conmemoró el día nacional en contra de la Homofobia, en este día rechazamos cualquier acto de discriminación por la orientación sexual. Esta actividad se llevo acabo el día 23 de agosto de 2022</t>
  </si>
  <si>
    <t>13/09/2022 No se generan observaciones respecto al análisis presentado en el seguimiento al indicador de gestión. Se deja nuevamente la siguiente recomendación: actualmente el indicador se encuentra en sobrecumplimiento (170%) su avance para la vigencia, con respecto a la meta propuesta (35%), se solicita revisar si en el siguiente periodo tendrá el mismo comportamiento y si es así se solicita actualizar la meta.</t>
  </si>
  <si>
    <t xml:space="preserve">
En el marco de las atenciones en los servicios sociales se ha atendido en el periodo de julio a septiembre un total de 7205 mujeres de 13050 jóvenes atendidos en su totalidad que corresponde a un 55% evidenciando el enfoque diferencial y de genero en el número de mujeres jóvenes beneficiadas con vulnerabilidad social.  
Conmemora el Día por la acción global del Aborto legal y seguro. Desde Distrito joven informamos en derechos sexuales y derechos reproductivos de niñas, adolescentes y jóvenes para la toma de decisiones y el fortalecimiento de su autonomía.</t>
  </si>
  <si>
    <t>PSS-7740-004</t>
  </si>
  <si>
    <t>Adolescentes y jóvenes vinculados al Sistema de Responsabilidad Penal para adolescentes que cumplen la medida o sanción.</t>
  </si>
  <si>
    <t xml:space="preserve">Identificar la efectividad del plan de atención integral formulado para la ejecución de la medida de restablecimiento de derechos en administración de justicia o de la sanción penal, en el servicio de atención especializada a adolescentes vinculados al Sistema de Responsabilidad Penal para adolescentes. </t>
  </si>
  <si>
    <t>Seguimiento oportuno y documentado al plan de atención individual definido para cada participante.
Actualización del estado del participante en el sistema misional SIRBE de acuerdo al seguimiento al plan de atención individual.</t>
  </si>
  <si>
    <t xml:space="preserve">(No. de adolescentes que egresan del servicio de atención especializada por cumplimiento de la medida o sanción / No. de adolescentes en estado atendido en el periodo) * 100 </t>
  </si>
  <si>
    <t>Sistema Misional.</t>
  </si>
  <si>
    <t>Numerador: reporte oficial del sistema misional de la vigencia (Estado: atendido por criterio cumplimiento de la medida o sanción, o finalización del proceso de atención)
Denominador: reporte oficial del sistema misional de la vigencia (estado: atendido).
Nota: el resultado del acumulado del periodo es la sumatoria.</t>
  </si>
  <si>
    <t>Conteo de metas del  Sistema de Información Misional.
Jóvenes en estado  atendido en la vigencia en el sistema misional SIRBE.</t>
  </si>
  <si>
    <t>En el marco del programa restaurativo de los centros forjar, se realizó las publicaciones en las redes sociales de las actividades propuestas. Así mismo, se realizó el acompañamiento de las actividades propuestas por los líderes del componente para el mes en curso.
Lo anterior teniendo en cuenta que los centros forjar tienen por objetivo de contribuir a la resocialización de los a jóvenes de Bogotá de 14 a 18 años que hacen parte del Sistema de Responsabilidad Penal para adolescentes.</t>
  </si>
  <si>
    <t>En este mes se radicación 90 informes enviados hacia las 18 defensorías y los 8 juzgados de conocimiento del SRPA, y el trámite de más de 250 solicitudes atendidas a través de correo electrónico.
Dentro de los requerimientos más solicitados se siguen manteniendo la verificación y consulta sobre posibles cambios de sanciones, la facilitación de espacios para estudios de caso entre defensorías, juzgados y profesionales de los servicios, procesos de traslado de EPS para atención en salud, situaciones de riesgo a nivel familiar e individual y la atención de solicitudes por parte de las defensorías, juzgados y profesionales de los servicios sobre procesos de jóvenes que tenemos a cargo.</t>
  </si>
  <si>
    <t>En gestión, articulación y en concordancia con el Modelo de Atención Integral para Adolescentes y Jóvenes vinculados al Sistema de Responsabilidad Penal SRPA, tanto en medio abierto, familiar, y socio comunitario del Servicio Forjar Restaurativo Suba.
Se realizaron articulaciones con las diferentes instancias de participación de la localidad las cuales generaron acciones e impactos positivos para los Jóvenes Activos y Egreso del servicio, a continuación, se relaciona Ruta Integral de Atención Juvenil mes marzo de 2022.
Dentro del comportamiento de remisiones establecidas entre las defensorías de bienestar familiar y los juzgados de conocimiento del sistema de responsabilidad penal para adolescentes para el mes de marzo de 2022 se obtuvo un total de 42 remisiones divididas en 4 para procesos de IARAJ, 22 RIAJ, 10 para libertad asistida y 6 para prestación de servicios a la comunidad, divididas en 13 para ciudad Bolívar, 20 para Rafael Uribe y 9 para Suba.</t>
  </si>
  <si>
    <t>En el marco del programa de Justicia restaurativa de los centros forjar, se realizó el taller de radio dirigido a las y los jóvenes de Forjar. Así mismo, se realizó el acompañamiento a la entrega de becas
FORGE para los jóvenes pertenecientes al programa de justicia restaurativa. Además, se realizaron las publicaciones en las redes sociales de Distrito joven de las diferentes actividades desarrolladas.</t>
  </si>
  <si>
    <t xml:space="preserve">fortalecimiento de la finalidad restaurativa en el servicio, se han generado articulaciones con entidades privadas, como Quality, ANAFALCO, Casa Limpia entre otras y organizaciones comunitarias, como La Red Agroecológica del Sur, Fundación Dios es Cultura y Casa de la Cultura de Potosí, que favorecen tanto el desarrollo de acciones de reparación en territorio, que permiten la reconstrucción del tejido social, como la vinculación de parte de la población beneficiaria en oportunidades laborales y de formación continua, aportando a la consolidación de su proyecto de vida y la inclusión social de la población beneficiaria y sus redes de apoyo familiar.
</t>
  </si>
  <si>
    <t>En el marco del programa de Justicia restaurativa de los centros forjar, se realizó el Podcast con la Coordinadora del enlace de la Ruta Integral de Atenciones Juveniles del centro Forjar de Ciudad Bolívar, Lo anterior teniendo en cuenta que los centros forjar tienen por objetivo de contribuir a la resocialización de los a jóvenes de Bogotá de 14 a 18 años que hacen parte del Sistema de Responsabilidad Penal para adolescentes.
El porcentaje de jóvenes que egresan del servicio debido al plan de atención integral es de 43% con 116 egresados de los 272 atendidos en la presente vigencia superando con lo establecido en la meta del indicador y demostrando que las modalidades de atención establecidas en los lineamientos técnicos del Instituto Colombiano de Bienestar Familiar establecidas en los centros forjar son efectivas y para las medidas y sanciones del Sistema de Responsabilidad Penal para Adolescentes - SRPA.</t>
  </si>
  <si>
    <t>13/07/2022 No se generan observaciones respecto al análisis presentado en el seguimiento al indicador de gestión. Se deja la siguiente recomendación: se debe adelantar todas las acciones pertinentes para dar cumplimiento a la meta propuesta en el siguiente reporte.</t>
  </si>
  <si>
    <t>Desde el servicio, se continúa brindando una atención diferencial y especializada a adolescentes y jóvenes que hacen parte del SRPA y son remitidos para el cumplimiento de medidas o sanciones asignadas por las autoridades competentes y administrativas, como Defensorías de Familia del ICBF y Juzgados de Adolescentes. Se da cumplimiento a las finalidades de las modalidades de atención, en relación a los convenios establecidos entre las partes, favoreciendo la garantía de derechos básicos de la población beneficiaria, convenios entre SDIS y Secretaría de Educación, articulaciones y acuerdos interinstitucionales con Secretaría Distrital de Salud, Secretaría de la Mujer, Secretaría de Seguridad, Convivencia y Justicia, IDRD, entre otros, que permiten el acceso a servicios y atención oportuna en relación a sus necesidades y estado actual de cada beneficiario y su red familiar.</t>
  </si>
  <si>
    <t>En el marco del programa de Justicia restaurativa de los centros forjar, se realizaron las publicaciones en las redes sociales de Distrito joven de las diferentes actividades desarrolladas, entres estas los concursos de talentos SRPA de la Semana de Juventud 2022.
Lo anterior teniendo en cuenta que los centros forjar tienen por objetivo de contribuir a la resocialización de los a jóvenes de Bogotá de 14 a 18 años que hacen parte del Sistema de Responsabilidad Penal para adolescentes.</t>
  </si>
  <si>
    <t>Para el mes de septiembre se reporta avance en la atención de la población objeto beneficiario y remitido por autoridades competentes, administrativas y judiciales, en especial por modalidad de Ruta Integral de Atención para Jóvenes - RIAJ y la sanción de Prestación de Servicios a la Comunidad - PSC. Realizando articulaciones con IDRD, Alcaldía Local, Hogar Gerontológico La Sabiduría de Sion. De allí, se resaltan avances actuales como participación presupuestos participativos, encuentro intergeneracional, participación semana de juventud, actividad recreo deportiva, utilización maquinas gimnasio y dotación línea de inversión instrumentos musicales espacio IDARTES, donde se ha logrado la consolidación de prácticas restaurativas, a nivel informal y formal, fortaleciendo los procesos de los jóvenes, desde los principios de la justicia restaurativa, propiciando la reconstrucción del tejido social y la inclusión de la población beneficiaria y sus redes de apoyo familiar, así como sus territorios, a partir del desarrollo de acciones de reparación</t>
  </si>
  <si>
    <t>11/10/2022 No se generan observaciones respecto al análisis presentado en el seguimiento al indicador de gestión. Se deja la siguiente recomendación: se debe adelantar todas las acciones pertinentes para dar cumplimiento a la meta propuesta en el siguiente reporte.</t>
  </si>
  <si>
    <t>PSS-7744-001</t>
  </si>
  <si>
    <t>Circular No. 029 - 26/09/2022</t>
  </si>
  <si>
    <t>Niñas y niños de primera infancia con permanencia mínima de 90 días en las modalidades jardines infantiles diurnos, nocturnos, casas de pensamiento intercultural y espacios rurales.</t>
  </si>
  <si>
    <t>Monitorear la permanencia mínima de 90 días de niñas y niños de primera infancia que participan en las modalidades jardines infantiles diurnos, nocturnos, casas de pensamiento intercultural y espacios rurales.</t>
  </si>
  <si>
    <t>Diligenciamiento del Formato Ficha SIRBE y el registro oportuno de su información en el Sistema  Misional SIRBE.
Formalización del cupo asignado a niñas y niños de primera infancia en las modalidades jardines infantiles diurnos, nocturnos, casas de pensamiento intercultural y espacios rurales.</t>
  </si>
  <si>
    <t>(No. acumulado de niñas y niños de primera infancia que permanecen mínimo 90 días en jardines infantiles diurnos, nocturnos, casas de pensamiento intercultural y espacios rurales / No. acumulado de niñas y niños de primera infancia atendidos en jardines infantiles diurnos, nocturnos, casas de pensamiento intercultural y espacios rurales) * 100</t>
  </si>
  <si>
    <t>Numerador: Sistema Misional SIRBE.
Denominador: Sistema Misional SIRBE.</t>
  </si>
  <si>
    <t>Identificar en el reporte de la meta 2 remitido por la DADE el número acumulado de niñas y niños de primera infancia en estados: atendido, en atención y suspendido que hayan permanecido mínimo 90 días en las modalidades jardines infantiles diurnos, nocturnos, casas de pensamiento intercultural y espacios rurales y dividirlo entre el número acumulado de niñas y niños en estados: atendido, en atención y suspendido en jardines infantiles diurnos, nocturnos, casas de pensamiento intercultural y espacios rurales.
La permanencia de 90 días es el tiempo mínimo requerido para evidenciar efectos de la atención en el desarrollo de niñas y niños.
El denominador se registrará de manera trimestral dado que se obtiene del reporte suministrado por la DADE.</t>
  </si>
  <si>
    <t>Numerador: reporte de la meta 2 de las modalidades jardines infantiles diurnos, nocturnos, casas de pensamiento intercultural y espacios rurales. 
Denominador: reporte Sistema Misional SIRBE</t>
  </si>
  <si>
    <t>En enero, se continuó el acompañamiento a familias, niñas y niños de primera infancia y el apoyo alimentario por medio de la entrega del bono canjeable por alimentos en las unidades operativas que brindan la atención en esquemas diferentes al presencial. Además, se avanzó en la implementación gradual del esquema de atención presencial en jardines infantiles diurnos, nocturnos y casas de pensamiento intercultural, de acuerdo con las características y particularidades de las unidades operativas, dando respuesta a las necesidades de las familias a fin de garantizar el desarrollo integral de niñas y niños, así como promover la corresponsabilidad y el auto cuidado.</t>
  </si>
  <si>
    <t>17/03/2022
No se generan observaciones o recomendaciones respecto al análisis presentado en el seguimiento al indicador de gestión.</t>
  </si>
  <si>
    <t>En febrero, en las unidades operativas que brindan atención a través de la modalidad educación inicial en casa, se mantuvo el acompañamiento dirigido a familias, niñas y niños de primera infancia y el apoyo alimentario por medio de la entrega del bono canjeable por alimentos. Además, en jardines infantiles diurnos, nocturnos y casas de pensamiento intercultural se continuó avanzando en la implementación del esquema de atención presencial, logrando incrementar el número de unidades operativas que atiende a las y los participantes a través de dicho esquema. Cabe precisar, que la implementación del esquema de atención presencial se efectuó en el marco de las normas nacionales y distritales aplicables vigentes, las particularidades de cada una de las unidades operativas, las necesidades de las familias de cada localidad y la promoción de la corresponsabilidad, el autocuidado y el desarrollo integral de las niñas y los niños.</t>
  </si>
  <si>
    <t>Con corte a marzo, 16.003 niñas y niños de primera infancia presentaron una permanencia mínima de 90 días en las modalidades jardines infantiles, diurnos, nocturnos, casas de pensamiento intercultural y espacios rurales, lo que equivale a un resultado del indicador de 30%, es decir, setenta puntos porcentuales por debajo de la meta del indicador; en razón al ingreso progresivo de niñas y niños durante el primer trimestre de la vigencia y al traslado de las familias en el territorio a causa de su condición económica y de empleo. Se proyecta el aumento de la permanencia en los servicios en la medida en que avanza la vigencia. 
En los jardines infantiles y las casas de pensamiento intercultural se promovieron la participación de las niñas y los niños, y los procesos de corresponsabilidad con las familias a partir del autocuidado y las gestiones para continuar el cumplimiento de los estándares técnicos de calidad para la educación inicial.
Por otro lado, en los espacios rurales se tomaron medidas antropométricas y se hizo seguimiento al esquema de vacunación de manera conjunta con madres, padres y cuidadores; se desarrollaron acciones asociadas con el eje ambiental de los proyectos educativos comunitarios, tales como: la preparación del terreno para la siembra de perejil, cilantro, gladiolos; y en la unidad operativa Montaña de Colores se recogió la cosecha de arvejas con los niños y niñas.</t>
  </si>
  <si>
    <t>11/04/2022
No se generan observaciones o recomendaciones respecto al análisis presentado en el seguimiento al indicador de gestión.</t>
  </si>
  <si>
    <t>En abril, en las modalidades jardines infantiles diurnos, nocturnos, y casas de pensamiento intercultural, se implementó en 337 unidades operativas el esquema de atención presencial y en 6 unidades operativas el esquema educación inicial en casa. Así mismo, se operaron 36 jardines infantiles sociales a partir de convenios suscritos con Cajas de Compensación Familiar, en los cuales se atendieron a las niñas y los niños de manera presencial; y se operaron 42 jardines infantiles cofinanciados por medio de convenios de asociación celebrados con entidades sin ánimo de lucro que brindaron atención a las y los participantes es esquema presencial. Cabe precisar, que la atención brindada a las y los participantes y sus familias contempló la implementación de acciones intencionadas en los componentes nutrición y salubridad, ambientes adecuados y seguros, proceso pedagógico, talento humano y proceso administrativo.
Adicionalmente, en los espacios rurales, se brindó atención a las niñas y los niños en los esquemas presencial y en alternancia. También se generaron experiencias pedagógicas de conformidad con los proyectos educativos comunitarios, las cuales permitieron promover la pervivencia de saberes campesinos y se desarrollaron acciones que promovieron la corresponsabilidad de las familias y el fortalecimiento de habilidades asociadas a la crianza amorosa, el respeto, la escucha, el acompañamiento al desarrollo infantil y el diálogo.</t>
  </si>
  <si>
    <t>En mayo, en las modalidades jardines infantiles diurnos, nocturnos, y casas de pensamiento intercultural, se implementó en 338 unidades operativas propias la atención presencial y en 2 unidades operativas propias el esquema educación inicial en casa. Así mismo, se operaron 36 jardines infantiles sociales a partir de convenios suscritos con Cajas de Compensación Familiar, en los cuales se atendieron a las niñas y los niños de manera presencial; y se operaron 42 jardines infantiles cofinanciados por medio de convenios de asociación celebrados con entidades sin ánimo de lucro que brindaron atención a las y los participantes en esquema presencial. Se precisa, que en la atención brindada en las modalidades se implementaron acciones que materializaron las directrices de los componentes nutrición y salubridad, ambientes adecuados y seguros, proceso pedagógico, talento humano y proceso administrativo.
Adicionalmente, en los espacios rurales, se brindó atención a las niñas y los niños en los esquemas presencial, continuando con el apoyo pedagógicas de conformidad con los proyectos educativos comunitarios, así como, actividades vivenciales y experienciales que se centraron en el cuidado y autocuidado personal; y en el marco del mes de la familia se realizaron actividades orientadas a la promoción de relaciones democráticas, por medio, del juego, la literatura, el arte y exploración.</t>
  </si>
  <si>
    <t>Con corte a junio, 42.988 niñas y niños de primera infancia presentaron una permanencia mínima de 90 días en las modalidades jardines infantiles diurnos, nocturnos, casas de pensamiento intercultural y espacios rurales, lo que equivale a un resultado del indicador de 70%, es decir, treinta puntos porcentuales por debajo de la meta, debido a la migración de las familias en el territorio distrital, nacional e internacional en respuesta a situaciones económicas y sociales. Se proyecta que el número de participantes con permanencia mínima de 90 días en las modalidades aumente en la medida en que avanza la vigencia.
Así mismo, en 336 unidades operativas propias donde funcionan jardines infantiles y casas de pensamiento intercultural se implementó la atención presencial; se operaron 36 jardines infantiles sociales a partir de convenios suscritos con Cajas de Compensación Familiar donde se atendieron a las niñas y los niños de manera presencial; y se operaron 42 jardines infantiles cofinanciados por medio de convenios de asociación celebrados con Entidades sin Ánimo de Lucro donde se brindó atención a las y los participantes en esquema presencial. Los procesos de atención se prestaron en cumplimiento de las condiciones de calidad definidas en el documento estándares técnicos para la calidad de educación inicial en los componentes nutrición y salubridad, ambientes adecuados y seguros, proceso pedagógico, talento humano y proceso administrativo.
Adicionalmente, en los espacios rurales se brindó atención a las y los participantes en el esquema presencial con equipos interdisciplinarios a partir de experiencias pedagógicas de los Proyectos Educativos Comunitarios con enfoques diferencial, de derechos y de género. Así mismo, se realizaron articulaciones en Sumapaz con la ruta de la salud infantil dirigida a las niñas y los niños priorizados, toma de talla y peso a todas y todos; y en Ciudad Bolívar se desarrollaron jornadas de prevención de delitos sexuales a través de la estrategia “La Vaca Clemencia la que previene los delitos sexuales y la violencia”.</t>
  </si>
  <si>
    <t>08/07/2022
No se generan observaciones o recomendaciones respecto al análisis presentado en el seguimiento al indicador de gestión.</t>
  </si>
  <si>
    <t>En julio, en las modalidades jardines infantiles diurnos, nocturnos, casas de pensamiento intercultural y espacios rurales se continuaron los procesos de atención a la primera infancia de manera presencial, en 332 unidades operativas propias, así como en 36 jardines infantiles sociales que operan a partir de convenios suscritos con Cajas de Compensación Familiar; y 42 jardines infantiles cofinanciados operados por medio de convenios de asociación celebrados con Entidades sin Ánimo de Lucro. Se precisa que en la atención brindada en las modalidades se desarrollaron acciones asociadas a los componentes nutrición y salubridad, ambientes adecuados y seguros, proceso pedagógico, talento humano y proceso administrativo.
Así mismo, en los espacios rurales se brindó atención a las niñas y los niños en el esquema presencial con actividades realizadas a través de experiencias de la huerta pedagógica en la siembra y cuidado de semillas de lechugas, la cual se desarrolló con el acompañamiento de madres y padres de familia en el marco de un encuentro de saberes campesinos – rurales, logrando la integración de la familia en los procesos pedagógicos de las niñas y los niños.</t>
  </si>
  <si>
    <t>En agosto, en las modalidades jardines infantiles diurnos, nocturnos y casas de pensamiento intercultural se continuó brindando a las y los participantes atención presencial; se operaron jardines infantiles sociales por medio de convenios suscritos con Cajas de Compensación Familiar donde se atendieron a las y los participantes de forma presencial; y funcionaron jardines infantiles cofinanciados a través de convenios de asociación celebrados con entidades sin ánimo de lucro donde se brindó atención a las niñas y los niños en esquema presencial. La atención se brindó de conformidad con las condiciones de calidad de los estándares técnicos para la calidad de educación inicial en los componentes nutrición y salubridad, ambientes adecuados y seguros, proceso pedagógico, talento humano y proceso administrativo.
Además, en los espacios rurales se atendió a las y los participantes de manera presencial a través de experiencias pedagógicas enmarcadas en los enfoques diferencial, de derechos y de género. Así mismo, se articularon acciones con la ruta de la salud infantil dirigida a las niñas y los niños priorizados y se tomó talla y peso a las y los participantes.</t>
  </si>
  <si>
    <t xml:space="preserve">Con corte a septiembre, 49.710 niñas y niños de primera infancia presentaron una permanencia mínima de 90 días en las modalidades jardines infantiles diurnos, nocturnos, casas de pensamiento intercultural y espacios rurales, que equivale a un resultado del indicador de 77%, esto es catorce puntos porcentuales bajo la meta; en razón a la rotación de participantes producida por la migración de las familias en el territorio distrital y nacional en respuesta a factores económicos y sociales de la pandemia y al receso escolar de la Secretaría de Educación Distrital.  
Se precisa, que se continuó atendiendo en esquema presencial a las y los participantes de jardines infantiles operados directamente por la Entidad, cofinanciados y sociales. La atención se brindó de conformidad con las condiciones de calidad definidas en los estándares técnicos para la calidad de la educación inicial en los componentes nutrición y salubridad, ambientes adecuados y seguros, proceso pedagógico, talento humano y proceso administrativo. Así mismo, en los espacios rurales se desarrollaron diversas acciones pedagógicas intencionadas que promovieron la participación de niñas, niños, familias y colaboradores que contribuyen al desarrollo integral de la primera infancia rural de la ciudad.  
</t>
  </si>
  <si>
    <t>11/10/2022
No se generan observaciones o recomendaciones respecto al análisis presentado en el seguimiento al indicador de gestión.</t>
  </si>
  <si>
    <t>PSS-7744-002</t>
  </si>
  <si>
    <t>Gestantes, niñas y niños de primera infancia atendidos en la modalidad creciendo juntos.</t>
  </si>
  <si>
    <t xml:space="preserve">Monitorear la atención de gestantes, niñas y niños de primera infancia que participan en la modalidad creciendo juntos. </t>
  </si>
  <si>
    <t>Calidad de la información al focalizar gestantes, niñas y niños de primera infancia para el ingreso a la modalidad creciendo juntos.
Diligenciamiento del Formato Ficha SIRBE y registro oportuno de su información en el Sistema Misional SIRBE.
Formalización del ingreso de gestantes, niñas y niños de primera infancia en la modalidad creciendo juntos.</t>
  </si>
  <si>
    <t>(No. de gestantes, niñas y niños de primera infancia en estados: atendido, en atención y suspendido  (con motivo notificación de egreso) en la modalidad creciendo juntos en el periodo / No. de cupos ofertados en la modalidad creciendo juntos) * 100</t>
  </si>
  <si>
    <t>Numerador: Sistema Misional SIRBE
Denominador: directorio servicios sociales Subdirección para la Infancia</t>
  </si>
  <si>
    <t>Identificar en el aplicativo SIRBE el número de gestantes, niñas y niños de primera infancia de la modalidad creciendo juntos atendidos en el mes en estados: atendido, en atención y suspendido (con motivo notificación de egreso) y dividirlo entre el número de cupos ofertados en la modalidad creciendo juntos registrado en el directorio servicios sociales Subdirección para la Infancia.</t>
  </si>
  <si>
    <t>Numerador: reporte Sistema Misional SIRBE.
Denominador: directorio servicios sociales Subdirección para la Infancia.</t>
  </si>
  <si>
    <t>En enero se atendieron 15.746 gestantes, niñas y niños de primera infancia (estados: en atención, atendido y suspendido) lo que equivale a un resultado del indicador de 105%, es decir, cinco (5) puntos porcentuales por encima de la meta  del indicador; lo anterior, debido al tránsito progresivo de las y los participantes a jardines infantiles, el avance gradual de los egresos de las niñas y los niños que cumplen la edad máxima de permanencia en la modalidad definida en la Resolución 0509 de 2021 y la depuración de participantes en estado suspendido por motivo de egreso.
Por otra parte, se registraron 13.912 participantes en estado "en atención" en la modalidad, a quienes se les asignó bono canjeable por alimentos, así como la realización de caracterizaciones familiares, jornadas de toma de peso y talla y acciones de seguimiento a casos identificados con malnutrición.</t>
  </si>
  <si>
    <t>En febrero, se atendieron 14.351 gestantes, niñas y niños de primera infancia (estados: en atención, atendido y suspendido) lo que equivale a un resultado del indicador de 96%, es decir, un resultado cuatro (4) puntos porcentuales inferior a la meta del indicador. Este comportamiento obedece al avance en el egreso de las y los participantes y en la depuración de niñas y niños en estado “Suspendido” en el sistema de información misional SIRBE a nivel distrital; lo anterior, evidencia la gestión de las Subdirecciones Locales para la Integración Social en relación con dichas acciones.
Por otro lado, en el mes de reporte se registraron en la modalidad creciendo juntos 13.993 participantes en estado "en atención", a quienes se les brindó bono canjeable por alimentos; atenciones programadas en la modalidad en los diferentes componentes de atención a través de los esquemas encuentros en casa, encuentros grupales y encuentros de cuidado; seguimientos por malnutrición; y activaciones de ruta por presuntas vulneraciones de derechos.</t>
  </si>
  <si>
    <t>En marzo se atendieron 21.478 gestantes, niñas y niños de primera infancia (estados: en atención, atendido y suspendido) en la modalidad Creciendo Juntos, lo que equivale a un resultado del indicador de 86%, es decir 14 puntos porcentuales inferiores a la meta del indicador. El comportamiento enunciado obedece a la alta flotabilidad de las familias y al ingreso progresivo de las y los participantes a la modalidad durante el primer trimestre de la vigencia; se proyecta el aumento progresivo de participantes en la modalidad en la medida en que avanza la vigencia.
Así mismo, se precisa que las atenciones brindadas a las y los participantes de la modalidad se realizó a través de encuentros grupales, en casa y de cuidado en el marco del Sistema Distrital de Cuidado, en aspectos asociados a los componentes salud y nutrición, psicosocial, fortalecimiento comunitario y desarrollo infantil. Además, se realizaron jornadas de toma de datos antropométricos a participantes en atención; seguimiento a casos de malnutrición y de presuntas vulneraciones de derechos; y jornadas pedagógicas. Adicionalmente, se generaron acciones de articulación con la estrategia “NIDOS” de IDARTES; con la Fundación Éxito a fin de establecer criterios de vinculación para la vigencia 2022; se continuaron las acciones con la estrategia "Medio acuático" y con la estrategia "Lo que la teta da", así como la vinculación de los jóvenes a las acciones de la estrategia RETO.
Nota: el cambio en los valores del numerador y del denominador en relación con el mes anterior se debe a que el indicador se actualizó a través de la Circular No. 010 de 31/03/2022, incluyendo a partir de entonces los participantes y cupos generados con la implementación del plan de Rescate Social, que inició en marzo de la presente vigencia.</t>
  </si>
  <si>
    <t>En abril, se brindó atención a 23.922 gestantes, niñas y niños de primera infancia (estados: en atención, atendido y suspendido) en la modalidad creciendo juntos, lo que equivale a un resultado de 96%, es decir, 4 puntos porcentuales por debajo de la meta del indicador. Lo anterior, obedece al ingreso gradual de las y los participantes a la modalidad durante los primeros meses de la vigencia y al constante cambio de lugar de residencia de las familias; se proyecta la implementación de acciones articuladas con las subdirecciones locales para la integración social que incentiven el ingreso de gestantes, niñas y niños en la modalidad.
Adicionalmente, durante el mes se realizaron encuentros grupales, en casa y de cuidado en el marco del Sistema Distrital de Cuidado, en los cuales se desarrollaron acciones intencionadas asociadas a los componentes salud, desarrollo infantil, nutrición, psicosocial y fortalecimiento comunitario; se efectuó la toma de medidas antropométricos en las y los participantes; se realizó seguimiento a los casos de malnutrición y de presuntas vulneraciones de derechos identificados; y se continuó la articulación con diversas dependencias de la SDIS, Instituciones y Entidades a fin de implementar acciones conjuntas que contribuyan a la garantía de los derechos de gestantes, niñas, niños y sus familias, en el marco de la modalidad creciendo juntos.</t>
  </si>
  <si>
    <t>En mayo se brindó atención a 23.178 gestantes, niñas y niños de primera infancia (estados: en atención, atendido y suspendido) en la modalidad creciendo juntos, lo que equivale a un resultado de 93%, es decir, siete puntos porcentuales por debajo de la meta del indicador. Este comportamiento se presenta por la alta rotación de las familias en los territorios distrital y nacional, y, el ingreso progresivo de participantes a la modalidad; se proyecta continuar acciones de articulación entre nivel central y las subdirecciones locales de integración social que incentiven el ingreso de participantes durante la vigencia.
Las atenciones brindadas a las y los participantes de la modalidad se realizaron a través de encuentros grupales, en casa y de cuidado, en el marco del Sistema Distrital de Cuidado, en los componentes salud y nutrición, psicosocial, fortalecimiento comunitario y desarrollo infantil. Así mismo, se continuó con la segunda toma trimestral de datos antropométricos a participantes en atención, el seguimiento a casos de malnutrición, de presunta vulneración de derechos y acompañamientos en la jornada pedagógica. Adicionalmente, se afianza la articulación con la Fundación Éxito a fin de otorgar bonos canjeables por alimentos a algunas familias vinculadas; se continuó la articulación con las estrategias "Medio acuático" y "Lo que la teta da", así como las acciones participativas en territorio para la formulación de la nueva Política Pública de Infancia y Adolescencia con el equipo Política Pública de Infancia y Adolescencia de la Subdirección para la Infancia.</t>
  </si>
  <si>
    <t>En junio se atendieron 23.215 gestantes, niñas y niños de primera infancia (estados: en atención, atendido y suspendido) en la modalidad creciendo juntos, lo que equivale a un resultado de 93%, es decir, 7 puntos porcentuales por debajo de la meta del indicador. Lo anterior, obedece al ingreso gradual de las y los participantes a la modalidad y al cambio de lugar de residencia de las familias dentro y fuera de la ciudad. Se proyecta continuar la implementación de estrategias y acciones articuladas con las Subdirecciones Locales para la Integración Social que incentiven el ingreso de potenciales participantes.
Así mismo, se continuó el desarrollo de encuentros grupales en casa y de encuentros de cuidado en el marco del Sistema Distrital de Cuidado – SIDICU-. En estos, los equipos interdisciplinares realizaron acciones intencionadas asociadas a los componentes salud y nutrición, desarrollo infantil, fortalecimiento comunitario y  psicosocial; se efectuó la toma de medidas antropométricas del segundo trimestre a cada participante; se hizo seguimiento a los casos de malnutrición identificados por la Dirección de Nutrición y Abastecimiento, así como a los casos de presunta vulneración de derechos identificados en cada territorio; se continuaron las articulaciones intra e interinstitucionales para implementar acciones conjuntas que contribuyan a la garantía de los derechos de gestantes, niñas, niños y sus familias en el marco de la atención brindada en la modalidad creciendo juntos.</t>
  </si>
  <si>
    <t>En julio se atendieron 24.381 gestantes, niñas y niños de primera infancia (estados: en atención, atendido y suspendido) en la modalidad creciendo juntos, lo que equivale a un resultado de 98%, es decir, 2 puntos porcentuales por debajo de la meta del indicador. Lo anterior, obedece al ingreso constante de participantes a la modalidad. Se proyecta continuar la articulación de acciones entre el equipo interdisciplinar y las Subdirecciones Locales para la Integración Social para el seguimiento y fortalecimiento técnico con la finalidad de generar acuerdos concertados con las familias y su posterior seguimiento, así como la identificación de potenciales participantes en aras de dar cumplimiento a la cobertura territorializada.
Se dio continuidad a los encuentros grupales y en casa, así como a los encuentros en el marco del Sistema de Cuidado – SIDICU, teniendo en cuenta el seguimiento de un objetivo interdisciplinar y la implementación de acciones intencionadas por las y los profesionales que acompañan los componentes salud y nutrición, desarrollo infantil, fortalecimiento comunitario y psicosocial.
Además, se adelantaron acciones como toma de datos antropométricos y seguimiento a los casos de sobrepeso o bajo peso detectados; activación y seguimiento a los casos remitidos a ruta de presunta vulneración de derechos; articulaciones intra e interinstitucionales para continuar acciones conjuntas que contribuyan a la garantía de los derechos de las gestantes, las niñas, los niños y sus familias.</t>
  </si>
  <si>
    <t>En agosto se atendieron 24.526 gestantes, niñas y niños de primera infancia (estados: en atención, atendido y suspendido) en la modalidad creciendo juntos, lo que equivale a un resultado de 98%, es decir, 2 puntos porcentuales por debajo de la meta del indicador. Esta situación obedece al ingreso de nuevos participantes a la modalidad como producto de las solicitudes de servicio recibidas en las Subdirecciones Locales, al ingreso de quienes se encontraban en listados de priorización y de participantes nuevos. Se proyecta continuar en las Subdirecciones Locales el egreso de participantes en estado “suspendido” en el Sistema de Información Misional -SIRBE- para liberar cupos e ingresar participantes que se encuentren en lista de espera; continuar la articulación de acciones entre el equipo interdisciplinar de la Subdirección para la Infancia y de las Subdirecciones Locales frente al seguimiento y fortalecimiento técnico con la finalidad de generar acuerdos concertados con las familias que permitan incentivar su corresponsabilidad; y dar continuidad a la identificación de potenciales participantes en aras de cumplir la cobertura territorializada.
Así mismo, se continuaron las atenciones directas a las familias a través de los encuentros grupales, en casa y los desarrollados en el marco del Sistema Distrital de Cuidado – SIDICU, teniendo en cuenta el objetivo interdisciplinar y la implementación de acciones intencionadas por las y los profesionales que acompañan los componentes salud y nutrición, desarrollo infantil, fortalecimiento comunitario y psicosocial.
Además, se realizó la toma de datos antropométricos y el seguimiento a los casos de sobrepeso o bajo peso detectados; activación y seguimiento a los casos remitidos a ruta de presunta vulneración de derechos; y acciones de articulación intra e interinstitucionales que contribuyen a la garantía de los derechos de las gestantes, las niñas, los niños y sus familias.</t>
  </si>
  <si>
    <t>En septiembre se atendieron 23.656 gestantes, niñas y niños de primera infancia (estados: en atención, atendido y suspendido) en la modalidad creciendo juntos, lo que equivale a un resultado de 95%, es decir, cinco puntos porcentuales bajo la meta del indicador. Lo anterior obedece al cambio de domicilio de las familias en respuesta a situaciones económicas generadas por la pandemia, así como falencias en su corresponsabilidad. Se espera para el próximo mes continuar la gestión en las Subdirecciones Locales para egresar participantes en estado “suspendido” en el Sistema de Información Misional -SIRBE-, liberar cupos e ingresar participantes de la lista de espera; por otra parte, el equipo interdisciplinar de la Subdirección para la Infancia y de las Subdirecciones Locales incentivarán acciones de seguimiento y fortalecimiento técnico con la finalidad de continuar generando acuerdos concertados con las familias que incentiven su corresponsabilidad.
Se precisa que se continuaron las atenciones directas a las familias a través de encuentros grupales, en casa y desarrollados en el marco del Sistema de Cuidado – SICU por el equipo interdisciplinar; y se implementaron acciones intencionadas por las y los profesionales desde los componentes salud y nutrición, desarrollo infantil, fortalecimiento comunitario y psicosocial.
Se realizó la toma de datos antropométricos y el seguimiento a los casos de sobrepeso o bajo peso detectados en gestantes, niñas y niños; se efectuó activación y seguimiento a los casos remitidos a ruta por presunta vulneración de derechos a partir de acciones de articulación intra e interinstitucionales que contribuyen a la garantía de los derechos de las gestantes, las niñas, los niños y sus familias.</t>
  </si>
  <si>
    <t>PSS-7744-003</t>
  </si>
  <si>
    <t>Gestantes, niñas y niños de primera infancia con permanencia mínima de 90 días en la modalidad creciendo juntos.</t>
  </si>
  <si>
    <t xml:space="preserve">Monitorear la permanencia mínima de 90 días de gestantes, niñas y niños de primera infancia que participan en la modalidad creciendo juntos. </t>
  </si>
  <si>
    <t>Promoción de acuerdos de corresponsabilidad con participantes de la modalidad creciendo juntos.
Seguimiento a la permanencia de gestantes, niñas y niños de la modalidad creciendo juntos.</t>
  </si>
  <si>
    <t>(No. acumulado de gestantes, niñas y niños de primera infancia en estados: atendido, en atención y suspendido (con motivo diferente a notificación de egreso) que permanecen mínimo 90 días en la modalidad creciendo juntos / No. acumulado de gestantes, niñas y niños de primera infancia en estados: atendido, en atención y suspendido (con motivo diferente a notificación de egreso) durante la vigencia en la modalidad creciendo juntos) * 100</t>
  </si>
  <si>
    <t>Numerador: sistema misional SIRBE.
Denominador: sistema misional SIRBE.</t>
  </si>
  <si>
    <t>Identificar en el sistema misional SIRBE el número acumulado de gestantes, niñas y niños de primera infancia en estados: atendido, en atención y suspendido (con motivo diferente a notificación de egreso) con mínimo 90 días de permanencia en la modalidad creciendo juntos y dividirlo entre el número acumulado de gestantes, niñas y niños de primera infancia en estados: atendido, en atención y suspendido (con motivo diferente a notificación de egreso) durante la vigencia en la modalidad creciendo juntos, identificados en el sistema misional SIRBE. 
Se toma la permanencia de 90 días dado que es el tiempo mínimo en el que gestantes, niñas y niños reciben la totalidad de atenciones ofrecidas por la modalidad.
El denominador se registrará de manera trimestral dado que se obtiene del reporte suministrado por la DADE.</t>
  </si>
  <si>
    <t>Numerador: reporte sistema misional SIRBE. 
Denominador: reporte sistema misional SIRBE.</t>
  </si>
  <si>
    <t xml:space="preserve">En enero se brindó atención a 13.912 participantes en la modalidad Creciendo Juntos, quienes se beneficiaron con la asignación de bono canjeable por alimentos, la realización de caracterizaciones familiares, el desarrollo de jornadas de toma de datos antropométricos en las cuales se determinó la talla y el peso de ellas y ellos a fin identificar su estado nutricional y la implementación de acciones de seguimiento a los casos identificados con malnutrición por bajo peso o sobrepeso. </t>
  </si>
  <si>
    <t>En febrero en la modalidad Creciendo Juntos se brindó atención a 13.993 participantes, a quienes se les entregó bono canjeable por alimentos y atenciones programadas en los diferentes componentes de la modalidad. Cabe precisar que los participantes se atendieron a través de los esquemas encuentros en casa, encuentros grupales y encuentros de cuidado en respuesta a las necesidades y particularidades de ellas y ellos. Así mismo, se efectuó seguimiento a los casos de malnutrición por bajo peso o sobrepeso identificados previamente y se activaron rutas de atención a presuntas vulneraciones de derechos de gestantes, niñas y niños. Las acciones enunciadas contribuyen a la garantía de los derechos de las y los participantes, al potenciamiento de su desarrollo integral y al fortalecimiento de las capacidades de las familias para educar, cuidar y proteger.</t>
  </si>
  <si>
    <t xml:space="preserve">Con corte a marzo, 10.199 gestantes, niñas y niños de primera infancia presentaron una permanencia mínima de 90 días en la modalidad Creciendo Juntos, lo que equivale a un resultado del indicador de 57%, que obedece a la alta flotabilidad de las familias y al ingreso progresivo de las y los participantes a la modalidad durante el primer trimestre de la vigencia; se proyecta el aumento progresivo de participantes a la modalidad en la medida en que avanza la vigencia.
Se precisa que a las y los participantes recibieron bono canjeable por alimentos y se les brindaron atenciones a través del equipo interdisciplinario en los componentes salud y nutrición, psicosocial, fortalecimiento comunitario y desarrollo infantil; para ello, se realizaron encuentros grupales, en casa y de cuidado, estos últimos según las solicitudes recibidas por las y los participantes y por las remisiones de los profesionales que acompañan los diferentes procesos en la modalidad. Adicionalmente, se continuó el seguimiento a los casos de malnutrición (bajo peso o sobrepeso) reportados; y se activaron rutas de atención a presuntas vulneraciones de los derechos de gestantes, niñas y niños. Lo anterior, contribuye a la garantía de los derechos de las y los participantes y permite potenciar su desarrollo integral y la formación a sus familias.                                                                                                                                                                                   </t>
  </si>
  <si>
    <t xml:space="preserve">En abril, en la modalidad creciendo juntos se entregó a las y los participantes bono canjeable por alimentos, se les hizo partícipes de acciones intencionadas asociadas a los componentes salud, desarrollo infantil, nutrición, psicosocial y fortalecimiento comunitario a fin de potenciar el desarrollo de las niñas y los niños y fortalecer en las familias las capacidades para educar, cuidar y proteger; se efectuó seguimiento a los casos de malnutrición por bajo peso o sobrepeso identificados; y se realizaron las gestiones correspondientes para la activación de rutas de atención a presuntas vulneraciones de los derechos de gestantes, niñas y niños.                                                                                                                                                                                   </t>
  </si>
  <si>
    <t>En mayo, en la modalidad creciendo juntos, las y los participantes recibieron atenciones del equipo interdisciplinario en los componentes salud y nutrición, psicosocial, fortalecimiento comunitario y desarrollo infantil; para ello, se desarrollaron encuentros grupales, en casa y de cuidado, estos últimos según las solicitudes recibidas por las y los participantes y por las remisiones de los profesionales que acompañan los diferentes procesos en la modalidad. Adicionalmente, se continuó el seguimiento a los casos de malnutrición (riesgo de desnutrición, desnutrición, sobrepeso, obesidad) reportados; y se activaron rutas de atención a presuntas vulneraciones de los derechos en gestantes, niñas y niños. Lo anterior, contribuye a la garantía de los derechos de las y los participantes y permite potenciar su desarrollo integral y la formación de las familias a fin de fortalecer sus capacidades para educar, cuidar y proteger.</t>
  </si>
  <si>
    <t>Con corte a junio, 15.464 gestantes, niñas y niños de primera infancia presentaron una permanencia mínima de 90 días en la modalidad creciendo juntos, lo que equivale a un resultado del indicador de 75%, en virtud de los cambios de lugar de residencia de las familias o el retorno a su ciudad o país de procedencia. Se reconoce un aumento en el número de participantes atendidos y se proyecta que en el tercer trimestre se incremente el número de participantes con permanencia mínima de 90 días por las articulaciones intra e interinstitucionales.
Adicionalmente, se entregaron bonos canjeables por alimentos los cuales se proyecta garantizar para el próximo mes; se brindó atención a cada participante a través del equipo interdisciplinario en los componentes desarrollo infantil, salud y nutrición, psicosocial y fortalecimiento comunitario, en los encuentros grupales, en casa y de cuidado; para estos últimos se tuvieron en cuenta las solicitudes recibidas por las y los participantes durante los encuentros y las remisiones de los profesionales que acompañan los diferentes procesos en la modalidad. Se hizo seguimiento a los casos de malnutrición (bajo peso o sobrepeso) reportados por la Dirección de Nutrición y Abastecimiento, así como a los casos de presuntas vulneraciones de derechos a gestantes, niñas y niños reportados.</t>
  </si>
  <si>
    <t>En julio, en la modalidad creciendo juntos se brindó atención a gestantes, niñas y niños a través del desarrollo de encuentros en casa, grupales y de cuidado liderados por los profesionales de los componentes desarrollo infantil, fortalecimiento comunitario, psicosocial, salud y nutrición. Los encuentros de cuidado se prepararon y programaron según el esquema de atención, así como a través del abordaje de las presuntas vulneraciones de derechos y la activación de rutas correspondientes. Se inició el tercer trimestre de toma de datos antropométricos y se continuó el seguimiento a los casos de activación de ruta por desnutrición y malnutrición. En algunas localidades, los participantes se vincularon a la estrategia mundo acuático y las acciones desarrolladas por la estrategia NIDOS de IDARTES. Lo anterior, contribuye al fortalecimiento del vínculo afectivo de madres, padres, cuidadoras, cuidadores, niñas y niños, así mismo, al reconocimiento y la garantía de los derechos de las y los participantes y al potenciamiento del desarrollo integral con enfoque diferencial.</t>
  </si>
  <si>
    <t>En agosto, en la modalidad creciendo juntos se brindaron atenciones a las y los participantes a través del desarrollo de encuentros en casa, de cuidado y grupales liderados por los profesionales de los componentes desarrollo infantil, fortalecimiento comunitario, psicosocial, salud y nutrición; los encuentros de cuidado se prepararon y programaron según el esquema de atención, en las 16 subdirecciones locales. Así mismo, a través del abordaje de las familias se logró la identificación de presuntas vulneraciones de derechos y se activaron las rutas correspondientes, mitigando los riesgos psicosociales. Se continuó la toma de datos antropométricos y el seguimiento de los casos de activación de ruta por desnutrición y malnutrición.
En algunas localidades, las y los participantes se vincularon a las estrategias Mundo Acuático de la Subdirección para la Infancia y Nidos de IDARTES, y las familias en atenciones de las manzanas de cuidado. Lo anterior, contribuye al fortalecimiento del vínculo afectivo de niñas, niños, madres, padres, cuidadoras y cuidadores; a la garantía de los derechos y al potenciamiento del desarrollo integral con enfoque diferencial de las niñas y los niños.</t>
  </si>
  <si>
    <t>Con corte a septiembre, 18.026 gestantes, niñas y niños de primera infancia presentaron una permanencia mínima de 90 días en la modalidad creciendo juntos, lo que equivale a un resultado del indicador de 78%, esto es tres puntos porcentuales más que el trimestre anterior, en razón a la vinculación progresiva de participantes en lista de espera.
Se precisa que se brindaron atenciones a las y los participantes a través de encuentros en casa, de cuidado y grupales liderados por los profesionales en los componentes desarrollo infantil, fortalecimiento comunitario, psicosocial, salud y nutrición; los encuentros de cuidado se prepararon y programaron según el esquema de atención en las 16 subdirecciones locales, el sistema de cuidado y el potenciamiento del desarrollo de niñas y niños.
Así mismo, a través del abordaje con las familias se identificaron presuntos casos de vulneración de derechos por lo cual se activaron las rutas internas o externas correspondientes según los protocolos, mitigando riesgos psicosociales en las y los participantes de la modalidad. Se continuó la toma de datos antropométricos y el seguimiento a los casos de activación de ruta por desnutrición y malnutrición.
En las Subdirecciones Locales de San Cristóbal, Bosa, Usaquén, las y los participantes se vincularon a las estrategias Mundo Acuático de la Subdirección para la Infancia; en las Subdirecciones Locales de Chapinero, Engativá, Mártires, Ciudad Bolívar, San Cristóbal, Puente Aranda - Antonio Nariño, Barrios Unidos - Teusaquillo y Bosa las y los participantes se vincularon a la estrategia Nidos de IDARTES; las familias de las Subdirecciones Locales de Usaquén, Engativá, Mártires, Santa Fe - Candelaria, Usme, Ciudad Bolívar, San Cristóbal y Bosa participaron en actividades de las manzanas de cuidado. Lo anterior, en el marco de las articulaciones intersectoriales que promueven el fortalecimiento del vínculo afectivo de niñas, niños, madres, padres, cuidadoras y cuidadores, la garantía de derechos y el potenciamiento del desarrollo integral con enfoque diferencial de gestantes, lactantes, niñas y niños.</t>
  </si>
  <si>
    <t>PSS-7744-004</t>
  </si>
  <si>
    <t>Gestantes, niñas y niños de primera infancia atendidos en la modalidad crecemos en la ruralidad.</t>
  </si>
  <si>
    <t xml:space="preserve">Monitorear la atención de gestantes, niñas y niños de primera infancia que participan en la modalidad crecemos en la ruralidad. </t>
  </si>
  <si>
    <t>Diligenciamiento del Formato Ficha SIRBE y registro oportuno de su información en el Sistema Misional SIRBE.</t>
  </si>
  <si>
    <t>(No. de gestantes, niñas y niños de primera infancia en estados: atendido, en atención y suspendido en la modalidad crecemos en la ruralidad en el periodo / No. de cupos ofertados en la modalidad crecemos en la ruralidad) * 100</t>
  </si>
  <si>
    <t>Numerador: sistema misional SIRBE
Denominador: directorio servicios sociales Subdirección para la Infancia</t>
  </si>
  <si>
    <t>Identificar en el sistema misional SIRBE el número de gestantes, niñas y niños de primera infancia de la modalidad crecemos en la ruralidad en estados: atendido, en atención y suspendido en el periodo y dividirlo entre el número de cupos ofertados en la modalidad crecemos en la ruralidad registrado en el directorio servicios sociales Subdirección para la Infancia.</t>
  </si>
  <si>
    <t>Numerador: reporte sistema misional SIRBE.
Denominador: directorio servicios sociales Subdirección para la Infancia.</t>
  </si>
  <si>
    <t>En enero 554 gestantes, niñas y niños de primera infancia fueron atendidos en las modalidades Espacios Rurales y Crecemos en la Ruralidad, lo que corresponde a un resultado del indicador de 86% en razón a que las actividades en dichas modalidades iniciaron a partir del desarrollo de procesos de inducción y reinducción con los profesionales y se verificaron los datos de gestantes, niñas, niños y sus familias participantes en las dos modalidades en Suba, Chapinero, Ciudad Bolívar, Usme y Sumapaz a fin de identificar los cupos e iniciar las búsquedas activa. Así mismo, se realizaron fortalecimientos técnicos a las familias de las niñas y los niños en el marco de los compromisos y responsabilidades para contribuir a la garantía de sus derechos.</t>
  </si>
  <si>
    <t>En febrero 527 gestantes, niñas y niños de primera infancia fueron atendidos en las modalidades Espacios Rurales y Crecemos en la Ruralidad, lo que corresponde a un resultado del indicador de 82% en razón a que las actividades desarrolladas en dichas modalidades consistieron en la caracterización de las y los participantes en las áreas pedagógica, psicosocial y nutricional para iniciar los acompañamientos integrales; en Espacio Rurales se caracterizaron a las niñas y los niños que habitan cerca de centros poblados con condiciones geográficas que les impide llegar a estos a fin de proyectar acompañamientos presenciales; y en crecemos en la ruralidad se realizaron caracterizaciones interdisciplinarias a gestantes, niñas y niños que habitan en la zona rural dispersa.
Por otro lado, en el proceso de consolidación de los grupos participantes de las dos modalidades se realizaron transiciones efectivas de niñas y niños a la Secretaría Distrital de Educación; el equipo psicosocial atendió situaciones asociadas a salud, aspectos psicosociales y riesgos en la garantía de derechos. Las acciones mencionadas se registraron de manera semanal en la matriz de seguimiento mensual. Así mismo, se entregaron paquetes alimentarios a gestantes, niñas y niños de Sumapaz, Usme, Chapinero; y bonos canjeables por alimentos a gestantes, niñas y niños de Ciudad Bolívar y Suba; las entregas de alimentos permiten mantener o mejorar el adecuado estado nutricional de las y los participantes.
Además, en los cinco territorios rurales niñas, niños y comunidad participaron de la movilización social “Manos Rojas” orientada a sensibilizar a madres, padres y cuidadores en la prevención del reclutamiento de niñas, niños y adolescentes rurales a la guerra. La movilización permitió acordar con las y los participantes el compromiso de socializar con otras personas habitantes de la ruralidad el tema y promover la denuncia ante las autoridades competentes.
Adicionalmente, se continuaron las búsquedas activas de gestantes, niñas y niños para lograr la cobertura propuesta en las dos modalidades de atención. Cabe precisar, que las atenciones brindadas por las modalidades en el esquema de atención en alternancia, se registraron en el formulario habilitado en Google Apps, estas atenciones se realizaron al identificar casos de COVID-19 en las y los participantes o en el talento humano a fin de garantizar el aislamiento y la reducción de la probabilidad de contagio.</t>
  </si>
  <si>
    <t>En marzo, se atendieron 609 gestantes, niñas y niños de primera infancia en la modalidad Crecemos en la Ruralidad, lo que equivale a un resultado del indicador de 113%, es decir 13 puntos porcentuales por encima de la meta, en razón al avance progresivo del egreso de participantes en estado suspendido y a que en los territorios rurales han emergido habitantes migrantes, que ingresan y egresan de manera permanente a la modalidad.
Así mismo, se brindó a las niñas y a los niños acompañamiento interdisciplinario en el esquema de atención presencial en la mayoría de las localidades. En algunos casos, de acuerdo con la situación específica, se realizó la atención en el esquema de alternancia; se priorizaron en los territorios rurales actividades orientadas al seguimiento nutricional a través de la toma de medidas antropométricas y seguimiento al esquema de vacunación a fin de prevenir enfermedades prevalentes de la primera infancia rural.
Nota: el cambio en los valores del numerador y del denominador en relación con el mes anterior se debe a que el indicador se actualizó a través de la Circular No. 010 de 31/03/2022, reflejando únicamente la modalidad Crecemos en la Ruralidad.</t>
  </si>
  <si>
    <t>En abril se atendieron 505 gestantes, niñas y niños de primera infancia en la modalidad crecemos en la ruralidad lo que equivale a un resultado de 94%, es decir, seis puntos porcentuales por debajo de la meta. Lo anterior obedece al constante cambio de residencia de las familias a lo amplio del territorio distrital y nacional en respuesta a sus condiciones socioeconómicas y a las fluctuaciones que presenta la asistencia de participantes los primeros meses de las vigencias. Se proyecta la implementación de acciones articuladas con las Subdirecciones Locales para la Integración Social que permitan incentivar el aumento de participantes en la modalidad crecemos en la ruralidad.
Así mismo, se precisa que durante el mes se acompañaron a las y los participantes a través de atenciones en el esquema presencial, superando el reto posterior a la pandemia de generar confianza en ellas, ellos y sus familias; se implementaron acciones que permitieron estar vigilantes ante la presencia de situaciones puntuales relacionadas con la salud y el aspecto psicosocial; se fortaleció la corresponsabilidad familiar; se realizó homenaje a la niñez rural por medio de actividades que promovieron la crianza amorosa con el juego; se propiciaron experiencias pedagógicas y psicosociales asociadas con la crianza amorosa a fin de fortalecer vínculos afectivos familiares y comunitarios, así como la promoción de la transformación de creencias y prácticas que naturalizan la violencia, y reafirmar el compromiso de los adultos en la garantía de entornos amorosos y seguros para la primera infancia.</t>
  </si>
  <si>
    <t>En mayo se atendieron 491 gestantes, niñas y niños de primera infancia en la modalidad crecemos en la ruralidad, lo que equivale a un resultado de 91%, es decir, nueve puntos porcentuales por debajo de la meta del indicador. Lo anterior, obedece a la alta rotación de participantes en los territorios rurales por situaciones como: cambio de territorio, ofertas laborales, situaciones de salud, educación y socioeconómicas; se proyecta la búsqueda activa y articulada con profesionales de la modalidad y las Subdirecciones Locales de Integración Social que estimulen el aumento de participantes en la modalidad.
Así mismo, en el marco de la formulación de la Política Pública de Infancia y Adolescencia, se acompañaron a las niñas y los niños rurales a través de actividades lúdicas que permitieron desarrollar diálogos prospectivos a fin recoger las voces de la primera infancia, encaminadas a vivenciar el juego amoroso y el cuidado para vivir una primera infancia feliz. Así mismo, se realizaron acompañamientos familiares a través de experiencias pedagógicas orientadas a visibilizar en la familia y comunidad el tema de cuidado y autocuidado, protección y promoción de los derechos de las niñas y los niños, promoviendo la integración familiar como escenario de cuidado.</t>
  </si>
  <si>
    <t>En junio se atendieron 509 gestantes, niñas y niños de primera infancia en la modalidad crecemos en la ruralidad, lo que equivale a un resultado de 94%, es decir, seis puntos porcentuales por debajo de la meta del indicador, en razón a diferentes situaciones de carácter social y económico presentadas en las dinámicas familiares de las y los participantes de la modalidad y en el contexto territorial.
Así mismo, se precisa que durante este periodo se realizaron actividades orientadas al desarrollo de experiencias pedagógicas con enfoque diferencial y de género con la participación de las familias campesinas rurales. Así mismo, con el acompañamiento de los equipos interdisciplinarios se lograron vivenciar experiencias pedagógicas comunitarias en el marco del mes de la familia a fin de visibilizar los derechos, en articulación con la Secretaría Distrital de Salud y la Subdirección para la Familia de la entidad.</t>
  </si>
  <si>
    <t>En julio se atendieron 519 gestantes, niñas y niños de primera infancia en la modalidad crecemos en la ruralidad, lo que equivale a un resultado de 96%, es decir, cuatro puntos porcentuales por debajo de la meta del indicador, en razón a dinámicas de las familias de las y los participantes y del contexto territorial.
Adicionalmente, los equipos interdisciplinarios realizaron acciones de acompañamiento con las y los participantes que permitieron vivenciar experiencias pedagógicas comunitarias; se efectuaron actividades dirigidas a potenciar el desarrollo de experiencias pedagógicas con enfoque diferencial y de género que promovieron la participación de las familias campesinas rurales; y se continuaron las acciones de articulación con la Secretaría Distrital de Salud y la Subdirección para la Familia de la SDIS a fin de contribuir a la garantía de los derechos de gestantes, niñas y niños de primera infancia.</t>
  </si>
  <si>
    <t>En agosto se atendieron 540 gestantes, niñas y niños de primera infancia en la modalidad crecemos en la ruralidad, lo que equivale a un resultado de 100%, en razón a las estrategias de búsquedas activas y la demanda de las y los participantes de los territorios rurales provocada por la dinámica en la estabilización económica postpandemia.
Adicionalmente, los equipos interdisciplinarios realizaron acciones de acompañamiento con las y los participantes que permitieron fortalecer experiencias pedagógicas; a través de actividades donde las niñas y los niños potencian su curiosidad, capacidad de asombro, indagación, experimentación y construcción de sus propias ideas sobre el entorno natural. Así mismos, se realizaron actividades que fortalecieron a madres, padres y cuidadores en práctica de la lactancia materna, “La lactancia materna salva vidas", mitos que existen en la lactancia materna, conocimiento y transformación de imaginarios para disfrutar mejor esta etapa y prevenir enfermedades prevalentes en la primera infancia.</t>
  </si>
  <si>
    <t>En septiembre se atendieron 557 gestantes, niñas, niños de primera infancia en la modalidad crecemos en la ruralidad, lo que equivale a un resultado del indicador de 103%, es decir tres puntos porcentuales por encima de la meta, debido al egreso progresivo de participantes en estado suspendido generados por la migración de las familias en el territorio rural.
Así mismo, se brindó a las niñas, los niños y gestantes acompañamiento interdisciplinario en el esquema de atención presencial; se realizaron actividades orientadas al seguimiento nutricional a través de la toma de medidas antropométricas y al seguimiento del esquema de vacunación contra enfermedades prevalentes especialmente en recién nacidos, promoviendo la cultura del “calendario de vacunas al día de las niñas, niños” y la relevancia de las vacunas para disminuir la vulnerabilidad a enfermedades prevalentes de la primera infancia rural.
Adicionalmente, se realizaron actividades pedagógicas para visibilizar la importancia de la práctica de hábitos saludables y de la lactancia materna en el potenciamiento del desarrollo de las niñas y los niños, según lo propuesto en los ejes de trabajo pedagógico para la primera infancia.</t>
  </si>
  <si>
    <t>PSS-7744-005</t>
  </si>
  <si>
    <t>Gestantes, niñas y niños de primera infancia con permanencia mínima de 90 días en la modalidad crecemos en la ruralidad.</t>
  </si>
  <si>
    <t xml:space="preserve">Monitorear la permanencia mínima de 90 días de gestantes, niñas y niños de primera infancia que participan en la modalidad crecemos en la ruralidad. </t>
  </si>
  <si>
    <t>Seguimiento a la permanencia de gestantes, niñas y niños que participan en la modalidad crecemos en la ruralidad.</t>
  </si>
  <si>
    <t>(No. acumulado de gestantes, niñas y niños de primera infancia en estados: atendido, en atención y suspendido (con motivo diferente a notificación de egreso) que permanecen mínimo 90 días en la modalidad crecemos en la ruralidad / No. acumulado de gestantes, niñas y niños de primera infancia en estados: atendido, en atención y suspendido (con motivo diferente a notificación de egreso) en la modalidad crecemos en la ruralidad) * 100</t>
  </si>
  <si>
    <t xml:space="preserve">Identificar en el sistema misional SIRBE el número acumulado de gestantes, niñas y niños de primera infancia en estados: atendido, en atención y suspendido (con motivo diferente a notificación de egreso) con mínimo 90 días de permanencia en la modalidad crecemos en la ruralidad y dividirlo entre el número acumulado de gestantes, niñas y niños de primera infancia en estados: atendido, en atención y suspendido (con motivo diferente a notificación de egreso) en la modalidad crecemos en la ruralidad identificado en el sistema misional SIRBE.
Se toma la permanencia de 90 días dado que es el tiempo mínimo en el que gestantes, niñas y niños reciben la totalidad de atenciones ofrecidas por la modalidad crecemos en la ruralidad.
El denominador se registrará de manera trimestral dado que obedece a un dato suministrado por la DADE.
</t>
  </si>
  <si>
    <t>Numerador: reporte sistema misional SIRBE 
Denominador: reporte sistema misional SIRBE</t>
  </si>
  <si>
    <t>En enero se inició, según los cronogramas del memorando remitido a las subdirecciones locales con asunto “cierre actividades vigencia 2021 e inicio vigencia 2022 en el servicio educación inicial en el marco de la atención integral”, a partir de la inducción, reinducción, planeación de actividades de fortalecimiento técnico y la movilización social con los equipos interdisciplinares de las modalidades espacios rurales y crecemos en la ruralidad.
Además, se actualizó la información de las familias, se confirmó su permanencia en la modalidad Espacios Rurales en Sumapaz y Ciudad Bolívar y en la modalidad Crecemos en la Ruralidad en Suba, Chapinero, Ciudad Bolívar, Usme y Sumapaz. Así mismo, se realizó la acogida de niñas, niños y sus familias, logrando la generación de confianza con las y los participantes nuevos, así como, el fortalecimiento con las niñas y los niños que permanecen en la modalidad.</t>
  </si>
  <si>
    <t>En febrero, en las modalidades Crecemos en la Ruralidad y Espacios Rurales se iniciaron las actualizaciones de los Proyectos Educativos Comunitarios (PEC) y la propuesta de acompañamiento y seguimiento, que contempla actividades presenciales que favorecen interacciones y orientaciones relacionadas con los procesos de desarrollo infantil y el fortalecimiento de habilidades parentales de las familias para educar, cuidar y proteger, las cuales serán potenciadas desde la perspectiva pedagógica, psicosocial, nutricional  y de género según los contextos rurales donde se desarrolla.
Adicionalmente, se proyectó la atención de gestantes y lactantes para contribuir a la garantía de sus derechos, la prevención de embarazos subsecuentes y el proyecto de vida personal y familiar en el marco del Sistema Distrital de Cuidado.</t>
  </si>
  <si>
    <t>Con corte a marzo, 342 niñas y niños de primera infancia presentaron permanencia de 90 días en la modalidad Crecemos en la Ruralidad, lo cual equivale a un resultado del indicador de 56% en razón a la alta rotación de las y los participantes ocasionada por la llegada de familias migrantes que ingresan y egresan a la modalidad con frecuencia.
Así mismo, en la modalidad se brindaron a las y los participantes las atenciones en el marco de los proyectos educativos comunitarios PEC, los cuales se orientan a la supervivencia de los saberes rurales - campesinos en los cinco territorios rurales de la ciudad, a partir de los esquemas presencial y en alternancia. Adicionalmente, las atenciones interdisciplinarias a niñas, niños y gestantes se promovieron hábitos de vida saludable, física y emocional. Así mismo, actividades para las y los cuidadores con movilizaciones sociales orientadas a acciones lúdicas y artísticas de respiro en el marco del día internacional de los derechos de las mujeres, en especial las mujeres rurales – campesinas, que se centraron en el enfoque de género a fin de promover la transformación de imaginarios entre hombre y mujeres.</t>
  </si>
  <si>
    <t xml:space="preserve">En abril, las gestantes, niñas y niños que participan en la modalidad crecemos en la ruralidad, en los territorios rurales ubicados en las localidades de Suba, Chapinero, Santafé, Usme, Ciudad Bolívar y Sumapaz, se atendieron de manera presencial superando situaciones del clima que afectaron la salud de las y los participantes, así como de las y los profesionales. Se realizaron actividades para fortalecer hábitos de vida saludables a través de recetas infantiles, tales como, pastel de zanahoria, ensaladas de frutas y verduras. Adicionalmente, las familias rurales participaron de eventos lúdicos y juegos que se realizaron en articulación con otras entidades a fin fortalecer y generar habilidades parentales en madres, padres, cuidadoras y cuidadores que permitan la construcción de relaciones horizontales en la familia y la comunidad, así como incorporar aprendizajes sociales y emocionales, y concertar y comunicar asertivamente sentimientos y emociones.
</t>
  </si>
  <si>
    <t>En mayo, las niñas, los niños y las gestantes rurales que participan en la modalidad crecemos en la ruralidad fueron acompañadas en el esquema de presencialidad en cinco territorios ubicados en las localidades Suba, Chapinero, Santafé, Usme, Ciudad Bolívar y Sumapaz. Estos acompañamientos estuvieron orientados a partir de experiencias pedagógicas, psicosociales y nutricionales que permiten fortalecer el proceso de desarrollo según las necesidades en la primera infancia rural de manera diferencial.
Así mismo, se precisa que, en el marco de la conmemoración del día de la familia, Ley 1257 de 2017, la modalidad crecemos en la ruralidad, desarrolló actividades en articulación con la Subdirección para la Familia, IDARTES, SUBRED SUR a fin de generar experiencias pedagógicas a través de actividades, como: picnic rural, festivales de crianza y cuidado,  espacios de cuidado y autocuidado, que convocaron a las familias a dialogar entorno a la crianza y cuidado con amor, como una estrategia pedagógica que incentivan la generación de habilidades para la construcción de relaciones horizontales para la vida, encaminadas a la escucha, el respeto, la conciliación familiar, la transformación de relaciones de equidad de género y otros aspectos del entorno familiar.</t>
  </si>
  <si>
    <t>Con corte a junio, 472 niñas, niños y gestantes presentaron una permanencia mínima de 90 días en la modalidad crecemos en la ruralidad, lo cual equivale a un resultado de 70%, en razón a la alta rotación de las familias de las y los participantes en los territorios rurales, en respuesta a situaciones económicas, laborales, educativas y de tránsito por migración en algunos casos. Se proyecta que las niñas, niños y gestantes con permanencia mínima de 90 días en la modalidad aumenten de manera progresiva, en la medida en que avanza la vigencia.
Así mismo, se precisa que se realizaron actividades con las familias de las niñas y los niños en el marco de la conmemoración del día de las campesinas y los campesinos, con las cuales se visibilizó a través de transmisión cultural el arduo trabajo en el sector agrícola de Bogotá de las mujeres y los hombres del campo y se les rindió un homenaje. 
De manera paralela, se generaron articulaciones con la Secretaría Distrital de Salud para la toma de talla y peso de las niñas, los niños y gestantes; por otra parte, se desarrollaron jornadas de prevención de delitos sexuales y violencia, manejo de emociones y promoción de estilo de vida saludable.</t>
  </si>
  <si>
    <t>En julio, las gestantes, las niñas y los niños de primera infancia que participan en la modalidad crecemos en la ruralidad recibieron acompañamiento presencial en las localidades Suba, Chapinero, Santafé, Usme, Ciudad Bolívar y Sumapaz, los cuales, se fundamentaron en los componentes pedagógico, psicosocial y nutricional para fortalecer su proceso de desarrollo de acuerdo con sus necesidades y particularidades.
Además, se realizaron actividades que permitieron generar experiencias pedagógicas que abordaron temáticas como la crianza y el cuidado, los espacios de cuidado y autocuidado y convocaron al diálogo a las familias como una estrategia que promueve la generación de habilidades para la consolidar relaciones horizontales, encaminadas a la escucha, el respeto, a la conciliación y a la transformación de relaciones de equidad de género en el entorno familiar.</t>
  </si>
  <si>
    <t>En agosto en la modalidad crecemos en la ruralidad se brindaron a las y los participantes acompañamientos presenciales en Suba, Chapinero, Santafé, Usme, Ciudad Bolívar y Sumapaz. Se abordaron temáticas de desarrollo social y personal en la primera infancia, construcción de autonomía a través de experiencias que promueven la independencia y autonomía de las niñas y los niños al comer para lograr la ingesta de todos los alimentos, disfrutando los momentos y en tiempos adecuados.
Además, se realizaron actividades que permitieron generar experiencias pedagógicas a través de actividades propiciadas en círculos familiares, en temáticas de movilización social de la lactancia materna para promover la garantía del derecho a la alimentación; y se desarrollaron estrategia de comunicación educativa que promueven el respeto a la práctica de la lactancia materna en el espacio público y privado.</t>
  </si>
  <si>
    <t>Con corte a septiembre, 550 niñas, niños y gestantes presentaron permanencia de 90 días en la modalidad crecemos en la ruralidad, lo que equivale a un resultado del indicador de 71%, esto es un punto porcentual mayor que el trimestre anterior, en razón al traslado permanente de participantes por la rotación de las familias en el territorio quienes ante la falta de oportunidades laborales migran o presentar trabajos temporales al no ser dueños de la tierra.
Así mismo, desde los componentes pedagógico y psicosocial propuestos para la atención de niñas, niños, gestantes y familias en la ruralidad, se realizan actividades pedagógicas que permiten mejoras usos, prácticas y costumbres; se propiciaron experiencias pedagógicas para resaltar la importancia de la práctica de hábitos saludables y lactancia materna para el potenciamiento del desarrollo de las niñas, los niños; se realizó acompañamiento y seguimiento a cada familia para reconocer, fortalecer y concientizar acerca del valor de la corresponsabilidad, en acciones simples como: garantizar el derecho a la salud a niñas y niños, relaciones armónicas, prevención de violencia intrafamiliar y vulneración de derechos de ellas y ellos.</t>
  </si>
  <si>
    <t>PSS-7744-006</t>
  </si>
  <si>
    <t>Niñas, niños y adolescentes atendidos en las modalidades centros amar diurnos y nocturnos que culminan el plan de atención integral.</t>
  </si>
  <si>
    <t>Monitorear el número de niñas, niños y adolescentes atendidos en las modalidades centros amar diurnos y nocturnos que culminan el plan de atención integral.</t>
  </si>
  <si>
    <t>Estrategias oportunas de atención dirigidas a niñas, niñas, adolescentes y familias en situación de trabajo infantil vinculados a las modalidades centros amar diurnos y nocturnos.
Cambio del estado de seguimiento en el Sistema Misional SIRBE.</t>
  </si>
  <si>
    <t>(No. De niñas, niños y adolescentes que culminan el plan de atención integral en el periodo / No. total de niñas, niños y adolescentes en estado atendido en el período) * 100</t>
  </si>
  <si>
    <t>Numerador: sistema misional SIRBE
Denominador: sistema misional SIRBE</t>
  </si>
  <si>
    <t>Numerador: Reporte de niñas, niños y adolescentes en estado atendido con motivo de egreso "finalización proceso de atención" del Sistema Misional SIRBE.
Denominador: Reporte de niñas, niños y adolescentes en estado atendido del Sistema Misional SIRBE.</t>
  </si>
  <si>
    <t>Bimestral</t>
  </si>
  <si>
    <t>En enero, en concordancia con la reactivación económica y escolar que ha generado nuevos lineamientos a nivel distrital y nacional, se continuó el regreso gradual para brindar atención a las y los participantes vinculados de manera presencial. En once (11) de las trece (13) unidades operativas se brindó atención presencial, contando así con espacios protectores con la entrega de desayuno, almuerzo o cena y el proceso de atención integral a través de los componentes: atención psicosocial, desarrollo pedagógico, nutrición y salubridad y gestión para la articulación. En dos unidades operativas se presentó atención virtual mientras se cumplen las condiciones de infraestructura y dotación requeridas para la atención presencial; las unidades de San Cristóbal y Usaquén continuaron con la atención en alternancia tres días a la semana con entrega de refrigerios y actividades extramurales.
Se precisa que el retorno a la presencialidad ha permitido continuar procesos para los cuales el Modelo de Atención Integral establece un tiempo máximo de dos años, y que debido a la pandemia se pospusieron a fin de privilegiar los derechos de la niñez y la adolescencia, reconociendo la identificación de situaciones de riesgos de vulneración derechos que se profundizaron por la Pandemia y las grandes brechas socioeconómicas de las familias, debido a la afectación de las actividades económicas en las cuarentenas, a la operación virtual de los colegios que ocasionó que niñas, niños y adolescentes se encontraran hacinados, en espacios con deficientes condiciones de salubridad y riesgos asociados al consumo de sustancias psicoactivas. La reactivación permite continuar el plan de atención integral y retomar la culminación de procesos de atención por finalización de este.</t>
  </si>
  <si>
    <t>Con corte a febrero, 121 niñas, niños y adolescentes atendidos en las modalidades centros amar diurnos y nocturnos culminaron el plan de atención, lo que implica que dichos participantes están fuera de riesgo asociado al trabajo infantil ampliado; lo anterior equivale a un resultado del indicador de 42% debido al retorno progresivo de las y los participantes a la atención presencial en los Centros Amar, dado que ello posibilita la continuación de los procesos de culminación del plan de atención integral.
Se precisa que el proceso de atención integral se brindó a través de los componentes: atención psicosocial, desarrollo pedagógico, nutrición y salubridad y gestión para la articulación del modelo de atención integral; lo anterior, es posible por el trabajo interdisciplinario y complementario de los profesionales de los centros amar, efectuado a fin de garantizar los derechos a las niñas, niños y adolescentes y retirarlos de los riesgos asociados al trabajo infantil ampliado. Así mismo, en dicho mes se presentaron algunos retiros voluntarios e inasistencias prolongadas debido al incremento en el cambio de domicilio de las familias y a factores asociados a la baja corresponsabilidad y agenciamiento.</t>
  </si>
  <si>
    <t>En marzo, los Centros Amar brindaron atención a las y los participantes en los esquemas de atención que se precisan a continuación: once (11) unidades operativas retornaron a acciones de atención presencial y dos (2) unidades operativas en no presencial, debido al avance progresivo de adecuaciones en la infraestructura para poder preparar alimentos en dichas unidades operativas.
Cabe precisar que el regreso a la presencialidad continúa siendo un reto para lograr las coberturas y la asistencia permanente de los participantes a los Centros Amar, debido a la resistencia y cambio de hábitos generados por aislamiento en las familias, siendo este un factor determinante en los procesos de atención integral, derivados del modelo propuesto para la prestación de las modalidades.
Ante el reto enunciado, los equipos interdisciplinarios hacen seguimiento a las acciones y actividades promovidas para incentivar la corresponsabilidad de las familias a través de la generación de acuerdos. Por otro lado, se realizaron talleres de padres, escuelas de padres y reuniones, para revisar uno a uno los retrocesos y avances de cada uno de los participantes de los Centros Amar. Así mismo, se trabajó en las unidades operativas a partir de la línea técnica suministrada para el fortalecimiento de acciones que contribuyen a mejorar los procesos de atención, incluyendo el diligenciamiento de la ficha SIRBE, con sus novedades, a fin de lograr que niñas, niños y adolescentes terminen su proceso de atención para erradicar el trabajo infantil de sus vidas.</t>
  </si>
  <si>
    <t>Con corte a abril se atendieron 129  niños, niñas y adolescentes en las modalidades centros amar diurnos y nocturnos quienes culminaron el plan de atención integral, lo cual equivale a un resultado de 40%, es decir, diez puntos porcentuales por debajo de la meta. Lo anterior, obedece al constante cambio de lugar de residencia de las familias en el territorio nacional. Se proyecta la implementación de acciones que incentiven la culminación del plan de atención de la modalidad centros amar diurnos y nocturnos.
Así mismo, se precisa que en el marco de la conmemoración de la niñez, los centros amar se unieron a la fiesta nacional a través de la invitación realizada por la corporación juego y niñez, donde se realizaron 13 festivales para convocar a las familias a vivir y hablar de la crianza amorosa más juego, en estas jornadas participaron más de 300 familias y 500 niñas, niños y adolescentes. Así mismo, en cumplimiento de la Ley 2089 de 2021 “por medio de la cual se prohíbe el uso del castigo físico, los tratos crueles, humillantes o degradantes y cualquier tipo de violencia como método de corrección contra niñas, niños y adolescentes y se dictan otras disposiciones”, los centro amar acompañaron acciones de sensibilización mediante diferentes metodologías para que las familias conozcan la ley y la implementen.
Además, en dos unidades operativas se continuó la atención no presencial debido a reparaciones en la infraestructura, adquisición de elementos de dotación de cocina y los procesos de entrega de alimentos por la Dirección de Nutrición y Abastecimiento. Los centros de San Cristóbal y Usaquén continuaron brindando la atención en alternancia tres días a la semana con entrega de refrigerios y actividades extramurales. 
Así mismo, en los Centros Amar se generaron las siguientes acciones:
1. Prevención y fortalecimiento de las relaciones familiares, reforzando lazos de amor y crianza asertiva entre madres, padres, hijas e hijos.
2. Se implementaron metodologías alternativas que modifican pautas de crianza, promoviendo el juego como herramienta de diversión y disfrute de tiempos de calidad.
3. Se mitigó el riesgo de trabajo infantil ampliado dando garantía al Artículo 30 de la convención; derecho a la recreación, participación en la oferta cultural y las artes, permitiéndoles a niñas, niños y adolescentes desarrollar actividades propias de su ciclo vital, a partir de juegos al aire libre, potenciando sus capacidades.
4. Se planearon acciones en el marco de las manzanas de cuidado y escuelas para los cuidadores de: deportes, música, danza, artes y juego.
5. Se fomentó la diversidad cultural, el buen trato y la comunicación asertiva, fortaleciendo el esquema corporal, potenciando habilidades y destrezas, las cuales permitieron promover el desarrollo integral de niñas, niños y adolescentes.
6. Se sensibilizó a los participantes acerca de la discapacidad y se brindó orientación vocacional permitiendo el acercamiento a un ambiente laboral simulado y el conocimiento de hábitos y competencias laborales.
7. Se permitió el intercambio de saberes entre niñas, niños y adolescentes de la modalidad y las personas con discapacidad promoviendo la comprensión y la sensibilización en torno a la discapacidad y el acercamiento a un ambiente laboral simulado.</t>
  </si>
  <si>
    <t>Con corte a junio, 78 niñas, niños y adolescentes atendidos en las modalidades centros amar diurnos y nocturnos culminaron el plan de atención integral, lo que equivale a un resultado de 39%, es decir, once puntos porcentuales debajo de la meta del indicador que obedece al incremento de egresos por los criterios: inasistencias injustificadas y retiros voluntarios, por la poca corresponsabilidad de las familias y sus dificultades para retornar a los hábitos y rutinas después de la pandemia, así como al cambio de sus lugares de residencia al interior o exterior de la ciudad. Se proyecta continuar la implementación de acciones que incentiven la culminación del plan de atención y el reconocimiento del acuerdo de corresponsabilidad a través de la sensibilización acerca de los aportes del acompañamiento nutricional, psicosocial y pedagógico a la garantía de los derechos de las niñas, niños y adolescentes.
Adicionalmente, se implementaron en las modalidades centros amar diurnos y nocturnos acciones intencionadas para fortalecer las capacidades y habilidades de las niñas, los niños y adolescentes desde el incentivo a la creatividad, el desarrollo y las actividades recreativas y deportivas que inciden en la reducción de la vulneración de sus derechos.
Así mismo, se conmemoró el día mundial contra el trabajo infantil a partir del desarrollo de acciones distritales que permitieron la movilización social y comunitaria, y el reconocimiento del trabajo infantil como un intolerable social que es necesario abordar a partir de escenarios de protección que garanticen a las niñas, los niños y adolescentes una vida plena y acorde con su edad.
Cabe precisar que el número total de niñas, niños y adolescentes en estado "Atendido" en el período reportado en el denominador disminuyó en relación con los bimestres anteriores debido a la implementación de estrategias para identificar y egresar a los participantes que cumplieron el proceso de atención durante el periodo comprendido entre enero y abril, al ingreso de participantes que inician su proceso de atención y a la contratación progresiva del talento humano de las modalidades.</t>
  </si>
  <si>
    <t>En julio se atendieron niñas, niños y adolescentes en situación o riesgo de trabajo infantil ampliado en las 13 unidades operativas de las modalidades centros amar diurnos y nocturnos, donde se implementaron procesos de atención integral que buscan erradicar y mitigar dicha situación a través de la integralidad de acciones del modelo de atención del servicio, tales como actividades pensadas en las áreas de la vida de la niñez, la adolescencia y sus familias que por causa de este intolerable social se han visto afectadas, a fin de fortalecer el agenciamiento, la movilización social de las familias, el reconocimiento e importancia de respetar y cuidar los derechos de las y los participante y de esta manera lograr su egreso por finalización del proceso de atención que los aleja del trabajo infantil ampliado. Se avanzó en:
Acompañamiento psicosocial
• Se realizaron talleres con los participantes, enfocados en el reconocimiento y el empoderamiento de sus derechos y la prevención del trabajo infantil y sus consecuencias.
• Se fortalecieron los procesos de atención familiar de manera permanente, con el fin de que los sistemas familiares logren mejorar sus procesos de corresponsabilidad y participación en actividades teniendo como primer objetivo los procesos de sensibilización y abordaje de temas de Trabajo Infantil, así como seguimiento permanente a temas de inasistencia, teniendo en cuenta sus particularidades y lo establecido en los contratos sociales.
• Se fortaleció el seguimiento a los planes de atención integral de niños, niñas, adolescente, madres y padres, mediante estudios de caso del equipo interdisciplinar a fin de generar estrategias conjuntas para abordar de forma acertada las diferentes problemáticas referidas al conflicto intrafamiliar, elaboración de duelo, vinculo relacionales parento-filiales.
• Desde los planes de atención se generaron estrategias para fomentar la expresión emocional como elemento pragmático psíquico para fortalecer la salud mental, a través de la regulación del mundo afectivo, dentro de la premisa, si yo expreso mis emociones y mis pensamientos, me reconozco, me identifico y me conozco más.
Desarrollo Pedagógico
• Los educadores y talleristas realizaron la implementación pedagógica que tiene como objetivo la identificación de intereses, necesidades y demandas de niñas, niños y adolescentes, para potencializarlas y fortalecerlas, de modo que su desarrollo integral conjugue la expansión de sus ciudadanías, mediante la formulación e implementación de proyectos pedagógico en las unidades operativas.
Componente de gestión para la articulación
• Acorde con las necesidades identificadas en los participantes y sus familias, se realizaron articulaciones y referenciaciones a las entidades pertinentes, promoviendo respuestas oportunas e integrales entre instituciones, actores políticos y sociales para la restitución, protección y garantía de derechos.
Nutrición y salubridad 
• A partir del componente se buscó brindar a niñas, niños y adolescentes una alimentación acorde a sus necesidades nutricionales a través de desayunos, almuerzos y cenas según la jornada de atención del participante, así mismo, se buscó la generación de espacios educativos para apropiar estilos de vida saludables.
• Se adelantaron historias nutricionales, se tomaron datos antropométricos a niños, niñas y adolescentes y se realizó seguimiento nutricional.</t>
  </si>
  <si>
    <t>Con corte a agosto, 63 niñas, niños y adolescentes en situación o riesgo de trabajo infantil ampliado atendidos en modalidades centros amar diurnos y nocturnos, culminaron el plan de atención integral, lo que equivale a un resultado de 40%, es decir, un punto porcentual por encima del bimestre anterior, en razón principalmente al cambio de los lugares de residencia de las familias al interior o exterior de la ciudad. Se proyecta dar continuidad a la implementación de acciones que incentivan la culminación del plan de atención y el reconocimiento del acuerdo de corresponsabilidad.
Se precisa, que se implementaron procesos de atención integral que buscan erradicar y mitigar la situación de trabajo infantil ampliado a partir de la armonización de acciones del modelo de atención del servicio con actividades de la vida de la niñez, la adolescencia y sus familias que por causa de dicha problemática se han visto afectadas, a fin de fortalecer el agenciamiento, la movilización social de las familias, el reconocimiento del respeto y cuidado a los derechos de las y los participantes para lograr su egreso por finalización del proceso de atención y alejarlos del trabajo infantil ampliado.
A continuación se presentan los avances en los cuatro ejes de atención:
Acompañamiento psicosocial
• Se realizaron talleres con los participantes, enfocados en el reconocimiento y el empoderamiento de sus derechos y la prevención del trabajo infantil y sus consecuencias, así como en el reconocimiento y la visibilización de sus aportes a la formulación de la Política Pública Bogotá Territorio Inteligente por parte del equipo de Alta Consejería TIC Distrital.
• Se fortalecieron los procesos de atención familiar de manera permanente, con el fin de que los sistemas familiares mejoren su corresponsabilidad y participación en actividades teniendo como primer objetivo sensibilizar y abordar temas de trabajo infantil, prevención de violencias y buen trato. Se llevó a cabo el seguimiento a la inasistencia teniendo en cuenta las particularidades de cada caso y lo establecido en los acuerdos de corresponsabilidad.
• Se potenció el seguimiento a los planes de atención integral de niños, niñas, adolescentes, madres y padres, mediante estudios de caso del equipo interdisciplinar a fin de generar estrategias conjuntas para abordar de forma acertada las diferentes problemáticas referidas al conflicto intrafamiliar, elaboración de duelo, vínculos relacionales parento filiales, activaciones de ruta con entidades competentes ante presuntas vulneraciones de derechos. Se implementó el juego de creación propia “La fiesta se celebra consciente” en el marco de la Política Pública de Prevención del Consumo de Sustancias Psicoactivas.
• Desde los planes de atención se generaron estrategias para fomentar la socialización, resolución de conflictos y gestión emocional como pilar de la salud mental y prevención de las conductas disruptivas, teniendo en cuentas las necesidades identificadas en el marco de la postpandemia.
Desarrollo Pedagógico
• Las y los educadores y talleristas implementaron acciones pedagógicas que tuvieron por objetivo identificar intereses, necesidades y demandas de niñas, niños y adolescentes, para potenciarlas y fortalecerlas, de modo que su desarrollo integral conjugue la expansión de sus ciudadanías, mediante la formulación e implementación de proyectos personales, comunitarios y familiares.
Componente de gestión para la articulación
• Según las necesidades identificadas en participantes y familias, se realizaron acciones de articulación y referenciación a entidades competentes, promoviendo respuestas oportunas e integrales entre instituciones, actores políticos y sociales para la restitución, protección y garantía de derechos. Entre estas acciones se encuentran las salidas pedagógicas a Maloka, el museo del Mar, el estadio El Campin y el Jardín Botánico.
Nutrición y salubridad 
• Se brindó a niñas, niños y adolescentes una alimentación acorde con sus necesidades nutricionales a través de desayunos, almuerzos y cenas según la jornada de atención del participante; así mismo, se generaron espacios educativos para apropiar estilos de vida saludables.
• Se adelantaron historias nutricionales, se tomaron datos antropométricos a niños, niñas y adolescentes y se realizó seguimiento nutricional.
•Se solicitaron paquetes alimentarios al centro Usaquén para las y los participantes que de forma transitoria están siendo atendidos en el CDC Simón Bolívar.</t>
  </si>
  <si>
    <t>PSS-7744-007</t>
  </si>
  <si>
    <t>Unidades operativas de la Subdirección para la Infancia cualificadas por la estrategia atrapasueños para la atención de niñas, niños y adolescentes víctimas y afectados por el conflicto armado.</t>
  </si>
  <si>
    <t>Monitorear las unidades operativas de la Subdirección para la Infancia cualificadas por la estrategia atrapasueños para la atención de niñas, niños y adolescentes víctimas y afectados por el conflicto armado.</t>
  </si>
  <si>
    <t>Información actualizada en la base de datos de cualificación y en el directorio servicios sociales Subdirección para la Infancia.</t>
  </si>
  <si>
    <t>(No. de unidades operativas de la Subdirección para la Infancia cualificadas en un ciclo de siete (7) sesiones por la estrategia atrapasueños (acumulado) / No. total de unidades operativas diurnas de la Subdirección para la Infancia que operan en el periodo de reporte) *100</t>
  </si>
  <si>
    <t>Numerador: base de datos de asistencia a las cualificaciones de la estrategia atrapasueños.
Denominador: directorio servicios sociales Subdirección para la Infancia.</t>
  </si>
  <si>
    <t>Identificar en la base de datos de cualificación de la estrategia atrapasueños, el número de unidades operativas de la Subdirección para la Infancia que participaron en un ciclo de cualificación de siete (7) sesiones (acumulado) y dividirlo entre el número de unidades operativas diurnas que operan en el periodo de reporte identificado en el directorio servicios sociales Subdirección para la Infancia.
El denominador se registrará de manera mensual dado que las unidades operativas pueden estar sujetas a cierres temporales, definitivos o nuevas aperturas.
El indicador se medirá de febrero a noviembre dadas las dinámicas de atención de las unidades operativas.</t>
  </si>
  <si>
    <t>Numerador: base de datos de cualificación de la estrategia atrapasueños.
Denominador: directorio servicios sociales Subdirección para la Infancia.</t>
  </si>
  <si>
    <t>En atención a lo definido en la “Descripción del método de cálculo” del presente indicador, se hará seguimiento a este, a partir de febrero dadas las dinámicas de las unidades operativas a las cuales se dirige el ciclo de cualificación.</t>
  </si>
  <si>
    <t>En febrero, se elaboró la propuesta de cualificación que se implementará en las unidades operativas de la Subdirección para la Infancia durante la vigencia 2022, en la cual se proyectó la realización de sesiones de concienciación; acogida; laboratorio de paz; encuentros con madres, padres y cuidadores; cuidado emocional y un cierre simbólico. Se planea efectuar la cualificación a partir de dos ciclos, uno que se desarrollará de marzo a junio y otro de julio a octubre, y el cierre se desarrollará en noviembre a fin de desarrollar 7 sesiones en cada ciclo.
Además, se convocaron dos (2) espacios donde se socializó la propuesta que se desarrollará con el talento humano de las unidades operativas ubicadas en siete (7) localidades del Distrito. El primer espacio se realizó el 18 de febrero con la participación del equipo implementador que construirá la metodología con la cual se desarrollarán las siete (7) sesiones proyectadas; el segundo espacio fue el 24 de febrero con el equipo de seguimiento y los referentes de infancia donde se contextualizó sobre la estrategia atrapasueños y los ciclos de cualificación que se llevarán a cabo en Suba, Engativá, Usaquén, Fontibón, San Cristóbal, Los Mártires y Santafé; así mismo, se intercambiaron contactos telefónicos con referentes de infancia a fin de contactarlas para concertar el inicio en el mes de marzo.</t>
  </si>
  <si>
    <t>En marzo, se socializó con las y los referentes de infancia de las Subdirecciones Locales para la Integración Social de Engativá, Fontibón, Santafé y Suba la metodología y dinámica con se realizará la cualificación para la atención de niñas, niños y adolescentes víctimas y afectados por el conflicto armado, el cual se estructuró en siete (7) encuentros, a saber: concienciación; acogida; laboratorio de paz; encuentros con madres, padres y cuidadores; cuidado emocional; y un cierre simbólico. En dichas localidades, se generaron los acuerdos para desarrollar el primer ciclo de la cualificación con la participación de 40 unidades operativas de atención integral a la primera infancia, infancia y adolescencia durante el periodo comprendido entre marzo y junio. Así mismo, se concertó con las y los referentes desarrollar el encuentro de concienciación en la primera semana de abril, en el cual se programarán de manera conjunta las fechas de los encuentros con las 40 unidades seleccionadas.</t>
  </si>
  <si>
    <t xml:space="preserve">En abril, se desarrollaron con las unidades operativas de la subdirección para la Infancia, dos encuentros de la primera sesión del ciclo de cualificación de la estrategia atrapasueños, con la participación de las responsables de 40 unidades operativas. Esta primera sesión del ciclo de cualificación se denominó Senderos de Esperanza, consistió en la generación de un espacio de reflexión a partir de una experiencia simbólica relacionada con los procesos pedagógicos, artísticos y psicosociales que se implementan en la estrategia Atrapasueños, a fin de fortalecer acciones colectivas que promuevan la construcción de paz en los territorios.
Así mismo, se realizó un encuentro de la segunda sesión del ciclo de cualificación, denominado Hilando Memorias, en el cual se generó una experiencia simbólica a través de procesos pedagógicos, artísticos y psicosociales, donde se  fortalecieron acciones colectivas que promueven la construcción de paz en diferentes contextos, donde se contó con la participación de docentes de 22 unidades operativas de la dependencia.
Adicionalmente, se realizaron cinco laboratorios denominados Activando mi Memoria a partir de la generación de un espacio donde niñas y niños activaron su memoria con la exploración de objetos y sonidos cotidianos de su hogar a fin de evocar recuerdos como parte importante de sus historias de vida.
Además, se precisa que las acciones enunciadas se realizaron en las localidades Santa Fe, Fontibón, Suba y Engativá.
</t>
  </si>
  <si>
    <t>En mayo, una (1) unidad operativa de la Subdirección para la Infancia se cualificó  a través de un ciclo de siete sesiones, por la estrategia atrapasueños, para la atención de niñas, niños y adolescentes victimas y afectados por el conflicto armado; lo anterior, equivale a un resultado del indicador de 0,2%,  el cual aumentará de manera gradual durante la vigencia en la medida en que se avance con el desarrollo de las sesiones que integran el ciclo de cualificación; se proyecta incentivar a la totalidad de unidades operativas que iniciaron el ciclo para culminarlo e iniciar nuevos ciclos de cualificación.
Así mismo, se precisa que se desarrollaron 4 sesiones en las cuales se continuó el encuentro Hilando memorias donde se generó una experiencia simbólica a través de procesos pedagógicos, artísticos y psicosociales que contribuyeron al fortalecimiento de acciones colectivas a fin de promover la construcción de paz en diferentes contextos; en estos participaron profesionales de 23 unidades operativas de la Subdirección para la Infancia.
De igual manera, se desarrollaron 3 encuentros de laboratorios de paz. El primero denominado “Activando mi Memoria” que busca fomentar en las niñas y los niños ejercicios de memoria por medio de sonidos asociados a los espacios donde transcurre su vida, donde participaron 33 unidades operativas. 
El segundo encuentro, se denominó “Árbol del recuerdo” en el cual se implementó el eje de duelo y vida desde el reconocimiento de los miedos y tristezas que han desarrollado las niñas y los niños y se busca la resignificación por medio de estrategias pedagógicas y psicosociales que permiten su reconocimiento para propiciar una transformación, donde participaron 23 unidades operativas.
Y el tercer encuentro se denominó “El poder de la PAZ” en el cual se generó un espacio de participación y reflexión, donde niñas y niños, por medio del juego y la lúdica, reconocen al otro como sujetos de paz, donde participaron 17 unidades operativas.
Así mismo, se desarrollaron encuentros transversales denominados “Palabras dulces y cuidado emocional” y “Consiéntete” con las agentes educativas. 
Se precisa, que las acciones enunciadas, se desarrollaron en las localidades Santa Fe, Fontibón, Suba y Engativá.</t>
  </si>
  <si>
    <t>En junio, dieciséis (16) unidades operativas de la Subdirección para la Infancia se cualificaron a través de un ciclo de siete sesiones, por la estrategia atrapasueños, para la atención de niñas, niños y adolescentes víctimas y afectados por el conflicto armado; De manera acumulada, se tienen 17 unidades operativas cualificadas lo que equivale a un resultado del indicador de 4%,  el cual aumentará de manera gradual durante la vigencia en la medida en que se avance con el desarrollo de las sesiones del ciclo de cualificación; cabe precisar que la unidad operativa Laches de la localidad Santa fe reprogramó su participación en el último encuentro debido a un cruce con una actividad para la cual no se contaba con otro espacio para desarrollar, según refirió la coordinadora. Se dejó acta con registró de la situación.
En junio se continuó el desarrollo de los tres (3) laboratorios de paz propuestos en las unidades operativas generando espacios de reflexión donde niñas y niños reconocieron miedos y tristezas desde el juego y la lúdica. Así mismo, identificaron la importancia de construir paz desde los diferentes escenarios.
Adicionalmente, se desarrollaron encuentros con las madres y los padres de las niñas y los niños que participaron en los laboratorios denominados “Palabras dulces” donde se generó un espacio de reflexión en torno a la comunicación asertiva y afectuosa en el sistema familiar, como estrategia protectora en la primera infancia que aporta a la reconstrucción de la paz, en los cuales se contó con la participaron 21 unidades operativas.
Por otra parte, se iniciaron con las maestras los encuentros de cuidado emocional denominados ¡Consiéntete! en donde ellas identificaron herramientas para su autocuidado en diferentes jornadas; así mismo, se propició un espacio tranquilo que les permitió concentrarse y dedicarse tiempo de calidad a sí mismas. Para esta actividad se contó con la participación de 19 unidades operativas.</t>
  </si>
  <si>
    <t>En julio veinte (20) unidades operativas de la Subdirección para la Infancia se cualificaron a través de un ciclo de siete sesiones por la estrategia atrapasueños para la atención de niñas, niños y adolescentes víctimas y afectados por el conflicto armado; y se acumuló un total de 37 unidades operativas cualificadas que equivale a un resultado del indicador de 10%, el cual aumentará gradualmente durante la vigencia en la medida en que se avanza en el desarrollo de los ciclos de cualificación.
Se desarrollaron dos (2) encuentros de Cuidado emocional y encuentro de padres que lleva por nombre “Palabras dulces” donde se generó un espacio de reflexión en torno a la comunicación asertiva y afectuosa en el sistema familiar, como estrategia protectora en la primera infancia que aporte a la reconstrucción de la paz, en la cual participaron 16 unidades operativas.
En la localidad de Santa fe se culminó el ciclo de cualificación con las unidades operativas, implementando el último encuentro de autocuidado con las y los docentes denominado “Consiéntete”, que buscó reconocer las herramientas de autocuidado para ellas y ellos, invitándoles a construir espacios de calidad. A partir de esto, se recogieron experiencias significativas donde las y los participantes exteriorizaron sus sentires sobre su carga laboral y su vida personal.
En la localidad de Fontibón se implementaron los encuentros “Palabras dulces” con los padres, madres y cuidadores, reconociendo la importancia de la comunicación asertiva afianzando los lazos familiares y el rol protector de las familias, así como la acción “Consiéntete” con las docentes resaltando la importancia del cuidado y auto cuidado emocional, logrando dar cierre al ciclo de cualificación con la mayoría de las unidades operativas.
En la localidad de Engativá se logró realizar el encuentro con padres y madres, así como el encuentro de cuidado emocional con las docentes de las diferentes unidades operativas, dándole cierre a la actividad en 7 unidades operativas con el compromiso de la entrega de la gestión documental por parte de las profesionales a las distintas unidades operativas.
En la localidad de Suba se logró realizar el encuentro de padres, madres y cuidadores con las unidades operativas faltantes, y cuidado emocional, completando los 7 encuentros y haciendo la entrega de la gestión documental de 5 unidades operativas y el compromiso de finalizar la entrega en 3 unidades faltantes.</t>
  </si>
  <si>
    <t>Con corte a agosto, un total de treinta y nueve (39) unidades operativas de la Subdirección para la Infancia se cualificaron a través de un ciclo de siete sesiones, por la estrategia atrapasueños, para la atención de niñas, niños y adolescentes víctimas y afectados por el conflicto armado; esto equivale a un resultado del indicador de 13%, es decir, nueve puntos porcentuales por debajo de la meta. Se proyecta que el número de unidades operativas cualificadas aumente gradualmente durante la vigencia en la medida en que se avanza en el desarrollo de los ciclos.
Se precisa que se desarrollaron dos (2) encuentros de cuidado emocional denominado ¡Consiéntete!, que permitió culminar otro ciclo de cualificación. En la localidad de Fontibón, la primera semana de agosto se realizó el último encuentro y cierre con las maestras de la casa de pensamiento intercultural Misak. Así mismo, en la localidad Engativá se realizó el encuentro con las maestras del jardín infantil Pepitos.
De igual forma, en agosto se identificaron las localidades para el siguiente ciclo que se inicia con el correo remitido a las y los subdirectores y la comunicación con los referentes de infancia de las localidades Rafael Uribe Uribe, Usaquén, Mártires y San Cristóbal.</t>
  </si>
  <si>
    <t>Con corte a septiembre, se mantienen las 39 unidades operativas de la Subdirección para la Infancia cualificadas a través de ciclos de siete sesiones realizados por la estrategia atrapasueños, así como, el resultado del indicador de 13%, teniendo en cuenta que la totalidad de unidades con las cuales se habían iniciados ciclos los culminaron; por lo cual, se inició un nuevo ciclo de fortalecimiento técnico para la atención de niñas y niños víctimas y afectados por el conflicto armado con unidades operativas de Usaquén, Los Mártires, San Cristóbal y Rafael Uribe Uribe, a partir de la articulación con las y los referentes de infancia de cada Subdirección Local para la Integración Social.
Así mismo, se precisa que se desarrolló el espacio de concienciación “Sendero de esperanza” en el cual las cuatro localidades enunciadas participaron propiciando la reflexión mediante una experiencia simbólica frente a los procesos pedagógicos, artísticos y psicosociales para fortalecer acciones colectivas que promueven la construcción de paz en los territorios.
De igual manera, se desarrolló el espacio de sensibilización “Hilando memorias” en el que se realizó una experiencia simbólica a través de procesos pedagógicos, artísticos y psicosociales para fortalecer acciones colectivas que promueven la construcción de paz en los contextos. Adicionalmente, en Usaquén se inició el encuentro laboratorio de paz.</t>
  </si>
  <si>
    <t>PSS-7744-008</t>
  </si>
  <si>
    <t>Salas amigas de la familia lactante reconocidas en el Distrito.</t>
  </si>
  <si>
    <t xml:space="preserve"> Medir y monitorear el número de salas amigas de la familia lactante reconocidas en el Distrito.</t>
  </si>
  <si>
    <t>Implementación de los criterios establecidos para el reconocimiento de una sala amiga de la familia lactante en el Distrito.</t>
  </si>
  <si>
    <t>(No. de salas amigas de la familia lactante reconocidas en el Distrito durante el período / No. de salas amigas de la familia lactante programadas para evaluar en el Distrito durante el período) *100</t>
  </si>
  <si>
    <t>Actas de evaluación y reconocimiento</t>
  </si>
  <si>
    <t>Identificar en la base de datos oficial del equipo lactancia materna el número de salas amigas de la familia lactante reconocidas y dividirlo entre el número de salas amigas de la familia lactante programadas para evaluar durante el periodo.
El término salas amigas de la familia lactante reconocidas incluye salas reconocidas y con actualización del reconocimiento durante la vigencia dado que el proceso es el mismo y en ambos casos se emite un "reconocimiento".  
El denominador se registrará de manera anual pues depende de la implementación del procedimiento y el manual de la estrategia.</t>
  </si>
  <si>
    <t xml:space="preserve">Actas de verificación </t>
  </si>
  <si>
    <t>En enero, en cumplimiento de las medidas para reducir el contagio de la COVID-19 y avanzar en el regreso a la presencialidad direccionado por la Entidad, el equipo técnico de lactancia materna continuó el desarrollo de las acciones virtuales y presenciales enunciadas a continuación:
•  Jornadas virtuales y presenciales de cualificación en lactancia materna y alimentación infantil saludable con el talento humano (profesionales psicosociales, salud, educación a primera infancia, técnicos en educación a primera infancia, entre otros) de entidades laborales, jardines infantiles SDIS y jardines infantiles privados.
• Acompañamiento telefónico a unidades operativas que atienden niñas y niños de primera infancia en entornos de vida cotidiana.
• Solución virtual y presencial de inquietudes de familias usuarias de salas amigas de la familia lactante en relación con la práctica de la lactancia materna.
• Consejería telefónica en lactancia materna y alimentación infantil saludable a familias usuarias de salas amigas de la familia lactante.
• Registro de información de acompañamientos telefónicos realizados por localidad en bases de datos.
• Seguimiento a los grupos de apoyo a la lactancia materna (GALM) a través del fortalecimiento técnico de los agentes educativos de entornos comunitarios en zonas rural y urbana de la ciudad.
• Acompañamiento a las salas amigas de la familia lactante en los entornos vida cotidiana, laboral, comunitario e institucional.</t>
  </si>
  <si>
    <t>En febrero, en cumplimiento de las medidas para reducir el contagio de la COVID-19 y avanzar en el regreso voluntario a la presencialidad direccionado por la Entidad, el equipo técnico de lactancia materna continuó el desarrollo virtual y presencial de las acciones que se enuncian a continuación:
•  Jornadas virtuales y presenciales de cualificación en lactancia materna y alimentación infantil saludable con el talento humano (profesionales psicosociales, salud, educación a primera infancia, técnicos en educación a primera infancia, entre otros) de entidades laborales, jardines infantiles SDIS y jardines infantiles privados.
• Acompañamiento telefónico a unidades operativas que atienden niñas y niños de primera infancia en entornos de vida cotidiana.
• Solución virtual y presencial de inquietudes de familias usuarias de salas amigas de la familia lactante en relación con la práctica de la lactancia materna.
• Consejerías telefónicas en lactancia materna y alimentación infantil saludable a familias usuarias de salas amigas de la familia lactante.
• Registro de información de acompañamientos telefónicos realizados por localidad en bases de datos.
• Participación en espacios intersectoriales con la generación de aportes técnicos.
• Seguimiento a los grupos de apoyo a la lactancia materna (GALM), acompañamiento al GALM de la localidad de Suba coordinado por la líder comunitaria Jenny González y la sensibilización para la creación del grupo de apoyo comunitario del espacio rural Nazareth en la localidad de Sumapaz.
• Se acompañó a las salas amigas de la familia lactante en los entornos vida cotidiana, laboral, comunitario e institucional.
• Se adelantaron mesas de trabajo con los equipos jurídico y sistema de gestión de la Subdirección para la Infancia, así como, con la Subdirección de Nutrición de la Entidad y la Secretaría Distrital de Salud a fin de generar acuerdos en torno a la terminología de los manuales operativos de la estrategia salas amigas de la familia lactante.</t>
  </si>
  <si>
    <t>En marzo, en cumplimiento de las medidas para reducir el contagio de la COVID-19 y avanzar en el regreso a la presencialidad direccionado por la Entidad, el equipo lactancia materna continuó el desarrollo virtual y presencial de las acciones que se enuncian a continuación:
•  Jornadas virtuales y presenciales de cualificación en lactancia materna y alimentación infantil saludable con el talento humano (profesionales psicosociales, salud, educación a primera infancia, técnicos en educación a primera infancia, entre otros) de entidades laborales, jardines infantiles SDIS y jardines infantiles privados.
• Acompañamiento telefónico a unidades operativas que atienden niñas y niños de primera infancia en entornos de vida cotidiana.
• Solución virtual y presencial de inquietudes de familias usuarias de salas amigas de la familia lactante en relación con la práctica de la lactancia materna.
• Consejerías telefónicas en lactancia materna y alimentación infantil saludable a familias usuarias de salas amigas de la familia lactante.
• Registro de información de acompañamientos telefónicos realizados por localidad en bases de datos.
• Participación en espacios intersectoriales con la generación de aportes técnicos.
• Seguimiento a los grupos de apoyo a la lactancia materna (GALM) en Ciudad Bolívar con la lideresa comunitaria y se acordó programar reunión de socialización sobre el proceso de conformación de GALM ya que cuenta con madres gestantes y lactantes de su comunidad.
• Se acompañó a las salas amigas de la familia lactante en los entornos vida cotidiana, laboral, comunitario e institucional.
• Se realizaron mesas de trabajo con diferentes áreas de la Secretaría Distrital de Integración Social y con variadas instituciones del sector salud a fin de actualizar los procedimientos y manuales del reconocimiento y actualización del reconocimiento de Salas Amigas de la Familia Lactante según la normatividad vigente en la materia. Es así que, por directriz del área jurídica, se cambian los términos “certificación” por “reconocimiento”, “cumplir” por “implementar” y “recertificación” por “actualización del reconocimiento”.</t>
  </si>
  <si>
    <t>En abril, en cumplimiento de las medidas para reducir el contagio de la COVID-19 y avanzar en el regreso a la presencialidad direccionado por la SDIS, el equipo lactancia materna continuó el desarrollo virtual y presencial de las acciones que se enuncian a continuación:
•  Jornadas virtuales y presenciales de cualificación en lactancia materna y alimentación infantil saludable con el talento humano (profesionales psicosociales, salud, educación a primera infancia, técnicos en educación a primera infancia, entre otros) de entidades laborales, jardines infantiles SDIS y jardines infantiles privados.
• Acompañamiento telefónico a unidades operativas que atienden niñas y niños de primera infancia en entornos de vida cotidiana.
• Solución virtual y presencial de inquietudes de familias usuarias de las salas amigas de la familia lactante en relación con la práctica de la lactancia materna.
• Consejerías telefónicas en lactancia materna y alimentación infantil saludable a familias usuarias de salas amigas de la familia lactante.
• Registro de información de acompañamientos telefónicos realizados por localidad en bases de datos.
• Participación en espacios intersectoriales con la generación de aportes técnicos.
•  Seguimiento de los Grupos de apoyo a la Lactancia Materna (GALM), por parte del equipo de lactancia materna, incentivando la participación de GALM masculinos para visibilizar el rol masculino en la promoción de la lactancia materna. En abril se realizaron las primeras reuniones de GALM en la zona rural de Usme.
• Acompañamiento a las salas amigas de la familia lactante en los entornos vida cotidiana, laboral, comunitario e institucional.
• Se dio continuidad a las mesas de trabajo entre la Subdirección para la Infancia y la Subdirección de Nutrición a fin de actualizar los documentos técnicos de reconocimiento y actualización del reconocimiento de las salas amigas de la familia lactante según la normatividad vigente en la materia.</t>
  </si>
  <si>
    <t>En mayo, en cumplimiento de las medidas para reducir el contagio de la COVID-19 y avanzar en el regreso a la presencialidad direccionado por la Entidad, el equipo lactancia materna continuó el desarrollo virtual y presencial de las acciones que se enuncian a continuación:
•  Jornadas virtuales y presenciales de cualificación en lactancia materna y alimentación infantil saludable con el talento humano (profesionales psicosociales, salud, educación a primera infancia, técnicos en educación a primera infancia, entre otros) de entidades laborales, jardines infantiles SDIS y jardines infantiles privados.
• Acompañamiento telefónico a unidades operativas que atienden niñas y niños de primera infancia en entornos de vida cotidiana.
• Solución virtual y presencial de inquietudes generadas en familias usuarias de las salas amigas de la familia lactante en relación con la práctica de la lactancia materna.
• Consejerías telefónicas en lactancia materna y alimentación infantil saludable a familias usuarias de salas amigas de la familia lactante.
• Registro de información de acompañamientos telefónicos realizados por localidad en las bases de datos del equipo.
• Participación en espacios intersectoriales con la generación de aportes técnicos.
•  Seguimiento de los Grupos de apoyo a la Lactancia Materna (GALM), por parte del equipo de lactancia materna, incentivando la participación de GALM masculinos para visibilizar el rol masculino en la promoción de la lactancia materna; se articuló con los hombres participantes de los colectivos masculinos avanzando en los pasos para conformar GALM masculinos.
• Acompañamiento a las salas amigas de la familia lactante en los entornos vida cotidiana, laboral, comunitario e institucional.
• Se dio continuidad a las mesas de trabajo entre la Subdirección para la Infancia y la Subdirección de Nutrición a fin de actualizar los documentos técnicos de reconocimiento, sostenimiento y actualización del reconocimiento de las salas amigas de la familia lactante en los entornos institucional, laboral y comunitario según la normatividad vigente en la materia.</t>
  </si>
  <si>
    <t>En junio, el equipo de Lactancia Materna continuó con el desarrollo virtual y presencial de las acciones que se enuncian a continuación:
•  Jornadas virtuales y presenciales de cualificación en lactancia materna y alimentación infantil saludable con el talento humano (profesionales psicosociales, salud, educación a primera infancia, técnicos en educación a primera infancia, entre otros) de entidades laborales, jardines infantiles SDIS y jardines infantiles privados.
• Acompañamiento telefónico a unidades operativas que atienden niñas y niños de primera infancia en entornos de vida cotidiana.
• Solución virtual y presencial de inquietudes generadas en familias usuarias de las salas amigas de la familia lactante en relación con la práctica de la lactancia materna.
• Consejerías telefónicas en lactancia materna y alimentación infantil saludable a familias usuarias de salas amigas de la familia lactante.
• Registro de información de acompañamientos telefónicos realizados por localidad en las bases de datos del equipo.
• Participación en espacios intersectoriales con la generación de aportes técnicos.
•  Seguimiento de los Grupos de apoyo a la lactancia materna (GALM), por parte del equipo de lactancia materna, incentivando la participación de GALM masculinos para visibilizar el rol masculino en la promoción de la lactancia materna; se articuló con los hombres participantes de los colectivos masculinos avanzando en los pasos para conformar GALM masculinos.
• Acompañamiento a las salas amigas de la familia lactante en los entornos vida cotidiana, laboral, comunitario e institucional.
• Se dio continuidad a las mesas de trabajo entre la Subdirección para la Infancia y la Subdirección de Nutrición a fin de actualizar los documentos técnicos de reconocimiento, sostenimiento y actualización del reconocimiento de las salas amigas de la familia lactante en los entornos institucional, laboral y comunitario según la normatividad vigente en la materia.
• En el marco de la estrategia salas amigas de la familia lactante, se avanza de manera gradual en los procesos de dotación de neveras, termómetros y demás elementos necesarios las salas amigas, para lo cual se ha generado articulación con el área de dotaciones de la Subdirección para la Infancia.
• Durante el mes de reporte se han ido terminando de manera progresiva los contratos de las profesionales del equipo lactancia materna y, en esta medida, se ha avanzado gradualmente en el trámite del proceso de su contratación. Así mismo, en relación con la implementación de la Resolución 2423 de 2018 según la cual las Subdirecciones Locales para la Integración Social deben contar con una sala amiga de la familia lactante, la Subdirección de Plantas Físicas junto con el equipo de Lactancia Materna ha avanzado en la gestión de las visitas a los espacios para el cumplimiento de lo especificado en dicha norma.</t>
  </si>
  <si>
    <t>En julio, el equipo lactancia materna continuó con el desarrollo virtual y presencial de las acciones que se enuncian a continuación:
•  Jornadas virtuales y presenciales de cualificación en lactancia materna y alimentación infantil saludable con el talento humano (profesionales psicosociales, salud, educación a primera infancia, técnicos en educación a primera infancia, entre otros) de entidades laborales, jardines infantiles SDIS y jardines infantiles privados.
• Acompañamiento telefónico a unidades operativas que atienden niñas y niños de primera infancia en entornos de vida cotidiana.
• Solución virtual y presencial de inquietudes generadas en familias usuarias de las salas amigas de la familia lactante en relación con la práctica de la lactancia materna.
• Consejerías telefónicas en lactancia materna y alimentación infantil saludable a familias usuarias de salas amigas de la familia lactante.
• Registro de información de acompañamientos telefónicos realizados por localidad en las bases de datos del equipo.
• Participación en espacios intersectoriales con la generación de aportes técnicos.
•  Seguimiento de los grupos de apoyo a la lactancia materna (GALM), incentivando la participación masculina para visibilizar su rol en la promoción de la lactancia materna; se generó articulación con los hombres participantes de los colectivos masculinos avanzando en los pasos para conformar GALM masculinos.
• Acompañamiento a las salas amigas de la familia lactante en los entornos vida cotidiana, laboral, comunitario e institucional.
• Se avanzó en el proceso progresivo de contratando de las profesionales del equipo lactancia materna.
• Se realizó la planeación de la semana mundial de la lactancia materna a celebrarse la primera semana de agosto; así mismo se generaron piezas comunicativas y articulación intersectorial.</t>
  </si>
  <si>
    <t>PSS-7744-010</t>
  </si>
  <si>
    <t>Jardines infantiles privados inscritos en el Sistema de Información y Registro de Servicios Sociales asesorados técnicamente.</t>
  </si>
  <si>
    <t>Monitorear el número de jardines infantiles privados inscritos en el Sistema de Información y Registro de Servicios Sociales asesorados técnicamente.</t>
  </si>
  <si>
    <t xml:space="preserve">Registro oportuno y con calidad de la información de los jardines infantiles privados asesorados en el sistema misional SIRBE.
Garantizar la oferta y divulgación del servicio de asesoría técnica a los jardines infantiles privados del Distrito. </t>
  </si>
  <si>
    <t>(No. de jardines infantiles privados inscritos en el Sistema de Información y Registro de Servicios Sociales que fueron asesorados técnicamente y registrados en el Sistema Misional SIRBE durante el mes (acumulado) / No. de jardines infantiles privados inscritos en el Sistema de Información y Registro de Servicios Sociales durante la vigencia (acumulados)) *100</t>
  </si>
  <si>
    <t>Numerador: Sistema Misional SIRBE.
Denominador: Sistema de Información y Registro de Servicios Sociales.</t>
  </si>
  <si>
    <t>Identificar en el Sistema Misional SIRBE el número de jardines infantiles privados inscritos en el Sistema de Información y Registro de Servicios Sociales que fueron asesorados técnicamente durante el mes (acumulado) y dividirlo entre el número de jardines infantiles privados inscritos en el Sistema de Información y Registro de Servicios Sociales durante la vigencia (acumulados).
El denominador se registrará de manera mensual dado que depende del número de jardines infantiles privados inscritos en el Sistema de Información y Registro de Servicios Sociales (acumulados) y los jardines infantiles privados se inscriben en la Entidad en cualquier mes del año.
Se hará seguimiento al indicador de febrero a noviembre dado que los jardines infantiles privados brindan atención a las niñas y los niños de la última semana de enero y a la primera semana de diciembre.</t>
  </si>
  <si>
    <t>Numerador: Reporte del Sistema Misional SIRBE por localidad.
Denominador: reporte del Sistema de Información y Registro de Servicios Sociales.</t>
  </si>
  <si>
    <t xml:space="preserve">En atención a lo definido en la “descripción del método de cálculo” se hará seguimiento al indicador a partir de febrero dado que los jardines infantiles privados inician servicio en la última semana de enero.    </t>
  </si>
  <si>
    <t>En febrero, 75 jardines infantiles privados fueron asesorados técnicamente, lo que equivale a una ejecución de 5%, en razón a que la asesoría técnica se dirigió a responder la demanda presentada a la fecha, es decir, al talento humano de los jardines infantiles que había efectuado su solicitud en diciembre y enero.
Cabe precisar, que en el periodo de reporte se diseñaron e implementaron espacios de asesoría técnica especializada a los cuales se convocaron a los representantes de los jardines infantiles privados que realizaron solicitudes entre diciembre de 2021 y enero de 2022. Dichas solicitudes, se categorizaron por las temáticas que corresponden a necesidades para la adecuada implementación de las condiciones de bioseguridad actualizadas por el Ministerio de Salud y Protección Social y que buscan garantizar el regreso seguro de las niñas y los niños a la atención presencial.</t>
  </si>
  <si>
    <t>Con corte a marzo, un total de 141 jardines infantiles privados inscritos en el Sistema de Información y Registro de Servicios Sociales se han asesorado técnicamente, lo que equivale a un resultado del indicador de 10%, en razón a que la participación voluntaria de estos en los espacios de asesoría aumenta de manera progresiva en la medida en que se estabilizan aspectos logísticos y operativos asociados a la atención de las niñas y los niños.
Se generaron de manera progresiva espacios de asesoría técnica presencial y recobrar estos escenarios produjo un incremento en la participación de los equipos de trabajo de los jardines infantiles privados, quienes durante el primer trimestre de la anualidad, priorizaron sus acciones en la organización de las condiciones de cada componente de atención, que permite brindar a niñas, niños y familias un servicio de calidad, que a su vez debe continuar garantizando condiciones de bioseguridad y entornos protectores a la primera infancia.</t>
  </si>
  <si>
    <t>Con corte a abril, un total de 172 jardines infantiles privados inscritos en el Sistema de Información y Registro de Servicios Sociales se han asesorado técnicamente, lo que equivale a un resultado de 13%, es decir, doce puntos porcentuales por debajo de la meta. Lo anterior obedece a las necesidades identificadas en la atención por los equipos de trabajo de los jardines infantiles privados de conformidad con las condiciones de calidad establecidas en el documento Estándares Técnicos para la calidad de la Educación Inicial. Se proyecta como acción de mejora puntualizar por componente las situaciones que requieren claridad a fin de ajustar, actualizar o elaborar los documentos necesarios para dar cumplimiento a lo definido en los estándares, así como realizar las adecuaciones necesarias en la infraestructura.
Así mismo, en el mes se planeó el ejercicio de autoevaluación que los jardines infantiles privados deben realizar a partir de los resultados obtenidos en la aplicación del formato Instrumento Único de Verificación, por el área de Inspección y Vigilancia de la entidad en las visitas de verificación de condiciones, a fin de propiciar un escenario de asesoría técnica generado a partir del reconocimiento de los aspectos técnicos y operativos que están en cumplimiento y aquellos que se requieren subsanar para garantizar la seguridad y la calidad en la atención que los jardines infantiles privados brindan a las niñas, los niños y sus familias. Adicionalmente, durante el mes se brindó asesoría técnicas en los diferentes componentes del documento Estándares Técnicos para la calidad de la Educación Inicial en respuesta a la demanda generada por los jardines infantiles privados de la ciudad.</t>
  </si>
  <si>
    <t>Con corte a mayo, un total de 199 jardines infantiles privados inscritos en el Sistema de Información y Registro de Servicios Sociales se han asesorado técnicamente, lo cual equivale a un resultado del indicador de 15%, es decir, diez puntos porcentuales por debajo de la meta; dicho aumento obedece a que durante el mes de reporte se implementó la nueva metodología de asesoría técnica a cargo de la Subdirección para la Infancia; se proyecta intensificar su difusión para incentivar la participación de los jardines infantiles privados de la ciudad.
Se precisa que la nueva metodología tiene como propósito ofertar a las personas naturales y jurídicas que prestan el servicio de educación inicial con enfoque de atención integral a la primera infancia, ciclos de fortalecimiento técnico, el cual integra diferentes núcleos temáticos que se consideran fundamentales en cada uno de los componentes en los que se estructuran los Estándares Técnicos para la Calidad de la Educación Inicial. Esta propuesta de ciclo, se basa en una organización temática que se desarrolla de forma completa cada mes, de manera que quienes participan en este, podrán fortalecer de manera profunda, intensiva, estructurada y coherente, conocimientos basados en los referentes técnicos, esto  implica la implementación de un proceso compuesto por cuatro o cinco sesiones en las cuales es fundamental la participación continua de quienes se inscriben según las necesidades identificadas en sus escenarios de atención. En el mes de reporte el equipo fortalecimiento técnico programó y desarrolló los ciclos “El saber pedagógico y su incidencia en educación inicial” y "Ambientes adecuados y seguros".</t>
  </si>
  <si>
    <t>Con corte a junio, un total de 204 jardines infantiles privados inscritos en el Sistema de Información y Registro de Servicios Sociales han sido asesorados técnicamente, lo cual equivale a un resultado de 20%, es decir, cinco puntos porcentuales por debajo de la meta, que obedece al retorno a la presencialidad y a la superación de la situación de emergencia ocasionado por la pandemia de la COVID-19 en el territorio nacional y distrital.
Cabe precisar que en el mes del reporte finalizan los ciclos iniciados en mayo: "El saber pedagógico y su incidencia en educación inicial" y "Ambientes adecuados y seguros", cada uno con un total de cinco sesiones que permitieron desarrollar procesos de aprendizaje continuos, articuladores de conceptos y experiencias que conducen al análisis de lo implementado y a la posibilidad certera de generar transformación en las acciones que se proponen a las niñas y los niños.
Es importante señalar que las percepciones y la evaluación generada por las y los participantes resaltan encontrarse con espacios reflexivos y reconocedores de las prácticas y las realidades que circundan a los equipos de trabajo, donde se ahonda en el sentido de los principios señalados en documentos orientadores como el Lineamiento Pedagógico y Curricular para la Educación Inicial en el Distrito, los referentes técnicos y demás literatura que parte de los enfoques y han aportado a la construcción de la educación inicial en el Distrito.</t>
  </si>
  <si>
    <t>Con corte a julio, un total de 238 jardines infantiles privados inscritos en el Sistema de Información y Registro de Servicios Sociales han sido asesorados técnicamente, lo cual equivale a un resultado del 18%, esto es, dos puntos porcentuales por debajo de lo reportado el mes anterior, en razón a que en julio 274 jardines infantiles nuevos formalizaron su inscripción ante la Entidad, lo que desequilibra temporalmente la relación oferta y demanda, dada la capacidad de respuesta del equipo fortalecimiento técnico de la Subdirección para la Infancia donde prima el desarrollo de acciones con calidad que conlleven a generar procesos con los equipos de trabajo de los jardines infantiles.
Es importante señalar que en el mes del reporte se llevó a cabo la socialización del protocolo para la construcción y revisión del proyecto pedagógico, al igual que el ciclo El arte de cuidar y abrazar a las infancias y sus sueños, donde se abordaron los módulos: I. Promoción e implementación del buen trato, prevención del maltrato infantil. II. Documento para la activación de rutas. III Taller pacto de corresponsabilidad.</t>
  </si>
  <si>
    <t>Con corte a agosto, un total de 252 jardines infantiles privados inscritos en el Sistema de Información y Registro de Servicios Sociales han sido asesorados técnicamente, lo cual equivale a un resultado de 19% de avance respecto a lo establecido como meta; esto es un punto porcentual por encima de lo reportado el mes anterior, en razón a que 14 jardines infantiles privados que no habían participado en los ciclos ofertados durante la vigencia lo hicieron este mes. Los mencionados ciclos se enuncian a continuación: 
-Talento Humano - Proceso administrativo.
-Diálogos y Tejidos
Estos son espacios conformados por dos o más sesiones donde las y los participantes tienen la posibilidad de trascender en cuanto a las disposiciones definidas en los Estándares Técnicos para la Calidad de la Educación Inicial y analizar a través de diálogos experienciales como estas condiciones se vivencian en los jardines infantiles, de qué formas se concretizan los objetivos de la educación inicial en la diversidad que proporciona la cotidianidad con las niñas, los niños y las familias.</t>
  </si>
  <si>
    <t>Con corte a septiembre, un total de 327 jardines infantiles privados inscritos en el Sistema de Información y Registro de Servicios Sociales han sido asesorados técnicamente, lo cual equivale a un resultado del 25%, valor que corresponde a lo establecido como meta del indicador.
Así mismo, se precisa que teniendo en cuenta el ajuste de la estrategia de abordaje territorial dirigida a jardines infantiles privados, en el cual se puntualizó el sentido del desarrollo de un proceso a través de la implementación de los ciclos, los equipos de trabajo que hacen parte de los escenarios de atención han acogido la iniciativa como posibilidad de articular las orientaciones brindadas, generar claridades que fortalecen las prácticas cotidianas con las niñas y los niños, diálogos de los equipos entorno a sus vivencias en el servicio que promueven conexiones entre jardines infantiles y la creación de redes que dinamizan la atención y diversifican experiencias para niñas y niños.</t>
  </si>
  <si>
    <t>PSS-7744-011</t>
  </si>
  <si>
    <t>Niñas y niños de primera infancia atendidos en las modalidades jardines infantiles diurnos, nocturnos, casas de pensamiento intercultural y espacios rurales.</t>
  </si>
  <si>
    <t>Monitorear la atención de las niñas y los niños de primera infancia atendidos en las modalidades jardines infantiles diurnos, nocturnos, casa de pensamiento intercultural y espacios rurales.</t>
  </si>
  <si>
    <t>Diligenciamiento del Formato Ficha SIRBE y registro oportuno de su información en el Sistema Misional SIRBE.
Formalización del cupo asignado a niñas y niños de primera infancia en las modalidades jardines infantiles diurnos, nocturnos, casas de pensamiento intercultural y espacios rurales.</t>
  </si>
  <si>
    <t>(No. de niñas y niños de primera infancia que participan en jardines infantiles diurnos, nocturnos, casas de pensamiento intercultural y espacios rurales en el periodo / No. de cupos ofertados en jardines infantiles diurnos, nocturnos, casas de pensamiento intercultural y espacios rurales en el periodo) * 100</t>
  </si>
  <si>
    <t>Numerador: Sistema Misional SIRBE.
Denominador: directorio de servicios sociales Subdirección para la Infancia.</t>
  </si>
  <si>
    <t>Identificar en el reporte de la meta 2 remitido por la DADE el número de niñas y niños de primera infancia en estados: atendido, en atención y suspendido y dividirlo entre el número de cupos ofertados y su optimización en jardines infantiles diurnos, nocturnos, casas de pensamiento intercultural y espacios rurales del directorio de servicios sociales Subdirección para la Infancia en el periodo.
El denominador se registrará de manera mensual dado que la oferta de cupos depende de: apertura de nuevas unidades operativas, cierre definitivo o indefinido de unidades operativas y entrega de obras o mantenimiento de infraestructura programados por la Subdirección de Plantas Físicas.</t>
  </si>
  <si>
    <t>Numerador: reporte de la meta 2 de las modalidades jardines infantiles diurnos, nocturnos, casas de pensamiento intercultural y espacios rurales, remitido por la DADE.
Denominador: directorio de servicios sociales Subdirección para la Infancia.</t>
  </si>
  <si>
    <t>En enero se atendieron 29.953 niñas y niños de primera infancia en las distintas modalidades, lo que equivale a un resultado para el indicador de 51% es decir cuarenta y nueve (49) puntos porcentuales debajo de la meta mensual, en razón al cierre de la vigencia anterior y ajustes graduales requeridos para iniciar la atención en las unidades operativas, así como, al avance progresivo en el registro de participantes en el aplicativo SIRBE y la activación de niñas y niños en estado de atención en jardines infantiles diurnos, nocturnos y casas de pensamiento intercultural. Además, se precisa que se generaron nuevas estrategias de atención en horarios adicionales en el marco del plan de rescate social.
Adicionalmente, se adelantaron acciones para promover la participación de las niñas y los niños, los procesos de corresponsabilidad con las familias a través del autocuidado y la protección en los hogares y en otros espacios; se efectuaron las gestiones correspondientes para mantener un número de colaboradoras y colaboradores acorde con la cobertura autorizada y/o ajustada a fin de cumplir los estándares técnicos de calidad para la educación inicial.
Se debe aclarar que la atención de niñas y niños inició el 18 de enero de 2022 a partir de la implementación de los esquemas: presencial en 254 unidades operativas y educación inicial en casa en 18 unidades operativas.
Así mismo, por medio de los convenios suscritos con Cajas de Compensación Familiar se operaron 36 jardines infantiles sociales, los cuales atendieron a las niñas y los niños a través de los siguientes esquemas: presencialidad en 34 y educación inicial en casa en 2. Además, por medio de convenios de asociación celebrados con Organizaciones sin Ánimo de Lucro se atendieron a las niñas y los niños en 42 jardines infantiles cofinanciados, los cuales prestaron servicio en presencialidad.</t>
  </si>
  <si>
    <r>
      <rPr>
        <sz val="9"/>
        <rFont val="Arial"/>
        <family val="2"/>
      </rPr>
      <t>En febrero se atendieron 44.054 niñas y niños de primera infancia en las distintas modalidades, lo que equivale a un resultado para el indicador de 73%, es decir, veintisiete (27) puntos porcentuales debajo de la meta mensual del indicador, en razón a los ajustes graduales requeridos para iniciar la operación en jardines infantiles diurnos, nocturnos y casas de pensamiento intercultural; el ingreso progresivo de las niñas y los niños a las unidades operativas y el avance en el registro y activación de participantes en el aplicativo SIRBE.
Así mismo, se continuó la implementación de acciones que promueven la participación de niñas y niños, los procesos de corresponsabilidad con las familias a partir del autocuidado y las gestiones para mantener el número de colaborado</t>
    </r>
    <r>
      <rPr>
        <sz val="9"/>
        <color theme="1"/>
        <rFont val="Arial"/>
        <family val="2"/>
      </rPr>
      <t>res y colaboradoras acorde con la cobertura autorizada y/o ajustada a fin de cumplir los estándares técnicos de calidad para la educación inicial.
Adicionalmente, en el mes de reporte se implementaron el esquema de atención presencial en 258 unidades operativas y el de educación inicial en casa en 8 unidades operativas.
Además, a partir de los convenios suscritos con Cajas de Compensación Familiar se operaron 36 jardines infantiles sociales, los cuales atendieron a las niñas y los niños a través de los siguientes esquemas: presencialidad 35 y educación inicial en casa 1). Por medio de convenios de asociación celebrados con Entidades sin Ánimo de Lucro se atendieron a las y los participantes en 42 jardines infantiles cofinanciados, los cuales brindaron la atención de manera presencial.</t>
    </r>
  </si>
  <si>
    <t>En marzo, se atendieron 53.685 niñas y niños de primera infancia en las modalidades jardines infantiles, diurnos, nocturnos, casas de pensamiento intercultural y espacios rurales; lo cual equivales a un resultado del indicador de 85%, es decir, quince puntos porcentuales por debajo de la meta del indicador, en razón a los ajustes graduales requeridos para la operación de jardines infantiles diurnos, nocturnos, casas de pensamiento intercultural y espacios rurales; el ingreso progresivo de niñas y niños; y el traslado de las familias en el territorio a causa de su condición económicas y de empleo. Se proyecta avanzar de manera progresiva con la vinculación de niñas y niños a las modalidades.
Se precisa, que en los espacios rurales se realizó toma de medidas antropométricas y seguimiento al esquema de vacunación en corresponsabilidad con madres, padres y cuidadores. Por otra parte, se realizaron acciones de fortalecimiento del eje ambiental del proyecto educativo comunitario a través de las actividades: preparación del terreno y elaboración de eras para la siembra de perejil, cilantro, gladiolos, con el apoyo de algunas familias. Así mismo, en la unidad operativa Montaña de Colores se cosecharon las arvejas de la huerta con las niñas y los niños promoviendo las tradiciones culturales y campesinas de la ruralidad. 
Se continuó la implementación de acciones que promueven la participación de niñas y niños, los procesos de corresponsabilidad con las familias a partir del autocuidado y las gestiones para mantener el número de colaboradores acorde con la cobertura autorizada y/o ajustada a fin de cumplir los estándares técnicos de calidad para la educación inicial.
Adicionalmente, en el mes se implementaron el esquema de atención presencial en 334 unidades operativas y el de educación inicial en casa en 6 Jardines Infantiles; operaron a partir de convenios suscritos con Cajas de Compensación Familiar 36 jardines infantiles sociales que atendieron a niñas y niños a través de los esquemas: presencialidad 35 y educación inicial en casa 1; y por medio de convenios de asociación celebrados con entidades sin ánimo de lucro se atendieron a las y los participantes en 42 jardines infantiles cofinanciados, los cuales brindaron la atención de manera presencial.</t>
  </si>
  <si>
    <t>En abril, se atendieron 49.794 niñas y niños de primera infancia en las modalidades jardines infantiles diurnos, nocturnos, casas de pensamiento intercultural y espacios rurales. Lo anterior, equivale a un resultado de 79%, es decir, veintiún puntos porcentuales por debajo de la meta, en razón a los ajustes graduales requeridos para la operación de las modalidades de manera presencial, las dinámicas y los procesos de adecuaciones en las unidades operativas y solicitudes de alimentos, así como la constante rotación y traslado de las familias en el territorio a causa de su condición y la de sus hogares. Se proyecta generar articulaciones con las áreas y dependencias de la entidad a fin de avanzar de manera conjunta en las acciones para aumentar la activación de niñas y niños en las unidades operativas de las modalidades de atención.
En los espacios rurales de Bogotá, la atención de las niñas y los niños se brindó a través de los esquemas presencial y en alternancia, quienes vivenciaron experiencias pedagógicas enmarcadas en los proyectos educativos comunitarios PEC, orientados a la pervivencia de los saberes campesinos - rurales en los cinco territorios rurales. Así mismo, en el marco del mes de la niñez, se realizaron acciones de corresponsabilidad familiar para fortalecer habilidades parentales de crianza amorosa, más juego, estrategia que movilizó otras formas de relacionamiento basadas en el respeto, la escucha, el amor, el acompañamiento al desarrollo infantil y el diálogo como estrategia de respeto.
Adicionalmente, se implementaron los esquemas atención de presencial en 337 unidades operativas y educación inicial en casa en 6 Jardines Infantiles; se operaron a partir de convenios suscritos con Cajas de Compensación Familiar 36 jardines infantiles sociales que atendieron a las niñas y los niños a través de los esquemas: presencialidad 36 y por medio de convenios de asociación celebrados con entidades sin ánimo de lucro se atendieron a las y los participantes en 42 jardines infantiles cofinanciados, los cuales brindaron la atención de manera presencial.</t>
  </si>
  <si>
    <t>En mayo se atendieron 51.014 niñas y niños de primera infancia en las modalidades jardines infantiles diurnos, nocturnos, casas de pensamiento intercultural y espacios rurales. Lo anterior equivale a un resultado de 80%, es decir, veinte puntos porcentuales por debajo de la meta. Esto obedece al aumento gradual de participantes en las modalidades de atención como resultado de las dinámicas de migración de las familias dentro y fuera de la ciudad. Se proyectan acciones de articulación con las subdirecciones locales para la integración social que incentiven el aumento en el número de participantes en la medida en que avanza la vigencia.
En mayo, se mantuvieron los procesos de atención presencial en las unidades operativas teniendo presentes las dinámica operativas, administrativas y logísticas, así como la rotación y el traslado de las familias a otros territorios.
En cuanto a la modalidad de atención espacios rurales, en mayo se realizaron acompañamientos en el esquema presencial a través de actividades vivenciales y experienciales que se centraron en el cuidado y autocuidado personal. Así mismo, en el marco del mes de la familia se desarrollaron actividades orientadas a promover relaciones democráticas con el juego, la literatura, el arte y la exploración del medio; además, se efectuaron con las niñas y los niños actividades que responden a la actualización de la política pública de infancia y adolescencia.
Adicionalmente, en la modalidad jardines infantiles diurnos se implementó la presencialidad en 338 unidades operativas propias y educación inicial en casa en 2 unidades operativas propias; se operaron 36 jardines infantiles sociales a partir de convenios suscritos con Cajas de Compensación Familiar, los cuales atendieron a las niñas y los niños en esquema presencial; y por medio de convenios de asociación celebrados con entidades sin ánimo de lucro se atendieron a las y los participantes en 42 jardines infantiles cofinanciados, los cuales brindaron la atención de manera presencial.</t>
  </si>
  <si>
    <t>En junio se atendieron 50.986 niñas y niños de primera infancia en las modalidades jardines infantiles diurnos, nocturnos, casas de pensamiento intercultural y espacios rurales, lo cual equivale a un resultado de 81%, es decir, diecinueve puntos porcentuales por debajo de la meta. Lo anterior, obedece a la apertura del servicio en presencialidad en todas las unidades operativas y al aumento gradual de participantes en estado “en atención” como resultado de la migración de las familias en el territorio distrital, nacional e internacional. Se proyecta articular procesos de georreferenciación, búsquedas activas, entre otras estrategias para incentivar el ingreso de niñas y niños a las diferentes modalidades para garantizar la atención de calidad en primera infancia.
Por otro lado, en la modalidad espacio rurales se brindó atención a las niñas y los niños de manera presencial en jornada completa en las tres unidades operativas, una vez superadas las enfermedades respiratorias y los casos de varicela que generaron el cierre preventivo del espacio Exploradores Sumapaceños de San Juan de Sumapaz por dos días y su posterior desinfección. En la localidad Ciudad Bolívar en el espacio rural Montaña de Colores se prestó atención presencial en media jornada con refrigerios reforzados.
Adicionalmente, en la modalidad jardines infantiles diurnos se implementó la presencialidad en 336 unidades operativas propias; se operaron 36 jardines infantiles sociales a partir de convenios suscritos con Cajas de Compensación Familiar, en donde se atendieron a las niñas y los niños en esquema presencial; y por medio de convenios de asociación celebrados con entidades sin ánimo de lucro se atendieron a las y los participantes en 42 jardines infantiles cofinanciados, que brindaron la atención de manera presencial.</t>
  </si>
  <si>
    <t>En julio se atendieron 50.205 niñas y niños de primera infancia en las modalidades jardines infantiles diurnos, nocturnos, casas de pensamiento intercultural y espacios rurales, lo cual equivale a un resultado de 80%, es decir, veinte puntos porcentuales por debajo de la meta. Esto obedece a la atención en presencialidad, la activación de estrategias para cubrimiento de cupos disponibles, algunos cierres temporales de unidades operativas y reubicación de participantes; se proyecta el aumento gradual de participantes como resultado de georreferenciaciones, búsquedas activas y activación de niñas y niños inscritos.
Se precisa que en los espacios rurales se brindó atención a las niñas y los niños de manera presencial en jornada completa en los tres espacios de Sumapaz; en el espacio rural Ruanitas entre Nubes se presentaron síntomas de enfermedad respiratoria y virus por lo que fue cerrado durante tres días, por sugerencia del centro de salud de Nazareth, para realizar cuidado en casa y evitar contagios, así como, realizar consultas médicas. Paralelamente, se realizaron acciones de desinfección en el lugar y a los elementos. En la localidad Ciudad Bolívar en el espacio rural Montaña de Colores se prestó la atención en media jornada con refrigerios reforzados. Las atenciones en general se realizaron con los equipos interdisciplinarios a través de experiencias pedagógicas de los Proyectos educativos comunitarios con enfoque diferencial, de derechos y de género.
Adicionalmente, en la modalidad jardines infantiles diurnos se implementó la presencialidad en las unidades operativas propias; se operaron los jardines infantiles sociales a partir de convenios suscritos con Cajas de Compensación Familiar, en donde se atendieron a las niñas y los niños en esquema presencial; y por medio de convenios de asociación celebrados con entidades sin ánimo de lucro se atendieron a las y los participantes en jardines infantiles cofinanciados, que brindaron atención presencial.</t>
  </si>
  <si>
    <t xml:space="preserve">En agosto se atendieron 47.668 niñas y niños de primera infancia en las modalidades jardines infantiles diurnos, nocturnos, casas de pensamiento intercultural y espacios rurales, lo cual equivale a un resultado de 85%, es decir, quince puntos porcentuales por debajo de la meta, en razón a los ajustes efectuados para garantizar la continuidad de la atención de las y los participantes de los jardines infantiles con horario adicional que venían funcionando con recurso del plan de rescate social y pasan a ser operados de manera directa por la Entidad, así como por la rotación de niñas y niños generada por el cambio de lugar de domicilio de sus familias. Se proyecta que el número de niñas y niños en las modalidades aumente con las estrategias que se implementaran de manera articulada entre nivel central y local.
Se precisa que durante el mismo se brindó atención a las niñas y los niños a través de la implementación de acciones intencionadas en los componentes nutrición y salubridad, ambientes adecuados y seguros, proceso pedagógico, talento humano y proceso administrativo de los Estándares Técnicos de Calidad para la Educación Inicial, en respuesta a sus necesidades y particularidades con el fin de contribuir a la garantía de sus derechos. Adicionalmente, en los espacios rurales se brindó atención a las y los participantes presencialmente a través de experiencias pedagógicas intencionadas y enmarcadas en los enfoques de derechos, diferencial y de género.
</t>
  </si>
  <si>
    <t>09/09/2022
Debido a que el resultado mensual del indicador ha sido estable alrededor del 80% durante los últimos meses se recomienda al proyecto evaluar la modificación de la meta anual.
Por lo demás, no se generan observaciones o recomendaciones respecto al análisis presentado en el seguimiento al indicador de gestión.</t>
  </si>
  <si>
    <t>En septiembre se atendieron 49.322 niñas y niños de primera infancia en las modalidades jardines infantiles diurnos, nocturnos, casas de pensamiento intercultural y espacios rurales, lo que equivale a un resultado de 85% cumpliendo la meta del indicador; es preciso aclarar que la meta del indicador se ajustó teniendo en cuenta las dinámicas propias de la población a la que está dirigida el servicio y de las modalidades de atención durante la vigencia.
Así mismo, se puntualiza que el resultado del indicador obedece a la migración de las familias en el territorio distrital y nacional en respuesta a aspectos económicos y sociales provocados por la pandemia, el receso escolar de la Secretaría de Educación Distrital y la finalización de convenios suscritos con terceros para la operación de jardines infantiles cofinanciados. Se proyecta que el número de niñas y niños en las modalidades aumente con las estrategias que se implementarán de manera articulada entre el nivel central y local, los procesos de georreferenciación y las búsquedas activas de participantes.
Adicionalmente, se especifica que se brindó atención a las niñas y los niños por medio de acciones intencionadas en los componentes nutrición y salubridad, ambientes adecuados y seguros, proceso pedagógico, talento humano y proceso administrativo de los Estándares Técnicos de Calidad para la Educación Inicial; se realizaron cualificaciones a las y los profesionales de las modalidades; y se desarrollaron actividades para garantizar la continuidad de la atención de las y los participantes de los jardines infantiles nocturnos que empezaron a ser operados directamente por la Entidad.
Además, en los espacios rurales de Ciudad Bolívar y Sumapaz se realizaron actividades orientadas a fortalecer el desarrollo social y personal de la primera infancia rural; se implementaron experiencias pedagógicas que enfatizaron la relevancia de los hábitos saludables en el desarrollo de las niñas y los niños, así como la siembra de semillas y el cuidado de plantas en huertas pedagógicas que posibilitaron el fortalecimiento de la autonomía, la seguridad en sí mismos, en el mundo que los rodea y la participación de niñas, niños, madres, padres, cuidadores y profesionales de primera infancia en espacios de intercambio de saberes campesinos rurales.</t>
  </si>
  <si>
    <t>PSS-7745-001</t>
  </si>
  <si>
    <t>Población participante de los servicios sociales y apoyos alimentarios con clasificación de su estado nutricional.</t>
  </si>
  <si>
    <t>Analizar la eficacia de la vigilancia nutricional en la Secretaría Distrital de Integración Social al medir el porcentaje de población participante (con estado en atención en el SIRBE) de los servicios y apoyos alimentarios que cuenta con clasificación del estado nutricional.</t>
  </si>
  <si>
    <t>Calidad y oportunidad del dato de antropometría registrado</t>
  </si>
  <si>
    <t>(Número de participantes en atención en servicios sociales o apoyos alimentarios con clasificación del estado nutricional / Total de participantes en atención en servicios sociales o apoyos alimentarios con tamizaje nutricional)*100%</t>
  </si>
  <si>
    <t>Sistema SIRBE base de nutrición</t>
  </si>
  <si>
    <t>"Denominador:
Total de participantes en atención con apoyo alimentario en los servicios sociales de la Secretaria Distrital de Integración Social con información del tamizaje nutricional en la base de Nutrición del SIRBE.
Numerador: 
Total de participantes en atención con apoyo alimentario en los servicios sociales de la Secretaria Distrital de Integración Social con clasificación nutricional mediante indicadores antropométricos definidos para cada grupo etáreo.
Nota: 
No todos los participantes en atención pueden ser clasificados en su estado nutricional debido a datos incompletos o erróneos del tamizaje o del registro.
Participantes en servicios donde no hay apoyo alimentario o este no hace parte de los objetivos del servicio no son objeto de la vigilancia nutricional"
EL RESULTADO ACOMULADO DE LA VIGENCIA SERA EL PROMEDIO DE LOS CUATRO TRIMESTRES</t>
  </si>
  <si>
    <t xml:space="preserve">Base de datos del Total de participantes en atención en servicios sociales o apoyos de complementación alimentaria con clasificación del estado nutricional en la SDIS.           </t>
  </si>
  <si>
    <t>La información presentada corresponde a las bases de datos mensuales del  mes de enero con información de los participantes en atención, en el periodo se registraron 2873 datos de registros de peso y talla de participantes en atención entre el 1 de enero y 31 de enero de 2022, de estos, lograron ser clasificados de acuerdo a indicadores del estado nutricional 2857 datos, lo que equivale al 99,4% de los datos registrado en el periodo, la meta establecida para el indicador es del 100%.</t>
  </si>
  <si>
    <t>11/03/2022 No se generan observaciones respecto al análisis presentado en el seguimiento al indicador de gestión. Se deja las siguientes recomendaciones: se debe adelantar todas las acciones pertinentes para dar cumplimiento a la meta propuesta en este último trimestres de la vigencia y enviar los insumos para la actualización del indicador y se oficialice en la circular del mes de marzo. Está solicitud se hizo en la retroalimentación de enero y a la fecha no se ha cumplido.</t>
  </si>
  <si>
    <t>La información presentada corresponde a las bases de datos mensuales del  mes de enero a febrero con información de los participantes en atención, en el periodo se registraron 17961 datos de registros de peso y talla de participantes en atención entre el 1 de enero y 28 de febrero de 2022, de estos, lograron ser clasificados de acuerdo a indicadores del estado nutricional 17881 datos, lo que equivale al 99,5% de los datos registrado en el periodo, la meta establecida para el indicador es del 100%.</t>
  </si>
  <si>
    <t>La información presentada corresponde a las bases de datos mensuales del  mes de enero a marzo con información de los participantes en atención, en el periodo se registraron 68787 datos de registros de peso y talla de participantes en atención entre el 1 de enero y 31 de marzo de 2022, de estos, lograron ser clasificados de acuerdo a indicadores del estado nutricional 69500 datos, lo que equivale al 99,6% de los datos registrado en el periodo, la meta establecida para el indicador es del 100%.</t>
  </si>
  <si>
    <t>10/04/2022 No se encuentran evidencias cargadas en la carpeta de indicadores para validar la información cuantitativa reportada.
11/04/2022 Luego de revisar las evidencias no se generan observaciones y/o recomendaciones respecto al análisis presentado en el seguimiento al indicador de gestión.</t>
  </si>
  <si>
    <t xml:space="preserve">La información presentada corresponde a las bases de datos de los participantes en atención en los servicios sociales y apoyos alimentarios a partir de enero hasta abril del 2022, se registraron 77761 datos de registros de peso y talla de participantes en atención de los servicios sociales y apoyos alimentarios entre el 1 de enero hasta el 30 de abril de 2022. De estos, se lograron clasificar 77417 datos de acuerdo a indicadores del estado nutricional, lo que equivale al 99,6% de los datos registrados en el periodo. </t>
  </si>
  <si>
    <t xml:space="preserve">La información presentada corresponde a las bases de datos de los participantes en atención en los servicios sociales y apoyos alimentarios a partir de enero hasta mayo del 2022, se registraron 88488 datos de registros de peso y talla de participantes en atención de los servicios sociales y apoyos alimentarios entre el 1 de enero hasta el 31 de mayo de 2022. De estos, se lograron clasificar 88070 datos de acuerdo a indicadores del estado nutricional, lo que equivale al 99,5% de los datos registrados en el periodo. </t>
  </si>
  <si>
    <t>08/06/2022 No se generan observaciones respecto al análisis presentado en el seguimiento al indicador de gestión. Se deja la siguiente recomendación: seguir adelantando todas las acciones pertinentes para dar cumplimiento a la meta propuesta en el siguiente trimestre.</t>
  </si>
  <si>
    <t>La información presentada corresponde a las bases de datos de los participantes en atención en los servicios sociales y apoyos alimentarios a partir de enero hasta junio del 2022, se registraron 104952 datos de registros de peso y talla de participantes en atención de los servicios sociales y apoyos alimentarios entre el 1 de enero hasta el 30 de junio de 2022. De estos, se clasificaron 104157 datos de acuerdo a indicadores del estado nutricional, lo que equivale al 99,2% de los datos registrados en el periodo.</t>
  </si>
  <si>
    <t>12/07/2022 No se generan observaciones y/o recomendaciones respecto al análisis presentado en el seguimiento al indicador de gestión.</t>
  </si>
  <si>
    <t>La información presentada corresponde a las bases de datos de los participantes en atención en los servicios sociales y apoyos alimentarios a partir de enero hasta julio del 2022, se registraron 106720 datos de registros de peso y talla de participantes en atención de los servicios sociales y apoyos alimentarios entre el 1 de enero hasta el 30 de julio de 2022. De estos, se clasificaron 105891 datos de acuerdo a indicadores del estado nutricional, lo que equivale al 99,2% de los datos registrados en el periodo.</t>
  </si>
  <si>
    <t>08/08/2022 No se generan observaciones respecto al análisis presentado en el seguimiento al indicador de gestión. Se deja la siguiente recomendación: se debe adelantar todas las acciones pertinentes para dar cumplimiento a la meta propuesta en el siguiente trimestre.</t>
  </si>
  <si>
    <t>La información presentada corresponde a las bases de datos de los participantes en atención en los servicios sociales y apoyos alimentarios a partir de enero hasta agosto del 2022. Se registraron 109.928 datos de registros de peso y talla de participantes en atención de los servicios sociales y apoyos alimentarios entre el 1 de enero hasta el 31 de agosto de 2022. De estos, se clasificaron 109.034 datos de acuerdo a indicadores del estado nutricional, lo que equivale al 99,2% de los datos registrados en el periodo.</t>
  </si>
  <si>
    <t>12/09/2022 No se generan observaciones respecto al análisis presentado en el seguimiento al indicador de gestión. Se deja la siguiente recomendación: se debe adelantar todas las acciones pertinentes para dar cumplimiento a la meta propuesta en el siguiente trimestre.</t>
  </si>
  <si>
    <t>La información presentada corresponde a las bases de datos de los participantes en atención en los servicios sociales y apoyos alimentarios a partir de enero hasta septiembre del 2022, se registraron 114.740 datos de registros de peso y talla de participantes en atención de los servicios sociales y apoyos alimentarios entre el 1 de enero hasta el 30 de septiembre de 2022. De estos, se clasificaron 113794 datos de acuerdo a indicadores del estado nutricional, lo que equivale al 99,2% de los datos registrados en el periodo.</t>
  </si>
  <si>
    <t>20/10/2022 No se generan observaciones y/o recomendaciones respecto al análisis presentado en el seguimiento al indicador de gestión.</t>
  </si>
  <si>
    <t>PSS-7745-003</t>
  </si>
  <si>
    <t>Población participante de los servicios sociales con apoyos alimentarios que reciban socialización en acciones de Información, Educación y Comunicación para la Promoción de Hábitos en Estilos de Vida Saludables (IEC-PHEVS), con énfasis en alimentación, nutrición y actividad física.</t>
  </si>
  <si>
    <t>Analizar la eficacia de las acciones de socialización para la promoción de hábitos en estilos de vida saludable de los participantes en los servicios sociales con apoyo alimentario de la Secretaría Distrital de Integración Social con énfasis en alimentación, nutrición y actividad física.</t>
  </si>
  <si>
    <t>Calidad y oportunidad del dato consolidado y enviado</t>
  </si>
  <si>
    <t xml:space="preserve">Eficacia </t>
  </si>
  <si>
    <t>(Número de participantes únicos en atención en los servicios sociales con apoyo alimentario con acciones de IEC-PHEVS socializadas / Total de participantes en atención en los servicios sociales con apoyo alimentario programadas)*100%</t>
  </si>
  <si>
    <t>Base de consolidación mensual de las acciones de IEC-PHEVS</t>
  </si>
  <si>
    <t>Numerador:
Total de participantes únicos en atención en los servicios sociales de la Secretaría Distrital de Integración Social con apoyo alimentario con acciones de IEC-PHEVS socializadas, enviadas en la base de consolidación mensual (Formato: for_pss_298_v1_base_consolidacion_mensual_promocion_vida_saludable o base de reporte SIRBE)
Denominador:
Total de participantes en atención en los servicios sociales de la Secretaría Distrital de Integración Social con apoyo alimentario programadas de acuerdo con la base de programaciones por Subdirección Técnica.
Notas:
Se tendrán en cuenta las siguientes modalidades de apoyo alimentario: Comedores comunitarios - cocinas populares - bonos canjeables por alimentos (metas 4 y 11), canastas alimentarias y suministros a unidades propias SDIS donde se efectúen las acciones de IEC-PHEVS.
Solo se contarán personas únicas por vigencia.
La consolidación la efectúa la subdirección de Nutrición y el envío desde las áreas técnicas de la SDIS se realiza en el formato establecido FOR_PSS_298_v1_base_consolidacion__mensual_promocion_vida_saludable o base de reporte SIRBE.
EL RESULTADO ACUMULADO DE LA VIGENCIA SERA LA SUMATORIA DE LOS CUATRO TRIMESTRES</t>
  </si>
  <si>
    <t>Base de consolidación del total de los participantes en atención en los servicios sociales de la SDIS con apoyo alimentario que recibieron acciones de IEC-PHEVS (FOR_PSS_298 o la base de reporte SIRBE) remitida por la Subdirección de Nutrición.</t>
  </si>
  <si>
    <t>Se realiza socialización de acciones de Información, Educación y Comunicación para la Promoción de Hábitos en Estilos de Vida Saludables (IEC-PHEVS), con énfasis en alimentación, nutrición y actividad física, a participantes en atención de los servicios sociales beneficiados con apoyos alimentarios al 30 de abril de 2022. De un total programado de 28.832 participantes únicos en atención para el periodo, se generó un reporte acumulado de 27.616 participantes únicos en los servicios sociales beneficiados con apoyos alimentarios con acciones de IEC-PHEVS socializadas, lo que equivale a una ejecución del 95,8%, de la meta establecida para el indicador.</t>
  </si>
  <si>
    <t>Se realiza socialización de acciones de Información, Educación y Comunicación para la Promoción de Hábitos en Estilos de Vida Saludables (IEC-PHEVS), con énfasis en alimentación, nutrición y actividad física, a participantes en atención de los servicios sociales beneficiados con apoyos alimentarios entre el 01 de enero hasta el 31 de mayo de 2022. De un total programado de 36.039 participantes únicos en atención para el periodo, se generó un reporte acumulado de 32.480 participantes únicos en los servicios sociales beneficiados con apoyos alimentarios con acciones de IEC-PHEVS socializadas, lo que equivale a una ejecución del 90,1%, de la meta establecida para el indicador. Lo anterior, se ha dado para mayo, debido al cierre de unidades operativas, lo cual ha disminuido el reporte de acciones en IEC-PHEVS.</t>
  </si>
  <si>
    <t xml:space="preserve">Se realiza socialización de acciones de Información, Educación y Comunicación para la Promoción de Hábitos en Estilos de Vida Saludables (IEC-PHEVS), con énfasis en alimentación, nutrición y actividad física, a participantes en atención de los servicios sociales beneficiados con apoyos alimentarios de la DNA, entre el 01 de enero hasta el 30 de junio de 2022. De un total programado de 10787 participantes únicos en atención para el periodo, se generó un reporte acumulado de 10937 participantes únicos en los servicios sociales beneficiados con apoyos alimentarios con acciones de IEC-PHEVS socializadas, lo que equivale a una ejecución del 101%, de la meta establecida para el indicador. Lo anterior, se calculó para el 20% de las personas únicas atendidas del trimestre de abril a junio del 2022 en las modalidades de comedores comunitarios y canastas alimentarias. </t>
  </si>
  <si>
    <t>12/07/2022 No se generan observaciones respecto al análisis presentado en el seguimiento al indicador de gestión. Se tiene la siguiente recomendación: debemos revisar si en los próximos reportes el cumplimiento del indicador va seguir siendo mayor a la meta propuesta (95%), actualmente se encuentra en sobrecumplimiento del 107%. Si es así se recomienda actualizar la meta del indicador.</t>
  </si>
  <si>
    <t>Se realiza socialización de acciones de Información, Educación y Comunicación para la Promoción de Hábitos en Estilos de Vida Saludables (IEC-PHEVS), con énfasis en alimentación, nutrición y actividad física, a participantes en atención de los servicios sociales beneficiados con apoyos alimentarios de la DNA, entre el 01 de enero hasta el 31 de julio de 2022. De un total programado de 2247 participantes únicos en atención para el periodo, se generó un reporte acumulado de 1346 participantes únicos en los servicios sociales beneficiados con apoyos alimentarios con acciones de IEC-PHEVS socializadas, lo que equivale a una ejecución del 60%, de la meta establecida para el indicador.</t>
  </si>
  <si>
    <t>08/08/2022 No se generan observaciones respecto al análisis presentado en el seguimiento al indicador de gestión. Se tiene la siguiente recomendación: debemos revisar si en los próximos reportes el cumplimiento del indicador va seguir siendo mayor a la meta propuesta (95%), actualmente se encuentra en sobrecumplimiento del 107%. Si es así se recomienda actualizar la meta del indicador.</t>
  </si>
  <si>
    <t>Se realiza socialización de acciones de Información, Educación y Comunicación para la Promoción de Hábitos en Estilos de Vida Saludables (IEC-PHEVS), con énfasis en alimentación, nutrición y actividad física, a participantes en atención de los servicios sociales beneficiados con apoyos alimentarios de la DNA, entre el 01 de enero hasta el 31 de agosto de 2022. En el mes de agosto no se reportaron nuevas acciones de promoción en estilos de vida saludable por lo que se mantienen los datos reportados el mes anterior. De un total programado de 2247 participantes únicos en atención para el periodo, se generó un reporte acumulado de 1346 participantes únicos en los servicios sociales beneficiados con apoyos alimentarios con acciones de IEC-PHEVS socializadas, lo que equivale a una ejecución del 60%, de la meta establecida para el indicador.</t>
  </si>
  <si>
    <t>12/09/2022 No se generan observaciones respecto al análisis presentado en el seguimiento al indicador de gestión. Se deja nuevamente la siguiente recomendación: debemos revisar si en los próximos reportes el cumplimiento del indicador va seguir siendo mayor a la meta propuesta (95%), actualmente se encuentra en sobrecumplimiento del 107%. Si es así se recomienda actualizar la meta del indicador.</t>
  </si>
  <si>
    <t>PSS-7749-001</t>
  </si>
  <si>
    <t xml:space="preserve">Personas atendidas en emergencia social, referenciadas a servicios sociales </t>
  </si>
  <si>
    <t>Monitorear la referenciación de población a servicios sociales</t>
  </si>
  <si>
    <t>Diligenciamiento correcto del formato Seguimiento a la referenciación de población (FOR-PSS-086),  por parte de los equipos locales</t>
  </si>
  <si>
    <t>(Número de personas atendidas en emergencia social, referenciadas a los servicios sociales en el periodo / Número de personas atendidas en emergencia social en el periodo) *100</t>
  </si>
  <si>
    <t>Formato seguimiento a la referenciación de población (FOR-PSS-086)
Reporte SIRBE personas atendidas en emergencia social</t>
  </si>
  <si>
    <t>Para calcular el numerador, se debe:
* Solicitar a los equipos locales la información registrada en el formato seguimiento a la referenciación de población (FOR-PSS-086) con corte mensual.
* Sumar y totalizar los reportes de cada equipo local.
* El dato se extrae del total de registros de la columna A de la base consolidada del formato de seguimiento a la referenciación de población (FOR-PSS-086)
Para calcular el denominador, se debe solicitar a la Dirección de Análisis y Diseño Estratégico (DADE) el reporte del número de personas atendidas en la modalidad de emergencia social del período a medir.
Finalmente, dividir el número de personas referenciadas entre el número de personas atendidas en la modalidad de emergencia social en el período y multiplicar por 100.
Nota: el cálculo del indicador para la vigencia (tanto el numerador como el denominador), corresponderá a la sumatoria de los períodos.</t>
  </si>
  <si>
    <t>Base consolidada del formato de Seguimiento a la referenciación de población (FOR-PSS-086)
Reporte SIRBE personas atendidas en emergencia social</t>
  </si>
  <si>
    <t>Durante el mes de enero  se continua con el proceso de referenciar a las y los ciudadanos que lo requirieron a los diferentes servicios y proyectos tanto de la Secretaria Distrital de Integración Social (SDIS) como del Distrito Capital,  a través del formato “Seguimiento a la referenciación de población (FOR-PSS-086)" de acuerdo con lo establecido en el procedimiento Orientación, Información y Referenciación (PCD-PSS-006) de la entidad, logrando fortalecer la atención a las personas que se encuentran en emergencia social.
Es importante anotar que, debido a la finalización de contratos y recomposición de los equipos locales e incluso contingencias (activación de bonos), algunos equipos locales  no pudieron realizar el proceso de referenciación de población. Es necesario entonces, continuar desde la coordinación del servicio, con el acompañamiento y apoyo a los equipos locales, frente al seguimiento y fortalecimiento del proceso de referenciación de población.</t>
  </si>
  <si>
    <t>14/03/2022 Se recomienda complementar la gestión realizada.
15/03/2022  No se generan más observaciones respecto al análisis reportado para el seguimiento del indicador.</t>
  </si>
  <si>
    <t xml:space="preserve">En el mes de febrero la atención y el proceso de referenciación a la población atendida se ha venido realizando de manera permanente tanto a los servicios de la Secretaria Distrital de Integración Social (SDIS)  como a otras entidades del orden distrital y nacional, siguiendo el procedimiento Orientación, Información y Referenciación (PCD-PSS-006) de la entidad. 
En este periodo, pese a las diferentes situaciones que ha tenido que afrontar el equipo tales como la reorganización de los mismos y la realización de contingencias en algunas localidades, se ha venido aumentando el número de referenciaciones en relación con el mes anterior. Al respecto y con el fin de impactar de manera positiva el indicador, se espera continuar reforzando el proceso de referenciación de la población que se atiende desde el servicio.
</t>
  </si>
  <si>
    <t>14/03/2022  No se generan observaciones respecto al análisis reportado para el seguimiento del indicador.</t>
  </si>
  <si>
    <t>Durante el mes de marzo se realiza el proceso de referenciación a las y los ciudadanos a los diferentes servicios de la Secretaría y a otros servicios de entidades públicas o privadas del Distrito Capital o del nivel nacional según sus necesidades y siguiendo con lo establecido en el procedimiento Orientación, Información y Referenciación (PCD-PSS-006) de la entidad. En este mes de marzo se evidencia un ligero aumento en el número de referenciaciones en comparación con el mes de febrero. 
Para el trimestre enero, febrero y marzo, se referenciaron a los diferentes servicios sociales internos y externos a 2.315 personas, de un total de 52218 personas atendidas en emergencia social en el mismo periodo, logrando así un 44%  de avance de la meta del indicador de gestión del servicio Respuesta Social.
Como se puede observar en los resultados del indicador, este presenta una ligera sobre ejecución que puede estar relacionada con registros de atenciones realizadas desde las modalidades de atención en Emergencia Social: Alojamiento Transitorio, Bono Apoyo Alimentario, Auxilio Funerario y Suministros que aún no han sido actualizadas en el Sistema de Registro de Beneficiarios para los Programas Sociales del Distrito (SIRBE) mediante los cambios de estado de los beneficios, lo que seguramente con posterioridad aumentara el número de personas atendidas en el servicio.</t>
  </si>
  <si>
    <t>08/04/2022 Se recomienda verificar la meta proyectada ya que el indicador presenta sobrecumplimiento, así como revisar la presentación y organización de  las evidencias que soportan la gestión del indicador. 
No se generan más observaciones respecto al análisis reportado para el seguimiento del indicador.</t>
  </si>
  <si>
    <t xml:space="preserve">
06/05/2022  No se generan observaciones respecto al análisis reportado para el seguimiento del indicador.</t>
  </si>
  <si>
    <t xml:space="preserve">En el mes de mayo se continúa el proceso de referenciación de la población a los servicios de la Secretaria Distrital de Integración Social (SDIS) y a otros servicios de entidades tanto del sector público como del privado, lo que es registrado en el  formato de “Seguimiento a la referenciación de población (FOR-PSS-086)" de acuerdo con lo establecido en el procedimiento Orientación, información y referenciación (PCD-PSS-006) de la entidad.
En el desarrollo del proceso de referenciación, durante el mes en curso, se ha evidenciado un aumento en la cantidad de las mismas con respecto al mes de abril. Se espera continuar fortaleciendo la referenciación de la población que se atiende desde el servicio de respuesta social. </t>
  </si>
  <si>
    <t>06/06/2022  No se generan observaciones respecto al análisis reportado para el seguimiento del indicador.</t>
  </si>
  <si>
    <t xml:space="preserve">Durante el mes de junio se realiza el proceso de referenciación a las y los ciudadanos a los diferentes servicios de la Secretaría y a otros servicios de entidades públicas o privadas del Distrito Capital o del nivel nacional según sus necesidades y siguiendo con lo establecido en el procedimiento Orientación, Información y Referenciación (PCD-PSS-006) de la entidad. En este mes de junio se evidencia una reducción en el número de referenciaciones en comparación con el mes de mayo. 
Para el trimestre abril, mayo, junio, se referenciaron a los diferentes servicios sociales internos y externos a 3298 personas, de un total de 5326 personas atendidas en emergencia social en el mismo periodo, logrando así un 62%  de avance de la meta del indicador de gestión del servicio Respuesta Social.
Como se puede observar en los resultados del indicador, este presenta un sobrecumplimiento que está relacionado con:  
• El empoderamiento del equipo humano en las unidades operativas en la realización del procedimiento Orientación, Información y Referenciación (PCD-PSS-006).
• El seguimiento y acompañamiento realizado a los profesionales del servicio, por parte del equipo coordinador.
• Debido a un ajuste en las definiciones técnicas para el procesamiento de datos, el reporte actual de atenciones SIRBE reduce el número de personas únicas atendidas que se toma como insumo; lo anterior como consecuencia de la armonización con los aspectos operativos que se desarrollan en las atenciones regulares.
Se evaluara a la luz de esta panorama, cual seria la afectación del indicador para tomar decisiones al respecto. </t>
  </si>
  <si>
    <t>07/07/2022  No se generan observaciones respecto al análisis reportado para el seguimiento del indicador.</t>
  </si>
  <si>
    <t xml:space="preserve">En el mes de julio, continuando con  el proceso de referenciación de población a los servicios de la Secretaria Distrital de Integración Social (SDIS) y a otros servicios de entidades tanto del sector público como del privado, se hizo el registro respectivo en el formato de “Seguimiento a la referenciación de población (FOR-PSS-086)" de acuerdo con lo establecido en el procedimiento Orientación, información y referenciación (PCD-PSS-006) de la entidad.
Para el mes de julio, en el desarrollo del proceso de referenciación, se ha evidenciado una reducción en la cantidad de personas referenciadas con relación a  los meses anteriores, lo cual está asociado también a la disminución de personas atendidas en el servicio. Cabe anotar que el servicio atiende a demanda y según los beneficios disponibles y de personal para realizar dichas atenciones; para el mes de julio se presentó una disminución en la disponibilidad de beneficios y debido a la finalización de contratos se redujo la capacidad operativa en algunas localidades. Se evaluará a la luz de este panorama, cuál sería la afectación del indicador para tomar decisiones al respecto.
</t>
  </si>
  <si>
    <t>08/08/2022  No se generan observaciones respecto al análisis reportado para el seguimiento del indicador.</t>
  </si>
  <si>
    <t>08/09/2022  No se generan observaciones respecto al análisis reportado para el seguimiento del indicador.</t>
  </si>
  <si>
    <t>6/10/2022 No se generan observaciones respecto al análisis y evidencias  reportadas para el seguimiento del indicador.</t>
  </si>
  <si>
    <t>PSS-7749-002</t>
  </si>
  <si>
    <t xml:space="preserve">Familias atendidas en EDRAN social con registro de población afectada (F05), orientadas a servicios sociales </t>
  </si>
  <si>
    <t>Monitorear las orientaciones de familias atendidas en EDRAN social con registro de población afectada (F05) a servicios sociales</t>
  </si>
  <si>
    <t>Diligenciamiento correcto del formato de registro de población afectada (F05) por parte del equipo de Gestión del Riesgo</t>
  </si>
  <si>
    <t>(Número de familias atendidas en EDRAN Social con registro de población afectada (F05), orientadas a los servicios sociales en el periodo / Número de familias atendidas en EDRAN Social con registro de población afectada (F05) en el periodo) *100</t>
  </si>
  <si>
    <t>Formato de reporte de las orientaciones realizadas a las Familias atendidas en EDRAN social con registro de población afectada (F05). (Formato No controlado)
Reporte SIRBE de EDRAN Social con registro de población afectada (F05.)</t>
  </si>
  <si>
    <t>Numerador:
1. Solicitar al equipo de Gestión de Riesgo los formatos  de registro de población afectada (F05), diligenciados durante el mes.
2. Consolidar los formatos de registro de población afectada (F05) que contengan observaciones de orientación, en el Formato de reporte de las orientaciones realizadas a las Familias atendidas en EDRAN social con registro de población afectada (F05). (Formato No controlado) diligenciados durante el mes.
3. El dato se extrae del total de registros de la columna A (# FAMILIAS 
ORIENTADAS) de la base consolidada del Formato de reporte de las orientaciones realizadas a las Familias atendidas en EDRAN social con registro de población afectada (F05). (Formato No controlado).
Denominador:
4. Solicitar a la Dirección de Análisis y Diseño Estratégico -DADE- el reporte del número de familias (núcleos) atendidas en EDRAN social con registro de población afectada (F05).
Dividir el número de familias orientadas entre el número de familias atendidas en EDRAN social con registro de población afectada (F05) y multiplicar por 100.
Nota: Para el cálculo del indicador de la vigencia tanto el numerador como el denominador corresponderá a la sumatoria de los períodos.</t>
  </si>
  <si>
    <t>Base consolidada del Formato de reporte de las orientaciones realizadas a las Familias atendidas en EDRAN social con registro de población afectada (F05). (Formato No controlado)
Reporte SIRBE familias atendidas en EDRAN social con registro de población afectada (F05)</t>
  </si>
  <si>
    <t>En el mes de febrero se realizó orientación y se brindó información a familias afectadas por emergencias de origen natural o antrópico, en el marco de la Evaluación de Daños, Riesgo Asociado y Análisis de Necesidades en el ámbito social - EDRAN Social, para las que fue activada la Secretaria Distrital de Integración Social (SDIS) por el Instituto distrital de gestión de riesgo y cambio climático (IDIGER) y se les diligenció el formato de registro de población afectada (F05).
Dado que es el primer mes que se pone en funcionamiento el indicador, el equipo de Gestión del Riesgo se va adaptando gradualmente al proceso, orientando e informando a la comunidad afectada en una proporción similar, tanto para los servicios que ofrece la SDIS, como para los ofertados por otras entidades del Sistema Distrital para la Gestión de Riesgos y Cambio Climático.
Considerando que los requerimientos que plantea la resolución 0509 del 2021 al servicio, en particular el de generar respuesta integrales a la población atendida, se decide crear este indicador, el cual medirá las orientaciones que se haga a las familias atendidas y que se les haya diligenciado el formato de registro de población afectada (F05).</t>
  </si>
  <si>
    <t>Para el mes de marzo se realizó orientación a diferentes servicios sociales internos y externos a la Secretaría Distrital de Integración Social (SDIS) a 20 familias afectadas por emergencias de origen natural o antrópico, para las cuales se realizó la Evaluación de daños, riesgo asociado y análisis de necesidades en el ámbito social - EDRAN Social, con el diligenciamiento del formato de registro de población afectada (F05). El reporte de este mes muestra un ligero incremento con respecto al mes anterior lo cual constituye un dato importante que alimenta positivamente el indicador para el primer trimestre de la vigencia 2022.
El indicador PSS-7749-002 se creó con la Circular No. 007 del 28/02/2022 razón por la cual para el primer trimestre de la vigencia 2022 se reporta información acumulada de los meses febrero y marzo. Teniendo en cuenta lo anterior se reporta que para este periodo se realizó orientación a diferentes servicios sociales internos y externos a la Secretaria Distrital de Integración Social (SDIS) a 39 familias, de un total de 107 familias afectadas por emergencias de origen natural o antrópico,  para las cuales se realizó la EDRAN Social, con el diligenciamiento del formato de registro de población afectada (F05). Logrando así un 36% de avance de la meta del indicador de gestión del servicio Gestión del riesgo, este resultado indica una ligera sobre ejecución, que esta relacionada a factores como:
• El empoderamiento del equipo humano en las unidades operativas en la realización de la orientación.
• El seguimiento y acompañamiento realizado a los profesionales del servicio, por parte del equipo coordinador en relación con el diligenciamiento y consolidación de la información para el presente reporte.
• Las características particulares de las emergencias atendidas han permitido a los profesionales del servicio de Gestión del Riesgo realizar las respectivas orientaciones a las familias.</t>
  </si>
  <si>
    <t xml:space="preserve">Para el mes de mayo se realizó orientación a diferentes servicios sociales internos y externos a la Secretaría Distrital de Integración Social (SDIS) a 31 familias afectadas por emergencias de origen natural o antrópico, para las cuales se realizó la evaluación de daños, riesgo asociado y análisis de necesidades en el ámbito social - EDRAN Social, con el diligenciamiento del formato de registro de población afectada (F05). 
El equipo de Gestión del Riesgo se ha ido adaptando gradualmente al proceso, orientando e informando a la comunidad afectada, tanto para los servicios que ofrece la SDIS, como para los ofertados por otras entidades del Sistema Distrital para la Gestión de Riesgos y Cambio Climático o gestiones necesarias ante ellos.
Se presenta un incremento en el número de orientaciones realizadas a las familias atendidas en EDRAN social con respecto al mes anterior; este aumento se evaluara en el reporte de junio con respecto al reporte trimestral SIRBE de EDRAN Social con el fin identificar la tendencia que se presente en el indicador. 
</t>
  </si>
  <si>
    <t>Durante el mes de junio el cumplimiento del indicador corresponde a 11,3 %, dado que se atendió por EDRAN Social con el diligenciamiento del formato de registro de población afectada (F05) a 106 familias de las cuales se orientó e informo a 12, lo cual indica un rezago en el cumplimiento que está asociado a la atención por parte del equipo del Servicio de Gestión del Riesgo, de diversas emergencias de origen natural y antrópico y la asistencia y participación en los PMU a los que se convocó al servicio, lo que redujo los tiempos de atención específica a las familias. 
Durante el segundo trimestre de 2022, se atendió por EDRAN Social con el diligenciamiento del formato de registro de población afectada (F05) un total de 192 familias, realizando orientación e información a un total de 64 familias, con lo cual el porcentaje de seguimiento fue de 33%, que corresponde a un cumplimiento del 3 % por encima de lo programado en la meta del indicador. Este sobrecumplimiento está relacionado con:
• El empoderamiento del equipo humano en las unidades operativas en la realización de la orientación.
• El seguimiento y acompañamiento realizado a los profesionales del servicio, por parte del equipo coordinador en relación con el diligenciamiento y consolidación de la información para el presente reporte.
• Las características particulares de las emergencias atendidas han permitido a los profesionales del servicio de Gestión del Riesgo realizar las respectivas orientaciones a las familias, en particular en los meses de abril y mayo.
Este aspecto se pueda interpretar como un indicativo de fortalecimiento en la orientación e información a las familias atendidas en EDRAN Social. 
Se continúa con la orientación e información a familias a los servicios de la Secretaria Distrital de Integración Social, como a otras entidades del orden distrital. Lo anterior en concordancia con los propósitos definidos desde el servicio de Gestión del Riesgo.</t>
  </si>
  <si>
    <t xml:space="preserve">Para el mes de julio se realizó orientación e información a diferentes servicios sociales internos y externos a la Secretaría Distrital de Integración Social (SDIS) a 15 familias afectadas por emergencias de origen natural o antrópico, para las cuales se realizó la evaluación de daños, riesgo asociado y análisis de necesidades en el ámbito social - EDRAN Social, con el diligenciamiento del formato de registro de población afectada (F05). 
El equipo de Gestión del Riesgo gradualmente a ido incrementando el desarrollo del proceso, orientando e informando a la comunidad afectada y de esta forma, respecto al mes anterior, aumentó la proporción del número de orientaciones realizadas a las familias atendidas en EDRAN SOCIAL, contrastando con el número total de familias atendidas en el período reportado.
Este aumento se analizará y evaluará en el informe  trimestral SIRBE de EDRAN Social del mes de septiembre, para poder identificar la tendencia que se pueda presentar en el indicador y tomar las medidas que sean necesarias.
</t>
  </si>
  <si>
    <t>Para el mes de agosto se brinda orientación e información de diferentes servicios sociales internos y externos a la Secretaría Distrital de Integración Social (SDIS) a 32 familias afectadas por emergencias de origen natural o antrópico, para las cuales se realizó la evaluación de daños, riesgo asociado y análisis de necesidades en el ámbito social - EDRAN Social, con el diligenciamiento del formato Registro de población afectada (F05). 
El equipo de Gestión del Riesgo gradualmente ha ido incrementando el desarrollo del proceso, orientando e informando a la comunidad afectada y de esta forma, respecto al mes anterior, aumentó la proporción del número de orientaciones realizadas a las familias atendidas en EDRAN SOCIAL, contrastando con el número total de familias atendidas en el período reportado.
Como parte del fortalecimiento del proceso de orientación e información durante este mes se realizó reunión con el equipo del servicio para dar instrucciones y claridades sobre información necesaria para el reporte del indicador.
Teniendo en cuenta la tendencia de crecimiento de los reportes de orientación e información a familias afectadas por emergencias de origen natural o antrópico, para las cuales se realizó EDRAN Social; el próximo mes se analizará y evaluará que medidas se tomaran con respecto al indicador.</t>
  </si>
  <si>
    <t>Durante el mes de septiembre el cumplimiento del indicador corresponde a 42,86 %, dado que se atendió por EDRAN Social con el diligenciamiento del formato de registro de población afectada (F05) a 28 hogares de los cuales se orientó e informo a 12.
Durante el tercer trimestre de 2022, se atendió por EDRAN Social con el diligenciamiento del formato de registro de población afectada (F05) un total de 93 hogares, realizando orientación e información a un total de 59 hogares, con lo cual el porcentaje de seguimiento fue de 63,44 %, que corresponde a un cumplimiento del 111% por encima de lo programado en la meta del indicador. Este sobrecumplimiento está relacionado con:
• El empoderamiento del equipo humano en las unidades operativas en la realización de la orientación.
• El seguimiento y acompañamiento realizado a los profesionales del servicio, por parte del equipo coordinador en relación con el diligenciamiento y consolidación de la información durante los meses de julio, agosto y septiembre.
• Las características particulares del Servicio y de las emergencias atendidas han permitido a los profesionales del servicio de Gestión del Riesgo realizar las respectivas orientaciones a las familias, durante el trimestre. 
Se puede evidenciar entonces el fortalecimiento en la orientación e información a los hogares atendidos con la EDRAN Social. 
Para el primer trimestre se logró un 36% de cumplimiento, para el segundo trimestre se logró un 33% y para el tercer trimestre se logró un 63% de cumplimiento. Teniendo en cuenta la tendencia de crecimiento de los reportes trimestrales, se concluye la necesidad de tramitar actualización de la meta del indicador.”</t>
  </si>
  <si>
    <t>PSS-7752-001</t>
  </si>
  <si>
    <t>Casos atendidos oportunamente en los Centros Proteger</t>
  </si>
  <si>
    <t xml:space="preserve">Medir la oportunidad de la atención a casos en los Centros Proteger, de acuerdo a la normatividad vigente aplicable, con el fin de garantizar la protección de los Niños, Niñas y adolescentes. </t>
  </si>
  <si>
    <t>Registro oportuno de datos en el sistema de información.</t>
  </si>
  <si>
    <t xml:space="preserve">(Número de casos atendidos oportunamente en Centros Proteger / Número total de casos recibidos en Centros Proteger) * 100 </t>
  </si>
  <si>
    <t>Herramienta para registro y seguimiento de los niños y niñas en los Centros Proteger</t>
  </si>
  <si>
    <r>
      <t xml:space="preserve">El valor del numerador se toma de los casos a los cuales se les da cierre en los 6 primeros meses, lo cual ha sido definido como criterio interno en el servicio teniendo en cuenta que los procesos de restablecimiento de derechos, según la normatividad vigente pueden tener una duración de hasta 18 meses, tal valor se compara con el numero total de casos recibidos en el periodo y que están registrados en la herramienta de registro. 
Se entiende por oportunidad el periodo comprendido entre el momento en que se conoce el caso, hasta el momento en que el equipo psicosocial entrega el informe de cambio de medida, el cual puede sugerir el egreso o reintegro a medio familiar, la adaptabilidad o el mantenimiento de la medida de ubicación institucional.
Esta información se toma de la herramienta de control de permanencia que se tiene al interior de la Subdirección para la Familia y con la que adicionalmente se hace seguimiento a los tiempos de permanencia y estado de casos en atención en los Centros Proteger.
</t>
    </r>
    <r>
      <rPr>
        <sz val="9"/>
        <color rgb="FF7030A0"/>
        <rFont val="Arial"/>
        <family val="2"/>
      </rPr>
      <t xml:space="preserve">
</t>
    </r>
    <r>
      <rPr>
        <sz val="9"/>
        <rFont val="Arial"/>
        <family val="2"/>
      </rPr>
      <t>Nota: el resultado del indicar al final de la vigencia será acumulado.</t>
    </r>
  </si>
  <si>
    <t>Informe parcial de atención a niños y niñas con corte a la fecha</t>
  </si>
  <si>
    <t>15/03/2022 Revisar, debido a que el indicador es semestral no se debe reportar avance cuantitativo pero si cualitativo.
16/03/2022 No se generan más observaciones respecto al análisis reportado para el seguimiento del indicador.</t>
  </si>
  <si>
    <t>En los Centros Proteger se ha dado continuidad a la atención de niños,  niñas  y sus familias en el marco de la protección integral. Durante el mes de febrero de 2022 se dio continuidad a la modalidad de atención integral de niños y niñas con medida de ubicación institucional atendiendo el 100% de niños y niñas remitidos por autoridad competente. 
Durante este mes se atendieron un total de 192 niñas y niños en los Centros Proteger, en coherencia con los lineamientos establecidos,  garantizando el restablecimiento de los de derechos de las niñas y niños que ingresan con medida de ubicación institucional al servicio, en una apuesta inter disciplinar se desarrollan procesos de intervención y acompañamiento con el propósito de crear y fortalecer capacidades de las familias.
Fueron reintegrados a su medio familiar un total de 15 niños y niñas lo cual muestra el trabajo de los equipos interdisciplinarios, se realizaron 25 egresos en los 6 Centros Proteger, de igual forma se han movilizado los casos de los niños y niñas que se encuentran con medida de ubicación institucional de acuerdo con su problemática específica y se han activado las redes familiares, sociales e institucionales de apoyo que se han requerido en cada caso particular.</t>
  </si>
  <si>
    <t>15/03/2022 Revisar, debido a que el indicador es semestral no se debe reportar avance cuantitativo. Adicionalmente se recomienda emplear la estructura sugerida para realizar el análisis mensual, por lo que se sugiere ser mas precisos en la información presentada.
16/03/2022 No se generan más observaciones respecto al análisis reportado para el seguimiento del indicador.</t>
  </si>
  <si>
    <t>En los Centros Proteger se ha dado continuidad a la atención de niños,  niñas  y sus familias en el marco de la protección integral. Durante los meses de enero, febrero y marzo de 2022 se dio continuidad a la modalidad de atención integral de niños y niñas con medida de ubicación institucional atendiendo el 100% de niños y niñas remitidos por autoridad competente. 
Durante los meses de enero, febrero y marzo de 2022 se atendieron un total de 192 niñas y niños en los Centros Proteger, en coherencia con los lineamientos establecidos,  garantizando el restablecimiento de los de derechos de las niñas y niños que ingresan con medida de ubicación institucional al servicio, en una apuesta inter disciplinar se desarrollan procesos de intervención y acompañamiento con el propósito de crear y fortalecer capacidades de las familias.
Fueron reintegrados a su medio familiar un total de 15 niños y niñas lo cual muestra el trabajo de los equipos interdisciplinarios, se realizaron 25 egresos en los 6 Centros Proteger, de igual forma se han movilizado los casos de los niños y niñas que se encuentran con medida de ubicación institucional de acuerdo con su problemática específica y se han activado las redes familiares, sociales e institucionales de apoyo que se han requerido en cada caso particular.</t>
  </si>
  <si>
    <t>08/04/2022 Se recomienda revisar el análisis suministrado, ya que se debe reportar solamente el análisis mensual, es decir, marzo. Adicionalmente verificar las cifras y la información, ya que es muy similar  a la reportada en febrero.
13/04/2022 No se generan más observaciones respecto al análisis reportado para el seguimiento del indicador.</t>
  </si>
  <si>
    <t xml:space="preserve">Durante el mes de abril de 2022, en los Centros Proteger se ha dado continuidad a la atención integral a niñas y niños con medida de ubicación institucional, atendiendo el 100% de niñas y niños remitidos por autoridad competente. En este periodo y en coherencia con los lineamientos establecidos,  se garantizó el restablecimiento de los de derechos de las niñas y niños que ingresan con medida de ubicación institucional al servicio, se realizó movilización de los casos y activación de las redes familiares, sociales e institucionales de apoyo que se han requerido en cada caso particular.
Así mismo, durante el mes de abril se dio continuidad a procesos de intervención y acompañamiento a las familias de acuerdo con su problemática específica con el propósito de crear y fortalecer  capacidades de cuidado y protección de sus hijas e hijos, lo que permitió el reintegro de  niñas y niños a su medio familiar evidenciando el trabajo de los equipos interdisciplinarios  y el avance  los procesos corresponsables que se adelantan con las familias. </t>
  </si>
  <si>
    <t xml:space="preserve">
06/05/2022 No se generan más observaciones respecto al análisis reportado para el seguimiento del indicador.</t>
  </si>
  <si>
    <t xml:space="preserve">Durante el mes de mayo de 2022, en los Centros Proteger se ha dado continuidad a la atención integral a niñas y niños con medida de ubicación institucional, atendiendo el 100% de niñas y niños remitidos por autoridad competente. En este periodo y en coherencia con los lineamientos establecidos,  se garantizó el restablecimiento de los de derechos de las niñas y niños que ingresan con medida de ubicación institucional al servicio, se realizó movilización de los casos y activación de las redes familiares, sociales e institucionales de apoyo que se han requerido en cada caso particular.
Así mismo, durante el mes de mayo se dio continuidad a procesos de intervención y acompañamiento a las familias de acuerdo con su problemática específica con el propósito de crear y fortalecer  capacidades de cuidado y protección de sus hijas e hijos, lo que permitió el reintegro de  niñas y niños a su medio familiar evidenciando el trabajo de los equipos interdisciplinarios  y el avance  los procesos corresponsables que se adelantan con las familias. </t>
  </si>
  <si>
    <t xml:space="preserve">
08/06/2022 No se generan más observaciones respecto al análisis reportado para el seguimiento del indicador.</t>
  </si>
  <si>
    <t>Durante el mes de julio de 2022, en los Centros Proteger se ha dado continuidad a la atención integral a niñas y niños con medida de ubicación institucional, atendiendo el 100% de niñas y niños remitidos por autoridad competente (Comisario (a) de Familia / Defensor  (a) de Familia). En este mismo periodo, se han atendido a las familias de las niñas y los niños que se encuentran con medida de ubicación institucional,  avanzando en la creación de entornos protectores que garanticen que las niñas y los niños permanezcan en prevalencia de derechos y no reingresen a los sistemas de protección.
Se realizó movilización de los casos y activación de las redes familiares, sociales e institucionales de apoyo que se han requerido en cada caso particular. 
De igual manera, se dio continuidad a procesos de intervención y acompañamiento a las familias de acuerdo con su problemática específica con el propósito de crear y fortalecer capacidades de cuidado y protección de sus hijas e hijos, lo que permitió el reintegro de  niñas y niños a su medio familiar evidenciando el trabajo de los equipos interdisciplinarios  y el avance  los procesos corresponsables que se adelantan con las familias. 
Así mismo ha dado continuidad al trabajo de actualización de estándares a la fecha se cuenta con un documento preliminar de anexo técnico de los estándares de calidad de los Centros Proteger.</t>
  </si>
  <si>
    <t xml:space="preserve">
05/08/2022 No se generan más observaciones respecto al análisis reportado para el seguimiento del indicador.</t>
  </si>
  <si>
    <t>Durante el mes de agosto de 2022, en el servicio de Centros Proteger, se dio continuidad a la atención integral a niñas y niños con medida de ubicación institucional, atendiendo el 100% de niños remitidos por autoridad competente (Comisario (a) de Familia o Defensor (a) de Familia). En este periodo y en coherencia con los lineamientos establecidos, se garantizó el restablecimiento de los de derechos de las niñas y niños que ingresan con medida de ubicación institucional al servicio, los equipos interdisciplinarios desarrollaron planes de acción para cada caso en el marco de la atención integral, la prevalencia de derechos y el interés superior.  
Así mismo, se dio continuidad a procesos de intervención y acompañamiento a las familias de acuerdo con su problemática específica con el propósito de crear y fortalecer capacidades de cuidado y protección de sus hijas e hijos, lo que permitió avanzar en la disminución de los tiempos de institucionalización, el reintegro familiar y la minimización  de los reingresos al sistema de protección, evidenciando el trabajo de los equipos interdisciplinarios  y el avance  los procesos corresponsables que se adelantan con las familias. De igual manera se realizó activación de las redes familiares, sociales e institucionales de apoyo que se han requerido en cada caso particular, propendiendo por la creación de entornos protectores que garanticen que las niñas y los niños permanezcan en prevalencia de derechos.</t>
  </si>
  <si>
    <t xml:space="preserve">
08/09/2022 No se generan más observaciones respecto al análisis reportado para el seguimiento del indicador.</t>
  </si>
  <si>
    <t>PSS-7753-001</t>
  </si>
  <si>
    <t>Circular Nº 29 del 26/09/2022</t>
  </si>
  <si>
    <t>Asistencia de jóvenes a sesiones grupales e individuales de las Salas de Escucha-Siente tu sexualidad.</t>
  </si>
  <si>
    <t>Crear una convocatoria y atención que atraiga a las y los jóvenes a participar, para que una vez programados, asistan a las sesiones grupales e individuales de las Salas de Escucha-Siente tu sexualidad.</t>
  </si>
  <si>
    <t>(Número de jóvenes  atendidos en sesiones  de las Salas de Escucha-Siente tu sexualidad/ Número de jóvenes programados para ser atendidos en las Salas de Escucha-Siente tu sexualidad) *100</t>
  </si>
  <si>
    <t xml:space="preserve">
1. Listado de asistencia (donde los jóvenes participan en toda la jornada) con información básica 
</t>
  </si>
  <si>
    <r>
      <t>El numerador corresponde al número de jóvenes atendidos</t>
    </r>
    <r>
      <rPr>
        <sz val="9"/>
        <color rgb="FF7030A0"/>
        <rFont val="Arial"/>
        <family val="2"/>
      </rPr>
      <t xml:space="preserve">,  </t>
    </r>
    <r>
      <rPr>
        <sz val="9"/>
        <rFont val="Arial"/>
        <family val="2"/>
      </rPr>
      <t xml:space="preserve">entendiendo como las y los jóvenes que asisten al menos a una sesión </t>
    </r>
    <r>
      <rPr>
        <sz val="9"/>
        <color rgb="FF7030A0"/>
        <rFont val="Arial"/>
        <family val="2"/>
      </rPr>
      <t>a</t>
    </r>
    <r>
      <rPr>
        <sz val="9"/>
        <rFont val="Arial"/>
        <family val="2"/>
      </rPr>
      <t xml:space="preserve"> las Salas de Escucha-Siente tu sexualidad, a través del dato que aporta el listado de asistencia con la información básica de las y los jóvenes
El denominador corresponde a la totalidad de jóvenes que se programaron para ser atendidas/os en las Salas de Escucha-Siente tu sexualidad durante la vigencia.</t>
    </r>
  </si>
  <si>
    <t>1. Listados de asistencia con información básica 
2. Matriz Excel con información
3. Memoria de la sala de escucha</t>
  </si>
  <si>
    <t>Durante el mes de septiembre se oficializó el indicador de gestión para reportar con corte 31 de diciembre, y con este fin se realizaron las siguientes acciones para cumplir con la meta establecida:
1. Reunión con el equipo que realiza las casas de escucha para esclarecer la forma de reportar la información y recolectar los soportes para el indicador de gestión.
2. Se programan 2 Salas de escucha en octubre y 1 en noviembre.
3. Se crea carpeta de soportes donde se encuentran los resultados previos a la creación del indicador.</t>
  </si>
  <si>
    <t xml:space="preserve">10/04/2022: Se recomienda realizar el análisis cualitativo del indicador en el mes de septiembre, esto debido que es el mes en el que se aprobó dicho indicador.
Por otro lado se recomienda que el reporte cuantitativo se realice en el mes de diciembre, debido a que la periodicidad de este es semestral.
12/10/2022:  No se generan más observaciones respecto al análisis reportado para el seguimiento del indicador
</t>
  </si>
  <si>
    <t>PSS-7756-003</t>
  </si>
  <si>
    <t>Nivel de atenciones en el componente de orientación psicosocial individual del servicio social Casas LGBTI</t>
  </si>
  <si>
    <t>Monitorear el nivel de atenciones realizadas en el componente de orientación psicosocial individual del servicio social Casas LGBTI, en el marco del Plan de Atención Integral del servicio, con la finalidad de evidenciar la gestión del equipo psicosocial.</t>
  </si>
  <si>
    <t xml:space="preserve">Diligenciamiento adecuado del instrumento Seguimiento psicosocial (FOR-PSS-424) que acompaña el  Plan de Atención Integral. </t>
  </si>
  <si>
    <t>(Número de personas con más de una atención en el componente de orientación psicosocial individual del servicio Casas LGBTI / Número de personas LGBTI que cuentan con una atención en el componente de orientación psicosocial individual del servicio Casas LGBTI) * 100</t>
  </si>
  <si>
    <t xml:space="preserve">Registro del Seguimiento psicosocial (FOR-PSS-424) que soportan las atenciones realizadas en el componente de orientación psicosocial individual del servicio Casas LGBTI.
</t>
  </si>
  <si>
    <t>1. Cada equipo psicosocial debe diligenciar el formato Seguimiento psicosocial (FOR-PSS-424) de manera mensual.
2. Mensualmente, la coordinadora del componente de orientación psicosocial individual consolida en un solo archivo el seguimiento de las atenciones.
3. Para obtener el denominador, la gestora de la dependencia del SG identifica el número de personas que cuentan con una atención en el componente de orientación psicosocial individual. Y para calcular el numerador, debe verificar el número de personas con más de una atención en el mismo componente.
Nota: el reporte acumulado corresponde a la suma de los valores reportados de manera mensual.</t>
  </si>
  <si>
    <t xml:space="preserve">Registro del Seguimiento psicosocial (FOR-PSS-424), con tabla resumen del resultado y análisis gráfico de la información. 
</t>
  </si>
  <si>
    <t>PSS-7757-001</t>
  </si>
  <si>
    <t>Circular N° 010 del 31/03/2022</t>
  </si>
  <si>
    <r>
      <t xml:space="preserve">Personas en riesgo de habitar la calle atendidas mediante la </t>
    </r>
    <r>
      <rPr>
        <sz val="9"/>
        <color theme="1"/>
        <rFont val="Arial"/>
        <family val="2"/>
      </rPr>
      <t>estrategia de prevención de la habitabilidad en calle</t>
    </r>
  </si>
  <si>
    <t>Medir el número de personas en riesgo de habitar calle identificadas y atendidas mediante la estrategia de prevención de la habitabilidad en calle, a fin de generar insumos con miras a optimizar la ruta para su abordaje.</t>
  </si>
  <si>
    <t>Identificación del nivel de riesgo de las personas vinculadas en la estrategia de prevención
Gestión de los recursos necesarios para la atención de las personas identificadas.</t>
  </si>
  <si>
    <t>(Número de personas en riesgo de habitar la calle atendidas mediante la estrategia / Número de personas  en riesgo de habitar la calle identificadas para ser atendidas mediante la estrategia) * 100</t>
  </si>
  <si>
    <t xml:space="preserve">
Base de datos de personas en riesgo atendidas  
Base de datos instrumento de tamizaje</t>
  </si>
  <si>
    <t>El valor del numerador corresponde al número de personas en riesgo de habitar la calle atendidas mediante la estrategia de prevención de la habitabilidad en calle. Este valor se encuentra registrado en la base de datos que administra la Subdirección para la Adultez.
El denominador hace referencia al número de personas en riesgo de habitar la calle identificadas para ser atendidas mediante la estrategia de prevención de la habitabilidad en calle. Este valor se encuentra detallado en la base de datos del instrumento de tamizaje.
Nota: el reporte acumulado corresponde al resultado obtenido al final de la vigencia, que reúne los datos recopilados a lo largo de la misma.</t>
  </si>
  <si>
    <t>Reporte de las personas atendidas en el periodo vs las personas identificadas mediante la herramienta de tamizaje.</t>
  </si>
  <si>
    <t>Para el mes de marzo y como reporte del primer trimestre del 2022, se obtiene un 92% de cumplimiento del indicador, traducido en cuarenta y nueve (49) personas en riesgo de habitar la calle atendidas mediante la estrategia, de un potencial de cincuenta y tres (53) personas identificadas en riesgo de habitar la calle. 
Lo anterior se obtiene mediante la consolidación de equipos territoriales por zonas sociales con enfoque interdisciplinar y las actividades de impacto realizadas a nivel distrital que produjeron un reconocimiento desde lo comunitario, social e institucional, permitiendo la ampliación de escenarios y el aumento en la identificación de personas en riesgo. Con estos aspectos se amplía la gama de posibilidades para la generación de oportunidades y diversificación de la oferta institucional pública y privada para la atención integral de la población.   
Teniendo en cuanta que, la meta del indicador es del 98% y cumplido el primer trimestre del año, nos encontramos seis (6) puntos porcentuales por debajo de la meta proyectada, con una tendencia anual constante.
Esta situación se origina por la dinámica en los factores de riesgo de habitabilidad en calle durante el trimestre, obteniendo mayor incidencia en aspectos relacionados con lo individual, familiar y de contexto, evidenciando que en la población de personas mayores predominan aspectos relacionados con presencia de ideas y pensamientos de baja probabilidad que la situación de vulnerabilidad mejore, percepción de disminución en las habilidades físicas y cognitivas, además de sentimiento de desprotección o abandonado por referentes que, en algunos caso, obedece a la pérdida de seres significativos por fallecimiento. Aunado a ello, hay desconocimiento de las entidades sociales y gubernamentales que pueden generar apoyo en situaciones de vulnerabilidad, por lo que la tendencia a gestionar apoyos y redes es escasa.</t>
  </si>
  <si>
    <t>11/04/2022 No se generan observaciones respecto al análisis y evidencias reportadas para el seguimiento del indicador.</t>
  </si>
  <si>
    <t>Para el mes de abril de se consolidan los equipos territoriales por zonas sociales con enfoque interdisciplinar, además se realizan actividades de impacto, a nivel Distrital, que lograron un reconocimiento desde lo comunitario, social e institucional. Lo anterior permitió la ampliación de escenarios y un incremento en la identificación de personas en riesgo potencial, ampliando el espectro de posibilidades para la generación de oportunidades y la diversificación en la oferta institucional pública y privada para la atención integral de la población identificada.
De otro lado y en lo referente a la dinámica de los factores de riesgo de habitabilidad en calle, para este periodo se acentuaron factores relacionados con lo individual, familiar y de contexto, mostrando una tendencia que involucra a la población de personas mayores, donde predominan aspectos de baja tolerancia a la frustración y baja autoestima, generando que tengan necesidades básicas insatisfechas y fragilidad de redes de apoyo, además de sentimiento de desprotección o abandonado por referentes. Además de lo anterior, se evidencia que hay desconocimiento de las entidades sociales y gubernamentales que puedan generar apoyo a situaciones de vulnerabilidad, por lo que la tendencia a gestionar apoyos y redes es escasa.</t>
  </si>
  <si>
    <t>Cumplido el segundo trimestre de la vigencia, se puede evidenciar que el resultado del indicador es del 93%, a 5 puntos porcentuales de cumplir la meta programada. Esto se traduce en que, en lo corrido del año se han identificado 122 personas en riesgo de habitar la calle, de las cuales se han atendido mediante la estrategia 113. Por lo anterior y teniendo en cuenta que hay un ligero incremento con respecto al trimestre anterior, se hace necesario intensificar y fortalecer las actividades adelantadas por el equipo interdisciplinar de abordaje en territorio. 
Si bien se continúa trabajando en el desarrollo de redes y entornos protectores que mitiguen los factores de riesgo y puedan generar acercamiento a la vida en calle, mediante la identificación y caracterización de la población, impactando positivamente para lograr el objetivo del indicador, este aspecto debe redundar con un mayor acercamiento de la población vulnerable, logrando que se adhieran e inicien proceso de atención mediante la estrategia.
Otra aspecto al que se le ha dado mayor énfasis durante este periodo, en cuanto a la dinámica de los factores de riesgo de habitabilidad en calle, tiene que ver con lo individual, familiar y de contexto en cada zona social, además de las acciones desde los enfoques de género y diferencial que se realizan desde territorio</t>
  </si>
  <si>
    <t>08/07/2022 No se generan observaciones respecto al análisis reportado para el seguimiento del indicador.</t>
  </si>
  <si>
    <t xml:space="preserve">En mes de julio, el equipo interdisciplinar continuó con la realización de actividades de abordaje territorial para la identificación de personas en riesgo bajo, medio y alto, mediante la aplicación y análisis de instrumentos de tamizaje, que permitieron definir el resultado y activación de rutas cuando así se determinó. 
En coherencia a lo anterior fueron aplicados cuatro (4) instrumentos de tamizaje, mediante los cuales se identificó a tres (3) ciudadanos que se encuentran en riesgo alto y una (1) persona en riesgo medio. Mediante una gestión asertiva se obtuvo que los cuatro (4) ciudadanos aceptaron el ingreso a ruta de atención, fortaleciendo el acercamiento a la población y la adherencia a los procesos. </t>
  </si>
  <si>
    <t>11/08/2022 No se generan observaciones respecto al análisis reportado para el seguimiento del indicador.</t>
  </si>
  <si>
    <t xml:space="preserve">En lo corrido del mes de agosto, el equipo interdisciplinar continuó realizando actividades de abordaje territorial para la identificación de personas tipificadas en riesgo bajo, medio y alto, mediante la aplicación y análisis de instrumentos de tamizaje, que permitieron definir el resultado y activación de rutas cuando se consideró pertinente. 
Estos instrumentos permitieron determinar una clasificación, agrupando a los ciudadanos en riesgo alto y riesgo medio, logrando también determinar cuántos y cuáles personas aceptaron el ingreso a ruta de atención, fortaleciendo el acercamiento a la población y la adherencia a los procesos. 
</t>
  </si>
  <si>
    <t xml:space="preserve">Entre enero y septiembre de 2022, el equipo interdisciplinario realizó actividades de abordaje territorial con miras a la identificación de personas en riesgo de habitar la calle, aplicando el instrumento construido para el tamizaje de los niveles de riesgo. 
Se activaron rutas de atención a las y los ciudadanos abordados, según su interés y necesidades.
Con corte a septiembre se aplicó el instrumento de tamizaje a 159 personas, de las cuales 139 aceptaron la incorporación a rutas de atención. Si bien esto arroja un nivel de avance satisfactorio en el indicador, se evaluarán los resultados obtenidos a fin de determinar posibles medidas complementarias para mantener el desempeño en nivel sobresaliente.
</t>
  </si>
  <si>
    <t>10/10/2022 No se generan observaciones respecto al análisis reportado para el seguimiento del indicador.</t>
  </si>
  <si>
    <t>7757 - Implementación de estrategias y servicios integrales para el abordaje del fenómeno de habitabilidad en calle en Bogotá</t>
  </si>
  <si>
    <t>PSS-7757-002</t>
  </si>
  <si>
    <t xml:space="preserve">Ciudadanas y ciudadanos habitantes de calle atendidos mediante Planes de Atención Individual para el Desarrollo de Capacidades </t>
  </si>
  <si>
    <t>Medir el número de personas habitantes de calle atendidas mediante Planes de Atención Individual para el Desarrollo de Capacidades, a fin de generar insumos con miras a la optimización de la estrategia de abordaje en calle.</t>
  </si>
  <si>
    <t>Identificación de las ciudadanas y ciudadanos habitantes de calle para su atención mediante los planes de atención.</t>
  </si>
  <si>
    <t>(Número de personas atendidas mediante los planes de atención individual para el desarrollo de capacidades / Número de personas identificadas como potenciales para ser atendidas mediante los planes de atención individual para el desarrollo de capacidades) * 100</t>
  </si>
  <si>
    <t>Registro Ruta Individual de Derechos en SIRBE
Base de datos instrumento de identificación para planes de atención individual para el desarrollo de capacidades de la Subdirección para la Adultez</t>
  </si>
  <si>
    <t>Para el cálculo del número de ciudadanas y ciudadanos habitantes de calle atendidos en la Ruta Individual de Derechos (numerador) se deben consultar las personas únicas atendidas teniendo en cuenta el tipo de actuación de estado "2 INTERVENCION" durante el periodo de consulta, realizando la misma de la siguiente manera: 1. Ingresar a la herramienta SIRBE, pestaña superior "consulta" seleccionar "estado y actuaciones", luego seleccionar "consulta de actuaciones" 2. Definir el proyecto, modalidad Contacto y atención en calle- submodalidad Ruta Individual de derechos-RID, 3. Los campos siguientes de SLIS, CDS, localidad donde vive el beneficiario y filtro por actuaciones se dejan en blanco y solo se diligenciará la fecha inicial y la fecha final. 4. Se seleccionan las variables básicas necesarias, teniendo en cuenta nombre corto CDS para definir localidad y actuación. Sin embargo, para este conteo solo se filtrarán las actuaciones de Acompañamiento al proceso, Compromiso a derechos, Seguimiento a derechos. 5. Seleccionar Generar y exportar, comparado con el número de ciudadanas y ciudadanos habitantes de calle registrados en la base de datos del instrumento de identificación de la subdirección.
Esta información se divide entre la información suministrada por la Subdirección para la Adultez en la base de datos de identificación de posibles Planes de Atención Individual para el Desarrollo de Capacidades (denominador), la cual se recopila mediante la aplicación del formato Plan de Atención individual (FOR-PSS-128). A través de este instrumento se identifican las y los potenciales participantes en Planes de atención Individual para el Desarrollo de Capacidades (PIDC).
Nota: el reporte acumulado corresponde al resultado obtenido al final de la vigencia, que reúne los datos recopilados a lo largo de la misma.</t>
  </si>
  <si>
    <t>Reporte de las personas atendidas mediante los planes de atención individual para el desarrollo de capacidades vs personas identificadas como potenciales.</t>
  </si>
  <si>
    <t xml:space="preserve">Iniciando la medición de este indicador para la vigencia 2022, durante el mes de enero realizó seguimiento a los procesos establecidos con ciudadanas y ciudadanos habitantes de calle vinculados al Planes de atención Individual para el Desarrollo de Capacidades - PIDC durante el año 2021. Para ello, se realizó articulación con el eje de ampliación de capacidades y generación de oportunidades, en dos áreas fundamentales: el desarrollo de estudios de básica primaria y bachillerato, y la formación a nivel laboral. Así mismo, se adelantaron acciones conjuntas e interinstitucionales con la SDS para la atención en salud, en su mayoría por especialidades y con las registradurías locales para el proceso de identificación plena y tramite de solicitud de contraseña. Estos llevaron a cabo aportes valiosos para la atención integral de las personas vinculadas a PIDC, acompañándolas en el cumplimento de sus objetivos de trabajo.  
Por su parte, el equipo interdisciplinario brindó acompañamiento y orientación a nivel individual y grupal para el manejo de emociones, el fortalecimiento de redes familiares y sociales, así como a la mitigación de daños asociados a la vida en calle. Es importante resaltar que se ha logrado que, desde calle los ciudadanos y las ciudadanas habitantes de calle tomen la decisión de iniciar procesos institucionalizados para la deshabituación de la vida en calle y el fortalecimiento de un nuevo proyecto de vida, llevando a cabo el traslado de personas a la Comunidad de Vida El Camino y al Centro de Desarrollo Integral y Diferencial -Proyecto de Vida (CEDID-PV). </t>
  </si>
  <si>
    <t>Para el mes de febrero se continuó con la aplicación del instrumento de identificación de posibles planes de atención (PIDC). Lo anterior posibilitó la identificación de nuevas ciudadanas y ciudadanos habitantes de calle, para el desarrollo de sus capacidades y focalizar las acciones en los diferentes territorios. Durante este periodo de tiempo también se detectó que la gran mayoría de las atenciones ejecutadas correspondieron a personas de género masculino y por lo tanto, una minoría correspondió al género femenino. Así mismo, se evidenció participación comparativamente mayor en los planes de atención individual para el desarrollo de capacidades, por cuanto refiere a la población ubicada en la zona social del norte de la ciudad y un aumento significativo de la participación en la zona occidente.</t>
  </si>
  <si>
    <t>Durante este trimestre se inició con la identificación de posibles ciudadanos y ciudadanas habitantes de calle que evidenciaron interés por iniciar un proceso, dentro del plan de atención individual para el desarrollo de capacidades PIDC, a quienes se les realizó seguimiento y orientación desde el territorio, para evaluar el ejercicio de compromiso y corresponsabilidad. 
Así mismo, respondiendo a los perfiles ocupacionales que se llevaron a cabo en las localidades, se identificaron ciudadanos habitantes de calle que mostraron interés por culminar sus estudios de formación básica. Sin embargo, debido a que los colegios cercanos ya iniciaron ciclos y CIPREIA tiene inscripciones en el mes de junio, se realizan compromisos para iniciar estudios en el mes de junio y se llevarás a cabo acompañamientos en el desarrollo de capacidades cognitivas, que permitan crear hábitos de estudio y favorecer funciones ejecutivas. 
La medición de este indicador nos permite evidenciar un rezago del 20%, frente a la meta fijada en 70%, con una tendencia anual constante. Lo anterior obedece a la escasa identificación de personas potenciales para ser atendidas, situación que dificultó lograr una eficiencia en la atención mediante los planes de atención individual para el desarrollo de capacidades.
Sin embargo, se realiza articulación con los Centros Transitorios de Cuidado al Carretero que lidera la Unidad Administrativa Especial de Servicios Públicos – UAESP en las localidades de Los Mártires y Puente Aranda, en donde se acuerda realizar Jornadas móviles de Autocuidado y escucha activa. Además, se logra vincular en las Jornadas móviles de Autocuidado y escucha activa, a las Personerías locales y la oferta de los servicios brindados en las Casas de la Igualdad. Estos aspectos aportarán en la identificación de las ciudadanas y ciudadanos habitantes de calle para su atención mediante los planes de atención, siendo este el factor crítico de éxito para el indicador.</t>
  </si>
  <si>
    <t xml:space="preserve">Durante el periodo de corte hubo avance en la identificación de posibles ciudadanos y ciudadanas habitantes de calle que evidencian interés por iniciar un proceso, dentro del marco de plan de atención individual para el desarrollo de capacidades PIDC, a quienes se les realizó seguimiento y orientación desde territorio, para controlar aspectos tales como compromiso y corresponsabilidad.
Por otro lado, respondiendo a los perfiles ocupacionales que se llevaron a cabo en las localidades durante el mes de abril, se identificaron avances en la modificación de habititos y mitigación de consumo de sustancias psicoactivas debido a la generación de compromisos educativos. Adicionalmente el proceso evidenciado en la población permite la restitución de redes familiares y apoyo en las y los ciudadanos habitantes de calle. 
En consecuencia a lo antes mencionado, se realizó articulación con los Centros Transitorios de Cuidado al Carretero que lidera la Unidad Administrativa Especial de Servicios Públicos – UAESP en las localidades de Los Mártires y Puente Aranda, en donde se acuerda la realización de Jornadas móviles de Autocuidado y escucha activa. 
</t>
  </si>
  <si>
    <t>Durante el mes de mayo se avanzó en la identificación de posibles ciudadanos y ciudadanas habitantes de calle que evidencian interés por iniciar un proceso dentro del marco de plan de atención individual para el desarrollo de capacidades - PIDC, a quienes se les realiza seguimiento y orientación desde territorio, para evaluar el ejercicio de compromiso y corresponsabilidad.
De otro lado, con lo que respecta a los perfiles ocupacionales que se llevaron a cabo en las localidades previamente, se evidenciaron avances en la vinculación de acciones socio ocupacionales en torno a la educación, las cuales promueven la apertura al cambio, motivan a los ciudadanos y ciudadanas a fomentar la búsqueda del mejoramiento de la calidad de vida y el desarrollo personal, así mismo, fortalecen sus capacidades de atención y memoria. 
En este mismo sentido, el tiempo empleado en la realización de las guías lo encuentran valioso en tanto son acciones productivas en términos de adquisición de saberes. Las rutinas estructuradas favorecen las dinámicas para el aprovechamiento del tiempo, siendo recomendable y necesario continuar el fortalecimiento habitacional de los ciudadanos y ciudadanas habitantes de calle. 
En coherencia a lo anterior, se realizaron acciones socio ocupacionales enfocadas en educación mediante la realización de actividades preparatorias de lector-escritura para una ciudadana que ingresará a CIPREIA a culminar su formación básica, brindándole orientaciones ante dificultades en el aprendizaje especialmente en memoria operativa y resolución de problemas, además se le comparte y socializa material de estudio, el cual permite promover el análisis de lectura, la estructura en la rutina de estudio y favorece el aprovechamiento del tiempo.
Para este periodo de tiempo reportado, también se acuerda la realización de jornadas móviles de autocuidado y escucha activa, mediante la articulación institucional e interinstitucional, específicamente con la Subdirección local de Integración Social de la localidad de Usaquén-servita, Estación de bomberos de la localidad de Chapinero, CAI rincón de la localidad de Suba, cl 60 kr 18 parque san Luis en la localidad de Teusaquillo y en el colegio república de panamá en la localidad de Barrios Unidos, Unidades de Protección Integral – Perdomo en la localidad de Ciudad Bolívar, Instituto nacional de cancerología en la Localidad de San Cristóbal, Salón comunal barrio la Andrea y Villas de Cafam de la Localidad de Usme, Salón comunal del barrio San Carlos de la localidad de Tunjuelito y la bahía vehicular de la subdirección local para la integración social de la localidad de Rafael Uribe Uribe, Parque la Serena en la Calle 90 A # 85- 70 en la localidad de Engativá, Subdirección local de integración social de Fontibón en la Cra. 104 b # 22 j15, Parque Cayetano cañizares, puerta 7 de abastos y Centro transitorio de cuidado al carretero en la localidad de Kennedy y en la Casa de la juventud barrio laureles Cr 81 b No 73 a 64 sur de la localidad de Bosa, CAI la Valvanera ubicado en la Cl 29 Sur 25- 42 y CAI Restrepo ubicado en la Dg 12 Sur No. 16 -50 de la localidad de Antonio Nariño, Parque El Consuelo ubicado en la Cl 1 B Bis No. 9 Este en la localidad de la Candelaria, Centro transitorio de ciudadanos carreteros DG 19D#39 04 – CTCC en la localidad de Puente Aranda, en la Cl 4 Cra 10a en la localidad de Santa fe y en Fundación  Procrear - CL 21 KR 16 A.</t>
  </si>
  <si>
    <t>08/06/2022 Para los siguientes reportes se recomienda ser más precisos en el análisis, empleando la estructura sugerida la cual se encuentra descrita en el procedimiento Formulación y seguimiento a indicadores de gestión (PCD-SG-002)
No se generan más observaciones respecto al análisis reportado para el seguimiento del indicador.</t>
  </si>
  <si>
    <t>Con corte al mes de junio de 2022, el equipo territorial avanzó en los procesos de identificación de ciudadanos y ciudadanas habitantes de calle que demostraron interés en iniciar procesos de atención individual para el desarrollo de capacidades PIDC en el marco de la estrategia. 
Es así como para el segundo trimestre obtenemos una medición del 82% para el presente indicador, superando la meta proyectada. Esta medición es consistente con la importante gestión interinstitucional que se viene adelantando a lo largo del primer semestre del año, logrando una estrecha y favorable respuesta por parte de las ciudadanas y ciudadanos habitantes de calle que son atendidos mediante Planes de Atención Individual para el Desarrollo de Capacidades. 
Se observa que de 17 personas identificadas como potenciales para ser atendidas, 14 de ellas llegaron a ser atendidas mediante los planes de atención individual para el desarrollo de capacidades, denotando una eficiencia en la perfilación y sus acciones socio-ocupacionales, así como en el desarrollo y establecimiento de rutinas en el quehacer diario para el aprovechamiento del tiempo. Lo anterior se refuerza con la concientización en la importancia y valor de los espacios comunes con familiares, el desarrollo de capacidades de lecto-escritura y el desarrollo de su espiritualidad, logrando mayor autonomía y autogestión en sus procesos ocupacionales, mediante acciones de corresponsabilidad en actividades significativas desde sus intereses manifiestos, fomentando la búsqueda del mejoramiento de la calidad de vida y el desarrollo personal.</t>
  </si>
  <si>
    <t>08/07/2022 Se recomienda verificar al meta formulada ya que se esta presentando un sobrecumplimiento del 18%. No se generan más observaciones respecto al análisis y evidencias reportadas para el seguimiento del indicador.</t>
  </si>
  <si>
    <t>Durante el mes de julio de 2022 el equipo territorial avanzó con los procesos de identificación de ciudadanos y ciudadanas habitantes de calle que denotan interés en iniciar procesos de atención individual para el desarrollo de capacidades PIDC en el marco de la estrategia. En virtud de ello, se adelantaron acciones más rigurosas de acompañamiento a los procesos, al cumplimiento de los compromisos y seguimiento a derechos, fortaleciendo así las acciones para la dignificación de las condiciones de vida de las ciudadanas y ciudadanos habitantes de calle. 
Como acciones tangibles y complementarias, se pudo evidenciar apropiación de los conocimientos educativos y adherencia a los procesos, como el realizado en articulación con la Fundación Construimos, la cual realizó la asignación de una vivienda mediante la figura de comodato a una pareja ex habitante de calle, quien realizó plan de atención a fin de mejorar las condiciones de vivienda e instauración de un nuevo proyecto de vida.</t>
  </si>
  <si>
    <t>Para el periodo de agosto se realizaron procesos de actualización de información sobre los planes de atención individual para el desarrollo de capacidades PIDC, adicionalmente se realizaron cualificaciones técnicas con los equipos territoriales, a fin de fortalecer los procesos interdisciplinares para la generación de planes continuos y flexibles, con el objetivo de desarrollar capacidades que contribuyan a mejorar y dignificar la calidad de vida de los ciudadanos habitantes de calle que así lo expresen y no deseen desarrollar su proceso en un medio institucionalizado, sino propiamente en el territorio. 
Además, se realizaron acciones de acompañamiento a los procesos que se encuentran activos mediante el fortalecimiento de las acciones para la dignificación de las condiciones de vida de las ciudadanas y ciudadanos habitantes de calle. 
Por otro lado, las acciones adelantadas por los equipos territoriales permitieron el acercamiento de la Entidad con los distintos actores en los territorios, aspecto fundamental para la identificación de las ciudadanas y ciudadanos habitantes de calle y para su atención mediante los planes de atención.</t>
  </si>
  <si>
    <t>Se proporcionó acompañamiento a las ciudadanas y ciudadanos participantes en planes de atención individual para el desarrollo de capacidades (PAIDC). A la vez se avanzó en la actualización de información pertinente a los planes de trabajo activos, procurando darles continuidad y flexibilidad. También se prosiguió con el desarrollo de ejercicios de lectura territorial sobre el fenómeno de habitabilidad en calle y con la gestión del portafolio de servicios distrital y de rutas de atención, facilitando así el acceso a oportunidades por parte de la población habitante de calle.
Es de observarse que el indicador continúa presentando sobrecumplimiento, lo que cabe advertir, se debe en parte a la existencia de una población reducida para el denominador de medición. Si bien hay adherencia sustancial a los procesos de trabajo por parte de las personas con PAIDC, se dispone de poco talento humano para el acompañamiento en calle a la población a gran escala.</t>
  </si>
  <si>
    <t>10/10/2022 Para los siguientes reportes se recomienda hacer alusión a las cifras reportadas y  porcentajes obtenidos. No se generan observaciones respecto al análisis reportado para el seguimiento del indicador.</t>
  </si>
  <si>
    <t>PSS-7757-003</t>
  </si>
  <si>
    <t xml:space="preserve">
Personas que participan en las acciones propuestas por la estrategia de abordaje comunitario</t>
  </si>
  <si>
    <t xml:space="preserve">
Medir el número de personas que participan en las acciones propuestas por la estrategia de abordaje comunitario, a fin de generar insumos para optimizar la intervención de conflictos en torno al fenómeno de habitabilidad en calle.</t>
  </si>
  <si>
    <t>Identificación de actores sociales para la vinculación del desarrollo de capacidades colectivas para la transformación de imaginarios.</t>
  </si>
  <si>
    <t>(Número de personas que participan en educación en calle como parte de la estrategia de abordaje comunitario / Número de personas identificadas en los territorios mediante el mapeo de actores sociales) * 100</t>
  </si>
  <si>
    <t>Contacto y atención en calle - Educación en calle del SIRBE
Base de datos instrumento de mapa de actores sociales de la Subdirección para la Adultez</t>
  </si>
  <si>
    <t>El valor del numerador corresponde con el número de personas que participan en educación en calle como parte de la estrategia de abordaje comunitario (1. Ubicar y seleccionar en la parte superior de la pantalla la opción "Consultas". 2. Seleccionar la opción "Consulta información cursos" y luego "Cursos registrados" 3. Seleccionar el proyecto.  4. Desplegar la modalidad de "Contacto y atención en calle" y seleccionar la submodalidad "Educación en calle". 5. En actuación seleccionar "Educación en calle".  6. En la pestaña de "Información de cursos" se debe de diligenciar, en los espacios de filtros de fechas, en la opción que "Cuya fecha de inicio este entre" se debe diligenciar la fecha inicial de consulta. Y en el filtro "Cuya fecha de fin este entre" se debe diligenciar la fecha final de la consulta, los demás espacios de fecha no se deben de seleccionar. Las variables de consulta para esta pestaña son: actividad, código del curso, fecha fin, fecha inicio, nombre corto del CDS, nombre del curso, asistentes asignados e instructor. 7. Para conocer los asistentes a estos cursos se debe de seleccionar la pestaña de "Información de beneficiarios inscritos en curso y seleccionar las variables básicas de consulta como nombre, apellidos etc.).
El denominador hace referencia al número total de personas registradas en la base de datos de mapa de actores sociales de la Subdirección para la Adultez.
Nota: el reporte acumulado corresponde al resultado obtenido al final de la vigencia, que reúne los datos recopilados a lo largo de la misma.</t>
  </si>
  <si>
    <t>Reporte de las personas que participan en las acciones de la estrategia de abordaje comunitario vs personas identificadas en el territorio mediante el mapa de actores sociales.</t>
  </si>
  <si>
    <t>Para iniciar el año, en lo corrido del mes de enero de 2022 se avanzó en la identificación de motivos de conflicto en las 4 zonas sociales. Esto se dio a partir de la implementación de la guía de lecturas territoriales, la cual orienta el proceso de revisión documental y de antecedentes históricos sobre la presencia del fenómeno de la habitabilidad en calle en los distintos territorios. Adicionalmente, se realiza lectura territorial a través de la identificación y caracterización de actores sociales y comunitarios por medio de la herramienta ODK, la vinculación de estos actores sociales a los espacios de diálogo comunitario y el posicionamiento de los acuerdos derivados de los mismos en las mesas locales de habitabilidad en calle.</t>
  </si>
  <si>
    <t>Continuar con la implementación de los diálogos comunitarios sobre el fenómeno social de habitabilidad en calle, fue una de las actividades a las que se le dio continuidad durante el mes de febrero de 2022, gestión que tuvo como protagonistas a los actores vinculados a la estrategia que, en su mayoría, fueron miembros de la comunidad, líderes locales o barriales y/o miembros de organizaciones. También se pudo establecer un aumento en la participación de ciudadanos y ciudadanas habitantes de calle, siendo tan solo una minoría corresponde a actores relacionados con la institucionalidad. Lo anterior nos permite evidenciar un significativo avance en la transformación de imaginarios, la identificación de conflictos asociados al fenómeno, basados en las dinámicas de los territorios, aspectos claves para la formulación de planes de trabajo con acuerdos que permiten la mitigación de los posibles impactos negativos.</t>
  </si>
  <si>
    <t xml:space="preserve">Durante el mes de marzo del 2022, hubo continuidad en la implementación de los diálogos comunitarios sobre el fenómeno social de habitabilidad en calle, estos escenarios permitieron el intercambio de percepciones, emociones, inconformidades y necesidades, que conllevaron a la definición de acuerdos y compromisos para la transformación de esos imaginarios y conflictos asociados al fenómeno de habitabilidad en calle, desde un marco de corresponsabilidad entre los diferentes actores que confluyen en los territorios.
Como resultado de estos diálogos se logró identificar que, en las dinámicas de la ciudad, los mayores conflictos asociados al fenómeno de habitabilidad en calle hacen referencia a la relación con percepción de inseguridad, el uso del espacio público y la presencia de factores relacionados con la comercialización y consumo de sustancias psicoactivas legales o no.
</t>
  </si>
  <si>
    <t>11/40/2022 No se generan observaciones respecto al análisis reportado para el seguimiento del indicador.</t>
  </si>
  <si>
    <t xml:space="preserve">Se da continuidad a la implementación de los diálogos comunitarios sobre el fenómeno social de habitabilidad en calle, puesto que estos escenarios han sido determinantes para identificar dos aspectos relevantes. El primero tienen que ver con las dinámicas de la ciudad y las diferentes problemáticas presentadas en los territorios, tales como, el microtráfico, la inseguridad, pobreza extrema, delincuencia organizada, espacios con alto grado de deterioro, percepción negativa de entornos y ocupación informal de los espacios públicos. El segundo aspecto relevante se orienta a la generación de vínculos de confianza y reconocimiento de las labores implementadas por la Secretaría Distrital de Integración Social en el territorio. 
En tal sentido, la implementación de diálogos territoriales y mapeo de actores permiten generar procesos de reconocimiento del territorio, transformación de imaginarios y movilización ciudadana. 
</t>
  </si>
  <si>
    <t>Continuando con la implementación de los diálogos comunitarios sobre el fenómeno social de habitabilidad en calle, para el mes de mayo de 2022 es tangible la manera como estos escenarios permiten el intercambio de percepciones, emociones, inconformidades y necesidades, aspectos que conllevaron a la definición de acuerdos y compromisos para la transformación de esos imaginarios y conflictos asociados al fenómeno de habitabilidad en calle, desde un marco de corresponsabilidad entre los diferentes actores que confluyen en los territorios.
Es así como los espacios adelantados permitieron el acercamiento entre los distintos actores, evidenciando que los mayores conflictos existentes alrededor de la habitabilidad en calle, están directamente correlacionados con factores como la ocupación o uso del espacio público, la percepción de inseguridad, la comercialización y consumo de sustancias psicoactivas (legales e ilegales). Sobre esta base, se pactaron compromisos para el fortalecimiento de la presencia institucional y la intervención en zonas críticas del territorio.</t>
  </si>
  <si>
    <t>De acuerdo a lo diseñado para el presente indicador de eficiencia y la periodicidad semestral del mismo, en este primer reporte cuantitativo se presenta un cumplimiento del 50% de lo esperado para la vigencia 2022. Para lograr esta asertividad en la identificación de actores sociales, para la vinculación del desarrollo de capacidades colectivas para la transformación de imaginarios, se viene trabajando de manera continua en la realización e implementación de los diálogos comunitarios sobre el fenómeno social de habitabilidad en calle, en las 19 localidades urbanas del Distrito.
Estos escenarios permitieron el intercambio de percepciones, emociones, inconformidades y necesidades, que conllevaron a la definición de acuerdos y compromisos para la transformación de esos imaginarios y conflictos asociados al fenómeno de habitabilidad en calle, desde un marco de corresponsabilidad entre los diferentes actores que confluyen en los territorios.
Es así como se llega a contar con 261 personas que participan en educación en calle como parte de la estrategia de abordaje comunitario, reflejando concordancia con lo esperado para este primer semestre.</t>
  </si>
  <si>
    <t>08/07/2022 Se recomienda realizar la gestión pertinente para lograr cumplir con la meta formulada ya que se esta presentando un rezago del 50%. No se generan más observaciones respecto al análisis y evidencias reportadas para el seguimiento del indicador.</t>
  </si>
  <si>
    <t>Para el periodo de corte reportado, se continúa y fortalece la realización de diálogos comunitarios sobre el fenómeno social de habitabilidad en calle en las localidades urbanas de Bogotá, en razón a ello, fueron realizados cuatro (4) diálogos en las localidades de mártires, Antonio Nariño y Teusaquillo, generando acuerdo y compromisos de carácter comunitario e institucional para la transformación de imaginarios y el reconocimiento de la Política Pública Distrital para el Fenómeno de Habitabilidad en Calle. Estos escenarios permitieron el intercambio de percepciones, emociones, inconformidades y necesidades, lo que facilitó la transformación de imaginarios y conflictos asociados al fenómeno de habitabilidad en calle, desde un marco de corresponsabilidad entre los diferentes actores que confluyen en los territorios.
Los espacios de concertación y diálogo permitieron el acercamiento entre los distintos actores, y evidenciaron que los mayores conflictos existentes alrededor de la habitabilidad en calle remiten a factores como el uso del espacio público, la percepción de inseguridad y la comercialización y consumo de sustancias psicoactivas (legales e ilegales). Sobre esta base, se dio lugar al establecimiento de compromisos para el ejercicio de una mayor presencia institucional y la intervención en zonas críticas del territorio.</t>
  </si>
  <si>
    <t>En el mes de agosto se realizaron procesos de cualificación técnica con los coordinadores locales a fin de implementar medidas administrativas que permitan mejorar los procesos en la recolección de información y el reforzamiento en la realización de diálogos comunitarios sobre el fenómeno de habitabilidad en calle en Bogotá. En consecuencia, se implementan procesos de dialogo comunitario en las localidades urbanas de Bogotá, especialmente en las localidades de San Cristóbal, Fontibón, Usme, Kennedy, Teusaquillo y Bosa y en los cuales se evidencian conflictos asociados al uso del espacio público por parte de la población habitante de calle y población con carreta, además de las afectaciones a la convivencia en los territorios. 
Adicionalmente hubo participación en diferentes escenarios de movilización ciudadana en articulación con las entidades locales, lo cual permite concertar nuevos espacios para llevar a cabo diálogos comunitarios con otros actores los cuales no se habían logrado identificar con anterioridad. 
Las acciones propuestas se realizaron bajo el marco de la actuación de los enfoques de género, diferencial, de capacidades, de acción sin daño, territorial y de mitigación de riesgos y reducción de daño, en escenarios donde se presentan conflictos asociados al fenómeno de habitabilidad en calle, para la transformación de imaginarios y el mejoramiento de la convivencia ciudadana.</t>
  </si>
  <si>
    <t>Se proporcionó cualificación técnica a las y los coordinadores territoriales en aras de optimizar el levantamiento de información sobre actores sociales estratégicos y el desarrollo de diálogos comunitarios, especialmente en las localidades de Usaquén, Tunjuelito, Bosa, Kennedy, Engativá, Suba, Mártires, Rafael Uribe y Teusaquillo. Se adelantaron acciones teniendo en cuenta la persistencia de conflictos asociados a la habitabilidad de calle en los territorios, y más precisamente en relación con el uso del espacio público por parte de la población habitante de calle y carretera. 
Las acciones realizadas tomaron en consideración los enfoques de género, diferencial, territorial, de capacidades, de acción sin daño, y de mitigación de riesgos y reducción de daños. Apuntaron a la transformación de imaginarios sobre la vida en calle, al mejoramiento de la convivencia ciudadana, y a la adherencia de actores sociales a los procesos pedagógicos en calle.</t>
  </si>
  <si>
    <t>PSS-7757-004</t>
  </si>
  <si>
    <t>Servicios adaptados desde los enfoques diferencial, de género y territorial para la atención de ciudadanas y ciudadanos habitantes de calle o en riesgo de estarlo</t>
  </si>
  <si>
    <t>Medir el número de servicios adaptados bajo enfoque diferencial, de género y territorial para la atención de personas habitantes de calle o en riesgo de estarlo, a fin de generar insumos con miras a optimizar la oferta del proyecto 7757.</t>
  </si>
  <si>
    <t>Adaptar la prestación de los servicios, brindando una atención diferencial con enfoque de género y territorial.</t>
  </si>
  <si>
    <t>(Número de servicios adaptados desde los enfoques diferencial, de género y territorial / Número de servicios en funcionamiento) * 100</t>
  </si>
  <si>
    <t>Herramienta de valoración y seguimiento de la implementación de los enfoques diferencial, de género y territorial de la Subdirección para la Adultez</t>
  </si>
  <si>
    <t>El valor del numerador corresponde al número de servicios adaptados con enfoque diferencial, de género y territorial verificados a partir de la implementación de la herramienta de valoración y seguimiento.
El denominador hace referencia al número de servicios que presta la entidad y que están en funcionamiento para la vigencia.</t>
  </si>
  <si>
    <t>Reporte del avance en la adaptación de los enfoques en los servicios en funcionamiento.</t>
  </si>
  <si>
    <t>Durante el mes de enero de 2022, se llevaron a cabo reuniones de seguimiento para evaluar los procesos adelantados frente al indicador. Así es como se propuso adelantar acciones de mejora para la medición durante el resto de la vigencia 2022. En coherencia, se definieron algunos ajustes a realizar en los instrumentos de recolección de información, los cuales den respuesta a los reportes que se adelantan de manera mensual y anual de acuerdo a los equipos que intervienen en dichos enfoques. 
Por lo anterior, se entabla comunicación permanente con los delegados de las modalidades y estrategias para alinear el reporte mensual de las acciones relacionadas con el indicador, en donde se sostiene comunicación a través del grupo y se comparte la matriz definida para el reporte del mes de enero y socializar el cronograma para los reportes del año 2022. 
Según los registros reportados por las modalidades, se cuenta con un total de treinta y dos (32) actividades relacionadas con los enfoques de género, diferencial y territorial, reportados por la Comunidad de vida El camino, Cedid-PV, Centro alta dependencia física mental o cognitiva, Centro para el desarrollo de capacidades para mujeres, Centro de atención sociosanitario Balcanes y Hogar de paso Bakatá. Dentro de las actividades reportadas en relación al enfoque de género, se encuentran machismo y feminismo, tipos de violencias, rutas de atención a violencias, dignidad menstrual, equidad de género, enfoque de género, violencia sobre la mujer en países en vía de desarrollo, equidad de género, prevención de violencias. Desde el enfoque diferencial se reportan grupo de apoyo LGBTI, prevención en violencia, interacción social con enfoque diferencial, enfoque diferencial, diversidad, activación de rutas de atención y prevención, coordinación motriz y estrategias de afrontamiento. Desde el enfoque territorial, se evidencian actividades como orientación geoespacial, interculturalidad, recorrido transmicable, como afecta el fenómeno de habitabilidad en calle a un territorio, territorio y roles, habitabilidad en calle y territorio.</t>
  </si>
  <si>
    <t>Para febrero de 2022 se llevaron a cabo reuniones, cuya finalidad fue evaluar los procesos de medición que se adelantan en relación al indicador. En estos espacios de evaluación se concluyó realizar ajustes a la herramienta ODK, con el fin de fortalecer el proceso, en articulación con los equipos que intervienen en la implementación de los enfoques de género, territorial y diferencial. 
Se recalca que, a través de los delegados de las modalidades, se continúe con la socialización de información que aporte a la apropiación de los enfoques desde los equipos de sus modalidades. En coherencia, se verificó el reporte de actividades que generan las modalidades y estrategias, evidenciando acciones en relación al enfoque de género, como salud e higiene menstrual, libre sexismo, enfoque de género, dignidad y desigualdad de género. Desde el abordaje con enfoque territorial se adelantan acciones relacionadas con temáticas como recorridos al centro histórico, habitabilidad en calle y territorio, mecanismos de participación ciudadana, derecho a la paz, georreferenciación, verdad y justicia. Es así como desde el enfoque diferencial se desarrollan acciones sobre ciclo vital vejez, sensibilización desde el enfoque diferencial, discapacidad desde las habilidades y capacidades.</t>
  </si>
  <si>
    <t xml:space="preserve">Para el mes de marzo se adelantaron mesas de trabajo con diferentes miembros del equipo técnico, el equipo de políticas y el eje de ampliación de capacidades y generación de oportunidades, con quienes se generaron propuestas de ajustes al instrumento de recolección de información, con el objetivo de optimizar y mejorar la información recolectada en relación al indicador. 
De otro lado, se realizaron los ajustes correspondientes y se socializaron, para posterior aprobación con el fin de dar continuidad a la medición del indicador y generar programación para la misma en las diferentes modalidades de atención.
</t>
  </si>
  <si>
    <t xml:space="preserve">Se llevaron a cabo las mesas de trabajo por parte del equipo del eje de ampliación y el equipo técnico, en donde se definió el instrumento de recolección de información para el indicador y las fechas para a aplicación del piloto. Este instrumento permitirá recolectar aspectos y observaciones a tener en cuenta, para definir las herramientas que favorecen a la medición del indicador. 
Así mismo, durante abril se llevó a cabo la cualificación al equipo de medición para la implementación del pilotaje. Además se llevó a cabo la prueba piloto de la medición del indicador, en donde se realiza la programación para la medición en las modalidades y estrategias, haciendo uso de la herramienta ODK ajustada, recopilando los datos necesarios de conformidad con lo registrado en el formulario. En coherencia a ello, se llevó a cabo la socialización de los resultados obtenidos en relación a la nueva herramienta de medición. </t>
  </si>
  <si>
    <t>En el mes de mayo se llevó a cabo mesa de trabajo para socializar los resultados del piloto de la medición que se realizó el mes pasado. En dicha socialización se dieron a conocer los resultados de cada una de las preguntas planteadas en el formulario, realizando el análisis de los datos recolectados e identificando las observaciones y ajustes que son necesarios para definir y consolidar el instrumento de medición que se implementará en la medición de este indicador. Por lo anterior, se definieron las fechas para realizar el seguimiento a las acciones desarrolladas en las diferentes modalidades y estrategias, en relación al enfoque de género, diferencial y territorial. Finalmente, se realizó y consolidó la programación para el seguimiento y verificación de los avances en las acciones de los tres enfoques.</t>
  </si>
  <si>
    <t>Para el mes de junio se lleva a cabo una medición preliminar del indicador, para lo cual se genera un cronograma de visitas a las diferentes modalidades y estrategias que hacen parte del proyecto, utilizando la herramienta ODK, que cuenta con el formulario de medición, verificando los ítems establecidos, y recogiendo las evidencias necesarias para dar respuesta al mismo. Se recopila la información general obtenida de dicha medición y se consolidan además las evidencias recolectadas en cada una de las unidades operativas.
Estas acciones están encaminadas a lograr la adaptabilidad en la prestación de los servicios, buscando brindar una atención diferencial con enfoque de género y territorial.</t>
  </si>
  <si>
    <t>Continuando con el proceso de adaptabilidad de la prestación de los servicios, brindando una atención diferencial con enfoque de género y territorial, se procedió a consolidar los resultados de la medición preliminar, con el fin de obtener información sólida para la implementación de los enfoques. Es así como se buscó una participación activa en la mesa distrital de cuidado menstrual y se articularon acciones con la Secretaría de la Mujer y demás entidades participantes. 
De otro lado, y teniendo en cuenta el aumento de personas mayores en algunas unidades operativas, se adelantó un proceso de cualificación dirigido al equipo profesional y promotor, sobre la Política Pública Social para el Envejecimiento y la Vejez. Esto a fin de brindar herramientas y fortalecer la aplicación del enfoque diferencial con perspectiva intergeneracional.</t>
  </si>
  <si>
    <t xml:space="preserve">Para el periodo de seguimiento comprendido en el mes de agosto, se da continuidad al proceso de adaptabilidad de la prestación de los servicios, brindando una atención diferencial con enfoque de género y territorial. Asimismo, se inicia el fortalecimiento con los equipos territoriales desde la construcción de procesos y acciones con impacto territorial diferencial articulado con los equipos locales, según las necesidades de cada uno de los territorios abordades. 
En coherencia a lo antes mencionado, se inician las mesas de trabajo para construir el modelo de evaluación del proceso de adaptabilidad de la prestación de los servicios que brinde una atención diferencial con enfoque de género y territorial en los equipos locales. </t>
  </si>
  <si>
    <t>Se dio continuidad a los procesos de adaptación de la prestación de servicios, brindando atención diferencial con enfoque de género y territorial desde las estrategias del eje de ampliación de capacidades y generación de oportunidades. Así mismo, se continuó fortaleciendo a los miembros de los equipos territoriales en el desarrollo de procesos y acciones con impacto diferencial.</t>
  </si>
  <si>
    <t>Prestación de servicios sociales para la inclusión social</t>
  </si>
  <si>
    <t>PSS-7757-005</t>
  </si>
  <si>
    <t>Ciudadanos y ciudadanas habitantes de calle y en riesgo de estarlo con avances en procesos de inclusión social</t>
  </si>
  <si>
    <t>Medir el número de ciudadanas y ciudadanos habitantes de calle y en riesgo de estarlo con avances en procesos de inclusión social, a fin de generar insumos para optimizar su abordaje integralmente.</t>
  </si>
  <si>
    <t xml:space="preserve"> 
Acciones promovidas desde las estrategias y modalidades frente a los procesos de inclusión social de los participantes.</t>
  </si>
  <si>
    <t>(Número de personas habitantes de calle y en riesgo de estarlo que participan en estrategias y modalidades y logran avances en sus planes de atención individual / Número de personas habitantes de calle y en riesgo de estarlo que participan en estrategias y modalidades y cuentan con planes de atención individual activos) * 100</t>
  </si>
  <si>
    <t>Base de datos de personas registradas a partir de la herramienta de monitoreo y seguimiento a los procesos de inclusión social de la Subdirección para la Adultez</t>
  </si>
  <si>
    <t>El valor del numerador corresponde al número de personas con avances en sus planes de atención individual, según la herramienta de monitoreo y seguimiento de la Subdirección para Adultez.
El denominador se refiere al número de personas vinculadas a las estrategias y modalidades del proyecto con planes de atención individual activos.</t>
  </si>
  <si>
    <t>Informe del monitoreo y seguimiento a los procesos de inclusión social de personas atendidas en servicios y estrategias del proyecto.</t>
  </si>
  <si>
    <t xml:space="preserve">Como ejercicio de apertura del año 2022, durante el mes de enero se llevaron a cabo reuniones para la verificación y revisión de las estrategias utilizadas en la medición del indicador, de donde se identifica la necesidad de generar ajustes a los instrumentos de recolección de información, para lograr incorporar las características y particularidades de las diferentes modalidades y estrategias, teniendo como énfasis el concepto de inclusión social que se tiene desde el proyecto. Para esto, es necesario definir criterios de evaluación que permitan condensar y dar cuenta de la realidad de cada centro de atención, logrando un resultado verás a la hora de realizar la medición del indicador. 
Se programarán espacios de reunión para definir las estrategias y herramientas necesarios para el seguimiento del indicador y que, a través de estas, se logre medir los avances frente a la inclusión social de las y los ciudadanos.  </t>
  </si>
  <si>
    <t>Los espacios para la evaluación del indicador, fueron los protagonistas para el mes de febrero, logrando que se generen acuerdos para el ajuste al instrumento de recolección de información y la metodología de medición del mismo. Aspectos que permitirán evidenciar, de mejor manera, los avances de los procesos de inclusión social de las y los ciudadanos habitantes de calle y en riesgo de estarlo. Lo anterior se concreta mediante la creación mesas de trabajo para el ajuste a dicho proceso.</t>
  </si>
  <si>
    <t xml:space="preserve">Con el fin de afinar el accionar y promover las estrategias y modalidades, frente a los procesos de inclusión social de los participantes, durante el mes de marzo se llevaron a cabo mesas de trabajo donde se acordó incorporar ajustes al instrumento de medición de indicador, reformulando la metodología de recolección y ajustando el instrumento a los formatos e instrumentos que se implementan en las modalidades de acuerdo al umbral y decisión de la persona. 
Por lo anterior, se creó y ajustó el instrumento de recolección de información, además se socializa el mismo para ser implementado y definir su aplicación en las mediciones a realizar durante el 2022. </t>
  </si>
  <si>
    <t xml:space="preserve">En el mes de abril de 2022 se llevaron a cabo mesas de trabajo, por parte del eje de ampliación de capacidades y el equipo técnico, en donde se definieron ajustes a la herramienta de medición del indicador, aspectos que se registraron en el formulario ODK definido para la medición de dicho indicador. De otro lado, se lleva a cabo la cualificación al equipo de medición, dando a conocer el formato de recolección de información, para posterior a esto realizar el piloto de medición de este indicador, en donde se registra la información recolectada durante las visitas. 
Por lo tanto, se realizó la socialización de los resultados obtenidos en relación a la herramienta de medición y se dieron a conocer las observaciones encontradas en las historias sociales de los ciudadanos y ciudadanas, que se encuentran adelantando acciones en relación a procesos de inclusión social. </t>
  </si>
  <si>
    <t>Con el equipo técnico durante el mes de mayo se llevaron a cabo mesas de trabajo, socializando los resultados obtenidos del piloto que fue implementado en las modalidades y estrategias en el mes de abril. Es así como se dan a conocer los datos recopilados mediante la implementación y pertinencia del instrumento, evaluando los criterios y ajustes realizados para la medición del indicador. En concordancia a lo anterior, se presentan las observaciones frente a los resultados, para fortalecer el proceso de medición y se definen los ajustes para desarrollar en el ODK. Así mismo, se consolida el documento de la ruta de seguimiento y acompañamiento a los avances de la inclusión social, para ser implementado en las modalidades y estrategias, el cual permitirá fortalecer e identificar las acciones que se realizan en relación al indicador.</t>
  </si>
  <si>
    <t>En lo corrido del mes de junio de 2022, se socializó el documento de la ruta de seguimiento y acompañamiento a los avances de la inclusión social, con las y los delegados de las modalidades y estrategias que hacen parte del proyecto. En esta socialización se dio a conocer el proceso, momentos y especificidades del documento, el cual está enfocado en acompañar y fortalecer los avances en los procesos de inclusión social de los ciudadanos y ciudadanas habitantes de calle y en riesgo de estarlo. 
Con lo anterior se busca contar con mecanismos oficiales y documentales que contribuyan con el adecuado seguimiento para cumplir el objetivo de este indicador de eficiencia.</t>
  </si>
  <si>
    <t>Dando continuidad a las acciones promovidas respecto a los procesos de inclusión social de los participantes, se brindó acompañamiento y se contribuyó al fortalecimiento institucional mediante la apropiación y retroalimentación de la ruta de seguimiento a los avances en la inclusión, con los equipos de las diferentes modalidades del servicio.</t>
  </si>
  <si>
    <t>Siguiendo las acciones promovidas respecto a los procesos de inclusión social de los participantes, durante el mes de agosto se brindó acompañamiento y se contribuyó al fortalecimiento institucional mediante la apropiación y retroalimentación de la ruta de seguimiento a los avances en la inclusión, con los equipos de las diferentes modalidades del servicio. Estos aspectos se desarrollan con miras a lograr una medición del número de ciudadanas y ciudadanos habitantes de calle y en riesgo de estarlo con avances en procesos de inclusión social, a fin de generar insumos para optimizar su abordaje integralmente.</t>
  </si>
  <si>
    <t xml:space="preserve">Se fortalecieron los procesos adelantados desde las estrategias y modalidades del proyecto, realizando acciones para la inclusión social de las y los participantes en articulación con la mesa de trabajo de terapeutas ocupacionales y con los demás profesionales asignados. </t>
  </si>
  <si>
    <t>PSS-7768-001</t>
  </si>
  <si>
    <t>Cumplimiento de las Tareas del plan de acción de la vigencia del proyecto de inversión</t>
  </si>
  <si>
    <t>Monitorear el cumplimiento de las tareas programadas en el plan de acción del proyecto de inversión 7768</t>
  </si>
  <si>
    <t xml:space="preserve">Imprevistos en la contratación del Talento humano
Cuarentenas estrictas que impidan la circulación y visitas a hogares
Por restricciones
normativas no entregar los Bonos de Oportunidad </t>
  </si>
  <si>
    <t xml:space="preserve">
(Número de tareas realizadas del plan de acción a la fecha del corte del período reportado / Número de tareas  programadas del plan de acción al período reportado)*100
</t>
  </si>
  <si>
    <t>Plan de Acción Proyecto 7768 corresponde a los soportes relacionados en el Plan de Acción:
Matriz de Seguimiento, Documentos Técnicos,
Informes de proceso y  tablero de Control</t>
  </si>
  <si>
    <t xml:space="preserve">
El numerador corresponderá al número total de tareas realizadas del plan de acción a la fecha del corte del período reportado y el denominador corresponderá al número total de tareas programadas al periodo de reporte.
Nota: el resultado del indicador de gestión corresponderá al total tareas realizadas en la vigencia
La cantidad de tareas programadas puede variar según las dinámicas propias del proyecto las cuales se verán reflejadas en plan de acción actualizado.</t>
  </si>
  <si>
    <t xml:space="preserve">Reporte en Excel de los soportes programados para cada periodo. Este contendrá el listado de tareas con: fecha de creación de la tarea, fecha programada de ejecución, fecha de ejecución y observaciones
</t>
  </si>
  <si>
    <t xml:space="preserve">En el mes de enero no se tienen programadas tareas y soportes que den cuenta del avance del indicador </t>
  </si>
  <si>
    <r>
      <t xml:space="preserve">A la fecha del reporte se encuentran programadas 4 tareas según el plan de acción del proyecto aprobado en el mes de enero del 2022 las cuales registran su avance mediante 4 soportes
Actualmente se avanza para la medición del indicador en el desarrollo de las siguientes tareas por cada meta:
META 1.
Tarea 1. Implementar un (1) plan de recorridos en los territorios priorizados para la identificación de hogares por la Tropa Social, que permita el reconocimiento de las dinámicas que fomentan la segregación socioespacial de las poblaciones a través de los resultados de las caracterizaciones
Soporte 1. Matriz de planeación, caracterización y seguimiento de recorridos territoriales de la Tropa Social 
META 2
</t>
    </r>
    <r>
      <rPr>
        <sz val="9"/>
        <rFont val="Arial"/>
        <family val="2"/>
      </rPr>
      <t xml:space="preserve">Tarea 1. Desarrollar un (1) informe de las acciones de acompañamiento y enrutamiento a la oferta público social del Distrito, en el marco de la modalidad de acompañamiento a hogares de jefatura femenina pobres y hogares en riesgo de pobreza del servicio Tropa Social a tu Hogar
Soporte 1. Informe de las acciones de acompañamiento y enrutamiento a la oferta público social y privada del Distrito, en el marco de la modalidad de acompañamiento a hogares de jefatura femenina pobres y hogares en riesgo de pobreza del servicio Tropa Social a tu Hogar
META 3
</t>
    </r>
    <r>
      <rPr>
        <sz val="9"/>
        <color theme="1"/>
        <rFont val="Arial"/>
        <family val="2"/>
      </rPr>
      <t>Tarea 1. Elaborar un (1) tablero de control con el monitoreo de logros, avances y dificultades de los compromisos concertados en los contratos sociales familiares suscritos por los hogares acompañados por el servicio Tropa Social a tu Hogar
Soporte 1. Tablero de control y monitoreo de logros, avances y dificultades de los compromisos concertados en los contratos sociales familiares suscritos por los hogares acompañados por el servicio Tropa Social a tu Hogar.
META 4
Tarea 2. Reactivar los proyectos de vida de 1500 personas identificadas en pobreza oculta y priorizadas para su atención en el servicio Tropa social a tu hogar y su modalidad Redes de soporte social para la reactivación de proyectos de vida de personas adultas y sus familias en pobreza oculta.
Soporte 1. Informe del proceso de alistamiento, acompañamiento y enrutamiento a las redes de soporte para la reactivación de proyectos de vida, de 1500 personas identificadas en pobreza oculta y priorizadas para su atención.</t>
    </r>
  </si>
  <si>
    <t>16/03/2022 No se generan observaciones respecto al análisis reportado para el seguimiento del indicador.</t>
  </si>
  <si>
    <r>
      <t xml:space="preserve">A la fecha del reporte se programaron  5 tareas según el plan de acción del proyectado y aprobado en el mes de enero del 2022 las cuales registran su avance mediante 5 soportes
Para la medición de avance del indicador se desarrollaron las siguientes tareas por cada meta:
META 1.
Tarea 1. Implementar un (1) plan de recorridos en los territorios priorizados para la identificación de hogares por la Tropa Social, que permita el reconocimiento de las dinámicas que fomentan la segregación socioespacial de las poblaciones a través de los resultados de las caracterizaciones
Tarea 2. Construir un (1) documento sobre el reconocimiento de las dinámicas de segregación socioespacial, que permita profundizar en la lectura del contexto territorial de los hogares caracterizados por la Tropa Social 
META 2
</t>
    </r>
    <r>
      <rPr>
        <sz val="9"/>
        <rFont val="Arial"/>
        <family val="2"/>
      </rPr>
      <t xml:space="preserve">Tarea 1. Vincular al servicio Tropa Social a tu Hogar a 7.567 hogares, para su atención y el fortalecimiento de proyectos de vida de personas identificadas en pobreza, vulnerabilidad y fragilidad social. Esta tarea se llevo a cabo mediante la verificación telefónica y citación a jornada de concertación de CSF para la atención de hogares de jefatura femenina.
META 3
</t>
    </r>
    <r>
      <rPr>
        <sz val="9"/>
        <color theme="1"/>
        <rFont val="Arial"/>
        <family val="2"/>
      </rPr>
      <t xml:space="preserve">Tarea 1. Elaborar un (1) tablero de control con el monitoreo de logros, avances y dificultades de los compromisos concertados en los contratos sociales familiares suscritos por los hogares acompañados por el servicio Tropa Social a tu Hogar
META 4
Tarea 1. Se desarrollo un (1) informe de las acciones de identificación, caracterización y priorización a la población en situación de pobreza oculta comprendidas durante los meses de enero, febrero y marzo de 2022, las cuales permitirán iniciar el proceso de firma de contratos sociales con hogares pobres ocultos
</t>
    </r>
  </si>
  <si>
    <r>
      <t>7-032022:</t>
    </r>
    <r>
      <rPr>
        <sz val="9"/>
        <color rgb="FFFF0000"/>
        <rFont val="Arial"/>
        <family val="2"/>
      </rPr>
      <t xml:space="preserve"> </t>
    </r>
    <r>
      <rPr>
        <sz val="9"/>
        <color theme="1"/>
        <rFont val="Arial"/>
        <family val="2"/>
      </rPr>
      <t xml:space="preserve">
META 2: De que manera se vincula a los 7.567 hogares, por ejemplo realizando visitas a cada uno de los hogares, haciendo encuestas, etc. Y sugiero que se escriba el análisis en pasado por que se supone el análisis es de la gestión que se realizó.
META 4: El informe esta más enfocado a la gestión del 2021, sugiero que se especifique en el análisis mensual que tiempo se cobija en el informe 
OBSERVACIÒN PARA TODAS LAS TAREAS.
Por favor enviar las evidencias de cada una de las tareas, el cuadro que enviaste de evidencias, es un cuadro de seguimiento., pero lo que se requiere es las evidencias por cada una de las tareas.
8/04/2022 No se generan más observaciones respecto al análisis reportado para el seguimiento del indicador</t>
    </r>
  </si>
  <si>
    <t>A la fecha del reporte se encuentran programadas 4 tareas según el plan de acción del proyecto aprobado en el mes de enero del 2022 las cuales registran su avance mediante 4 soportes
Actualmente se avanza para la medición del indicador en el desarrollo de las siguientes tareas por cada meta:
META 1.
Tarea 1. Implementar un (1) plan de recorridos en los territorios priorizados para la identificación de hogares por la Tropa Social, que permita el reconocimiento de las dinámicas que fomentan la segregación socioespacial de las poblaciones a través de los resultados de las caracterizaciones
Soporte 1. Matriz de planeación, caracterización y seguimiento de recorridos territoriales de la Tropa Social 
META 2
Tarea 1. Vincular al servicio Tropa Social a tu Hogar a 7.644 hogares, para su atención y el fortalecimiento de proyectos de vida de personas identificadas en pobreza, vulnerabilidad y fragilidad socia
Soporte 1. Informe de la vinculación de 7.644 hogares al servicio Tropa Social a tu Hogar, para el fortalecimiento de proyectos de vida de personas identificadas en pobreza, vulnerabilidad y fragilidad social
META 3
Tarea 1. Elaborar un (1) tablero de control con el monitoreo de logros, avances y dificultades de los compromisos concertados en los contratos sociales familiares suscritos por los hogares acompañados por el servicio Tropa Social a tu Hogar
Soporte 1. Tablero de control y monitoreo de logros, avances y dificultades de los compromisos concertados en los contratos sociales familiares suscritos por los hogares acompañados por el servicio Tropa Social a tu Hogar.
META 4
Tarea 2. Reactivar los proyectos de vida de 1500 personas identificadas en pobreza oculta y priorizadas para su atención en el servicio Tropa social a tu hogar y su modalidad Redes de soporte social para la reactivación de proyectos de vida de personas adultas y sus familias en pobreza oculta.
Soporte 1. Informe del proceso de alistamiento, acompañamiento y enrutamiento a las redes de soporte para la reactivación de proyectos de vida, de 1500 personas identificadas en pobreza oculta y priorizadas para su atención.</t>
  </si>
  <si>
    <t>6/05/2022META 2: En la meta se habla de vincular 7567 hogares y en el soporte se habla se 7644 hogares, por favor hacer claridad sobre esta diferencia.
10/05/2022 No se generan más observaciones respecto al análisis reportado para el seguimiento del indicador. 
 Se recomienda continuar con la actualización del indicador de acuerdo a lo socializado en el comité de gestores</t>
  </si>
  <si>
    <t>7/06/2022 META 2: En la meta se habla de vincular 7567 hogares y en el soporte se habla se 7644 hogares, esta misma observación se realizó en el período anterior, se recomienda realizar los informes de gestión  en esta misma matriz para evitar que se repitan los errores.
17/06/2022 No se generan más observaciones respecto al análisis reportado para el seguimiento del indicador. 
 Se recomienda continuar con la actualización del indicador de acuerdo a lo socializado en el comité de gestores y en las reuniones mensuales que se realizan para el reporte del SPI.</t>
  </si>
  <si>
    <t>A la fecha del reporte se encuentran programadas 6 tareas según el plan de acción del proyecto aprobado en el mes de enero del 2022 las cuales registran su avance mediante 6 soportes
Actualmente se avanza para la medición del indicador en el desarrollo de las siguientes tareas por cada meta:
META 1.
Tarea 1. Se Implemento un (1) plan de recorridos en los territorios priorizados para la identificación de hogares por la Tropa Social, que permita el reconocimiento de las dinámicas que fomentan la segregación socioespacial de las poblaciones a través de los resultados de las caracterizaciones; esta tarea tiene una avance del 40% en el 2 trimestre de esta vigencia.
Soporte 1. Matriz de planeación, caracterización y seguimiento de recorridos territoriales de la Tropa Social 
Tarea 2. Se sigue construyendo el documento sobre el reconocimiento de las dinámicas de segregación socioespacial, que permita profundizar en la lectura del contexto territorial de los hogares caracterizados por la Tropa Social; esta tarea tiene una avance del 50% en el 2 trimestre de esta vigencia.
Soporte 1. Documento técnico de reconocimiento de las dinámicas de segregación socioespacial resultado del proceso de caracterización de la Tropa Social.
META 2
Tarea 2. Se sigue trabajando en la vinculación al servicio Tropa Social a tu Hogar a 7.644 hogares, para su atención y el fortalecimiento de proyectos de vida de personas identificadas en pobreza, vulnerabilidad y fragilidad social; esta tarea tiene una avance del 60% en el 2 trimestre de esta vigencia.
Soporte 1.Informe de la vinculación de 7.644 hogares al servicio Tropa Social a tu Hogar, para el fortalecimiento de proyectos de vida de personas identificadas en pobreza, vulnerabilidad y fragilidad socia.
l
META 3
Tarea 1. Se elaboro un (1) tablero de control con el monitoreo de logros, avances y dificultades de los compromisos concertados en los contratos sociales familiares suscritos por los hogares acompañados por el servicio Tropa Social a tu Hogar; esta tarea tiene una avance del 40% en el 2 trimestre de esta vigencia.
Soporte 1. Tablero de control y monitoreo de logros, avances y dificultades de los compromisos concertados en los contratos sociales familiares suscritos por los hogares acompañados por el servicio Tropa Social a tu Hogar.
Tarea 2. Se elaboro un (1) documento técnico y conceptual, a partir de los resultados del proceso de monitoreo de logros, avances y dificultades de las condiciones que permiten la movilidad social de las mujeres jefas de hogar y sus familias; esta tarea tiene una avance del 50% en el 2 trimestre de esta vigencia.
Soporte 1. Documento técnico y conceptual sobre movilidad social.
META 4
Tarea 2. Se sigue trabajando en la reactivar los proyectos de vida de 1536 personas identificadas en pobreza oculta y priorizadas para su atención en el servicio Tropa social a tu hogar y su modalidad Redes de soporte social para la reactivación de proyectos de vida de personas adultas y sus familias en pobreza oculta; esta tarea tiene una avance del 55% en el 2 trimestre de esta vigencia.
Soporte 1. Informe del proceso de alistamiento, acompañamiento y enrutamiento a las redes de soporte para la reactivación de proyectos de vida, de 1536 personas identificadas en pobreza oculta y priorizadas para su atención.</t>
  </si>
  <si>
    <t>7/07/2022: Se recomienda que las tareas se describan en pasado, pues ya fueron programadas y ejecutadas. También se recomienda hablar en términos de porcentajes 
Por otro lado no hay claridad de donde salió el 24 y tampoco subieron las evidencias de la gestión que se realizó en el segundo trimestre (soporte de las tareas),  esto con el objeto de verificar en el seguimiento que se realiza.
11/07/2022 No se generan más  observaciones respecto al análisis reportado para el seguimiento del indicador.</t>
  </si>
  <si>
    <t>A la fecha del reporte se programaron 4 tareas según el plan de acción del proyecto aprobado en el mes de enero del 2022 las cuales registran su avance mediante 4 soportes
Actualmente se avanza para la medición del indicador en el desarrollo de las siguientes tareas por cada meta:
META 1.
Tarea 1. Se Implemento un (1) plan de recorridos en los territorios priorizados para la identificación de hogares por la Tropa Social, que permita el reconocimiento de las dinámicas que fomentan la segregación socioespacial de las poblaciones a través de los resultados de las caracterizaciones.
Soporte 1. Matriz de planeación, caracterización y seguimiento de recorridos territoriales de la Tropa Social
META 2
Tarea 2. Se sigue trabajando en la vinculación al servicio Tropa Social a tu Hogar a 7.644 hogares, para su atención y el fortalecimiento de proyectos de vida de personas identificadas en pobreza, vulnerabilidad y fragilidad social.
Soporte 1.Informe de la vinculación de 7.644 hogares al servicio Tropa Social a tu Hogar, para el fortalecimiento de proyectos de vida de personas identificadas en pobreza, vulnerabilidad y fragilidad social
META 3
Tarea 1. Se elaboro un (1) tablero de control con el monitoreo de logros, avances y dificultades de los compromisos concertados en los contratos sociales familiares suscritos por los hogares acompañados por el servicio Tropa Social a tu Hogar.
Soporte 1. Tablero de control y monitoreo de logros, avances y dificultades de los compromisos concertados en los contratos sociales familiares suscritos por los hogares acompañados por el servicio Tropa Social a tu Hogar.
META 4
Tarea 1. Se sigue trabajando en el documento técnico y conceptual, a partir de los resultados del proceso de monitoreo de logros, avances y dificultades de las condiciones que permiten la movilidad social de las mujeres jefas de hogar y sus familias
Soporte 1. Informe del proceso de identificación, caracterización, priorización y oferta de servicios del distrito a la población en situación de pobreza oculta.</t>
  </si>
  <si>
    <t xml:space="preserve">9/08/2022: Se recomienda verificar el periodo que esta presentando el análisis de   avance (julio), debido a que son los mismos que se presentaron en el mes de junio.
9/08/2022: No se generan más  observaciones respecto al análisis reportado para el seguimiento del indicador.
 Se recomienda continuar con la actualización del indicador de acuerdo a lo socializado en el comité de gestores y en las reuniones mensuales que se realizan para el reporte del SPI.
</t>
  </si>
  <si>
    <t>A la fecha del reporte se programaron 5 tareas según el plan de acción del proyecto aprobado en el mes de enero del 2022 las cuales registran su avance mediante 4 soportes
Actualmente se avanza para la medición del indicador en el desarrollo de las siguientes tareas por cada meta:
META 1.
Tarea 1. Se Implemento un (1) plan de recorridos en los territorios priorizados para la identificación de hogares por la Tropa Social, que permita el reconocimiento de las dinámicas que fomentan la segregación socioespacial de las poblaciones a través de los resultados de las caracterizaciones.
Soporte 1. Matriz de planeación, caracterización y seguimiento de recorridos territoriales de la Tropa Social
META 2
Tarea 1. Se continua con las acciones de acompañamiento y enrutamiento a la oferta público social y privada del Distrito, en el marco de la modalidad de acompañamiento a hogares de jefatura femenina pobres y hogares en riesgo de pobreza del servicio Tropa Social a tu Hogar
Soporte 1. Informe de las acciones de acompañamiento y enrutamiento a la oferta público social y privada del Distrito, en el marco de la modalidad de acompañamiento a hogares de jefatura femenina pobres y hogares en riesgo de pobreza del servicio Tropa Social a tu Hogar
Tarea 2. Se sigue trabajando en la vinculación al servicio Tropa Social a tu Hogar a 7.644 hogares, para su atención y el fortalecimiento de proyectos de vida de personas identificadas en pobreza, vulnerabilidad y fragilidad social.
Soporte 1.Informe de la vinculación de 7.644 hogares al servicio Tropa Social a tu Hogar, para el fortalecimiento de proyectos de vida de personas identificadas en pobreza, vulnerabilidad y fragilidad social
META 3
Tarea 1. Se elaboró un (1) tablero de control con el monitoreo de logros, avances y dificultades de los compromisos concertados en los contratos sociales familiares suscritos por los hogares acompañados por el servicio Tropa Social a tu Hogar.
Soporte 1. Tablero de control y monitoreo de logros, avances y dificultades de los compromisos concertados en los contratos sociales familiares suscritos por los hogares acompañados por el servicio Tropa Social a tu Hogar, donde se reportan los resultados del proceso de gestión de compromisos individuales de las mujeres jefas de hogar atendidas por el servicio, además de la identificación y gestión de las alertas reconocidas en el proceso de concertación de contratos sociales familiares con corte al 31 de agosto. 
META 4
Tarea 2. Se sigue trabajando en la reactivación de los proyectos de vida de 1536 personas identificadas en pobreza oculta y priorizadas para su atención en el servicio Tropa social a tu hogar y su modalidad Redes de soporte social para la reactivación de proyectos de vida de personas adultas y sus familias en pobreza oculta.
Soporte 1. Informe del proceso de alistamiento, acompañamiento y enrutamiento a las redes de soporte para la reactivación de proyectos de vida, de 1536 personas identificadas en pobreza oculta y priorizadas para su atención.</t>
  </si>
  <si>
    <t xml:space="preserve">7/10/2022: No se encuentra en la carpeta  de evidencias el  "Reporte en Excel de los soportes programados para cada periodo" se recomienda subirlo para el respectivo análisis.
11/10/2022:  No se generan más observaciones respecto al análisis reportado para el seguimiento del indicador
</t>
  </si>
  <si>
    <t>PSS-7770-001</t>
  </si>
  <si>
    <t>Circular No. 017 del 22/06/2022</t>
  </si>
  <si>
    <t>Número de personas Mayores que se encuentran activas en Apoyos Económicos.</t>
  </si>
  <si>
    <t>Evaluar e identificar la cantidad de personas mayores que están siendo atendidas en el servicio de Apoyos Económicos, a partir de los cupos disponibles.</t>
  </si>
  <si>
    <t>Generar las acciones y procedimientos necesarios para garantizar los ingresos de personas mayores, en el marco de la rotación de cupos del servicio.</t>
  </si>
  <si>
    <t>(Número de personas mayores únicas atendidas en el servicio de Apoyos Económicos / personas mayores programadas para la vigencia) *100</t>
  </si>
  <si>
    <t>* Sistema de Información y Registro de Beneficiarios (SIRBE) (A, B y B Desplazados).
* Informe de Balance del Programa Colombia Mayor (Cofinanciado).</t>
  </si>
  <si>
    <t>Se realiza el registro de las personas mayores en atención en el servicio de Apoyos Económicos, el cual es cargado en el sistema SIRBE, para los Apoyos tipo A, B y B Desplazados. Así mismo, se procesa el Informe de Balance del Programa Colombia Mayor, para los Apoyos Cofinanciados. En el denominador se incluye el dato del número de personas programadas para la vigencia 2022. Para el reporte trimestral se toma el total de las personas registradas en la hoja modalidad vigencia del reporte de conteo de metas.</t>
  </si>
  <si>
    <t>Apoyos económicos - Conteo de Metas reportado por la Dirección de análisis y Diseño Estratégico (DADE).</t>
  </si>
  <si>
    <t xml:space="preserve">
Para el periodo reportado (mes de enero) el indicador logra un cumplimiento del 93% de acuerdo con lo programado para la vigencia 2022. Lo anterior teniendo en cuenta que en este periodo  se atendieron a 90.055 personas mayores que se encuentran activas en Apoyos Económicos.
</t>
  </si>
  <si>
    <t xml:space="preserve">14/03/2022: 
Al día de hoy el proyecto no ha realizado actualización de sus indicadores  para la vigencia 2022, se sugiere realizar la misma lo antes posible. Por otro lado, se debe ajustar la redacción del análisis correspondiente ya no que no está teniendo en cuenta la estructura sugerida para este fin.
18/03/2022:
No se generan observaciones respecto al análisis reportado para el seguimiento del indicador.  </t>
  </si>
  <si>
    <t xml:space="preserve">
Para el periodo reportado (mes de febrero) el indicador logra un cumplimiento del 92% de acuerdo con lo programado para la vigencia 2022. Lo anterior teniendo en cuenta que en este periodo, se atendieron a 89.891 personas mayores que se encuentran activas en Apoyos Económicos.
</t>
  </si>
  <si>
    <t xml:space="preserve">18/03/2022:
No se generan observaciones respecto al análisis reportado para el seguimiento del indicador.  </t>
  </si>
  <si>
    <t xml:space="preserve">
Para el primer trimestre del año 2022, el indicador logró un cumplimiento del 94% de acuerdo con lo programado para lo corrido de la vigencia 2022. Lo anterior teniendo en cuenta que, hasta el mes de marzo de 2022, se atendieron a un total de 91.572. personas mayores. 
El 1% de no cumplimiento se debe a la rotación de las personas en el servicio, debido a las particularidades que el mismo presenta.</t>
  </si>
  <si>
    <t xml:space="preserve">
Para el periodo reportado (mes de abril) el indicador logra un cumplimiento del 92% de acuerdo con lo programado para la vigencia 2022. Lo anterior teniendo en cuenta que en el mes de abril de 2022, se atendieron a 90.168 personas mayores. 
Para este periodo el apoyo económico Tipo B, cerró con 11 cupos vacíos, lo cual genera que el indicador reporte menos personas en estado activo / En Atención. Para subsanar esta situación los cupos metropolitanos fueron asignados a las localidades para que sean cubiertos en el mes de mayo de 2022.
</t>
  </si>
  <si>
    <t xml:space="preserve">06/05/2022: 
Falta indicar dentro del análisis porqué no se logró la meta y que se va hacer para mejorar para el siguiente mes.
10/05/2022: 
No se generan observaciones respecto al análisis reportado para el seguimiento del indicador.  </t>
  </si>
  <si>
    <t>Para el periodo reportado (mes de abril) el indicador logra un cumplimiento del 92% de acuerdo con lo programado para la vigencia 2022. Lo anterior teniendo en cuenta que, en el mes de mayo de 2022, se atendieron a 90,370 personas mayores. 
Para este periodo el apoyo económico Tipo B, cerró con 5 cupos vacíos, teniendo en cuenta que en el sistema de información se generó una restricción con el proyecto de emergencia social. Esta situación se está revisando con la DADE.</t>
  </si>
  <si>
    <t>07/06/2022: 
No se generan observaciones respecto al análisis reportado para el seguimiento del indicador.</t>
  </si>
  <si>
    <t>Para el segundo trimestre del año 2022, el indicador logró un cumplimiento del 92.27% de acuerdo con lo programado para lo corrido de la vigencia 2022. Lo anterior teniendo en cuenta que, hasta el mes de junio de 2022, se atendieron a un total de 93.281 personas mayores, teniendo en cuenta la rotación de cupos que se da por egresos del servicio. 
Para dar cumplimiento con el indicador en este trimestre ingresaron al servicio 1.746 personas mayores  teniendo en cuenta la validación y verificación del cumplimiento de criterios de ingreso de las personas que se encontraban en lista de espera, para así garantizar que cuente con un ingreso económico que aporta a sus necesidades básicas.</t>
  </si>
  <si>
    <t xml:space="preserve">07/07/2022:
Complementar el análisis con lo realizado durante el trimestre y a que se debe el resultado obtenido y porqué no se alcanzó la meta.
12/07/2022:
No se generan observaciones respecto al análisis y evidencias reportados para el seguimiento del indicador.  </t>
  </si>
  <si>
    <t>09/08/2022:
Ajustar redacción de acuerdo a lo solicitado.
11/08/2022:
No se generan observaciones respecto al análisis reportado para el seguimiento del indicador.</t>
  </si>
  <si>
    <t>Para este periodo reportado (agosto) el indicador logró un cumplimiento del 89%, de acuerdo con lo programado para lo corrido de la vigencia 2022. Lo anterior teniendo en cuenta que, en el mes de agosto de 2022, se atendieron a 90.298 personas mayores, teniendo en cuenta la rotación de cupos que se da por egresos del servicio.
Para dar cumplimiento con el indicador este mes ingresaron 513 Personas mayores al servicio de apoyos económicos, teniendo en cuenta la validación y verificación del cumplimiento de criterios de ingreso de las personas que se encontraban en lista de espera, para así garantizar que cuente con un ingreso económico que aporta a sus necesidades básicas.
Para el cierre de este mes de agosto se presentaron cupos nación teniendo en cuenta el egreso de personas mayores en apoyos económicos e ingreso al servicio de comunidad de cuidado, situación que generó cerrar con 9 cupos vacíos, afectando el cumplimiento del indicador, igualmente la no liberación de cupos para tener una mayor rotación afecta el indicador.</t>
  </si>
  <si>
    <t>08/09/2022:
No se generan observaciones respecto al análisis reportado para el seguimiento del indicador.</t>
  </si>
  <si>
    <t>Para el tercer trimestre del año 2022, el indicador logró un cumplimiento del 89% de acuerdo con lo programado para lo corrido de la vigencia 2022. Lo anterior teniendo en cuenta que, hasta el mes de septiembre de 2022, se atendieron a un total de 90.386 personas mayores, teniendo en cuenta la rotación de cupos que se da por egresos del servicio. 
Para dar cumplimiento con el indicador en este trimestre ingresaron al servicio 571 personas mayores  teniendo en cuenta la validación y verificación del cumplimiento de criterios de ingreso de las personas que se encontraban en lista de espera, para así garantizar que cuente con un ingreso económico que aporta a sus necesidades básicas</t>
  </si>
  <si>
    <t xml:space="preserve">10/10/2022:
No se generan observaciones respecto al análisis y evidencias reportados para el seguimiento del indicador. </t>
  </si>
  <si>
    <t>PSS-7770-002</t>
  </si>
  <si>
    <t>Relación de la Cantidad de Abonos Efectivos respecto a los Cupos Disponibles.</t>
  </si>
  <si>
    <t>Evaluar el total de Abonos Efectivos a las personas mayores, respecto del total de cupos disponibles en el servicio.</t>
  </si>
  <si>
    <t>Gestión para realizar acciones de desbloqueo a personas mayores, o el egreso del servicio de acuerdo con el procedimiento específico.</t>
  </si>
  <si>
    <t>(Número de Abonos Efectivos / Total de Cupos Disponibles) * 100</t>
  </si>
  <si>
    <t>Con la información de SIRBE, se toma el total de personas mayores que se encuentran en atención en los Apoyos Tipo A, B y B Desplazados y que se le realizó el abono. Para los tipo Cofinanciado, se toma la cantidad de personas que están en atención y cuyo pago fue programado en Nomina, de acuerdo con el balance referenciado por Colombia Mayor. La información de los cupos corresponde a la cobertura global.</t>
  </si>
  <si>
    <t>*Listados de Nómina de Colombia Mayor (Apoyos Cofinanciados).
 *Abonos autorizados SDIS, no autorizados SDIS mes.                   
*Reporte de cupos.</t>
  </si>
  <si>
    <t>Para el periodo reportado (mes de enero) el indicador logra un cumplimiento del 97%, teniendo en cuenta que en el mes enero se realizó el giro de los apoyos económicos a 37.637 personas mayores de los apoyos tipo A, B, desplazados y se programaron en nómina a 49.896 personas mayores del apoyo económico cofinanciado D, lo cual permitió que un total de 87.533 personas mayores contarán con un apoyo económico de $130,0000 para cubrir alguna de sus necesidades básicas.</t>
  </si>
  <si>
    <t xml:space="preserve">14/03/2022: 
Al día de hoy el proyecto no ha realizado actualización de sus indicadores  para la vigencia 2022, se sugiere realizar la misma lo antes posible. Por otro lado, se debe ajustar la redacción del análisis correspondiente ya no que no está teniendo en cuenta la estructura sugerida para este fin.
18/03/2022:
El total indicado no corresponde con el valor de la suma realizada entre 37.637 y 49.896, revisar. 
22/03/2022:
No se generan observaciones respecto al análisis reportado para el seguimiento del indicador.  </t>
  </si>
  <si>
    <t xml:space="preserve">Para el periodo reportado (mes de febrero) el indicador logra un cumplimiento del 97%, teniendo en cuenta que para este periodo se realizó el giro de los apoyos económicos a 37.333 apoyos económicos a  personas mayores de los apoyos tipo A, B, desplazados y se programaron en nomina a 49.985 personas mayores del apoyo económico cofinanciado D, lo cual permitió que 87.318 personas mayores contarán con un apoyo económico de $130.000 para cubrir alguna de sus necesidades básicas. </t>
  </si>
  <si>
    <t xml:space="preserve">18/03/2022:
El total indicado no corresponde con el valor de la suma realizada entre 37.637 y 49.982, revisar. 
22/03/2022:
No se generan observaciones respecto al análisis reportado para el seguimiento del indicador.  
</t>
  </si>
  <si>
    <t xml:space="preserve">Para el primer trimestre del año 2022, el indicador logró un cumplimiento del 97%, teniendo en cuenta que se realizó el giro de los apoyos económicos a 37.237 a personas mayores de los apoyos tipo A, B, desplazados y se programaron en nómina a 49.813 personas mayores del apoyo económico cofinanciado D, lo cual permitió que 87.050 personas mayores contaran con un apoyo económico de $130,0000 para cubrir alguna de sus necesidades básicas.
El 2% por encima de lo proyectado, se debe al efectivo seguimiento realizado por el servicio, lo que se traduce en disminución de personas mayores bloqueadas en el servicio.  </t>
  </si>
  <si>
    <t>Para el periodo reportado (mes de abril) el indicador logra un cumplimiento del  96%, teniendo en cuenta que en el  mes abril se realizó el giro de los apoyos económicos a 37.217  apoyos económicos a  personas mayores de los apoyos tipo A, B, desplazados y se programaron en nómina a 49.205 personas mayores del apoyo económico cofinanciado D, lo cual permitió que 86.422 personas mayores contarán con un apoyo económico de $130.0000 para cubrir alguna de sus necesidades básicas.
El mayor número de giros de apoyos económicos según al promedio programado, se da debido a que se levantaron bloqueos de acuerdo con las validaciones de condiciones realizadas a las personas mayores en las Subdirecciones Locales, lo que impacta el resultado final. Se está trabajando en la actualización de este indicador para atacar el sobre cumplimiento que se presenta en el mismo.</t>
  </si>
  <si>
    <t xml:space="preserve">06/05/2022: 
Falta indicar dentro del análisis a que se debe el sobre cumplimiento del 1% y que se está haciendo para ajustar este tema.
10/05/2022: 
No se generan observaciones respecto al análisis reportado para el seguimiento del indicador.  </t>
  </si>
  <si>
    <t>Para el periodo reportado (mes de mayo) el indicador logra un cumplimiento del 96%, teniendo en cuenta que en el mes mayo se realizó el giro de los apoyos económicos a 37.105 apoyos económicos a personas mayores de los apoyos tipo A, B, desplazados y se programaron en nómina a 49.292 personas mayores del apoyo económico cofinanciado D, lo cual permitió que 86,397 personas mayores contaran con un apoyo económico de $130.0000 para cubrir alguna de sus necesidades básicas.</t>
  </si>
  <si>
    <t>Para el segundo trimestre el indicador logra un cumplimiento del  96.86%, teniendo en cuenta que en el  mes junio se realizó el giro de los apoyos económicos a 37.039  apoyos económicos a  personas mayores de los apoyos tipo A, B, B, desplazados y 49.980 personas mayores del apoyo económico cofinanciado D, lo cual permitió que 87.019 personas mayores contaran con un apoyo económico de $130.0000 para cubrir alguna de sus necesidades básicas.
El  no cumplimiento del indicador obedece tanto a los puntos de control que tiene el servicio como al bloqueo preventivo de las tarjetas y la suspensión del apoyo económico cofinanciado, lo que impacta el resultado final. Las Subdirecciones locales y la Subdirección para la Vejez vienen avanzando en la depuración de los casos bloqueados y definir la situación de cada uno de los casos y si no continúan en el servicio se libera el cupo.</t>
  </si>
  <si>
    <t xml:space="preserve">07/07/2022:
Complementar el análisis, hay que explicar las cifras reportadas y las mismas no se mencionan ni quisiera en este análisis, y hay que indicar que hizo falta para cumplir la meta y que se va hacer para corregirlo (revisar redacción de análisis del mes de marzo y guiarse en por esta para realizar el ajuste).
12/07/2022:
No se generan observaciones respecto al análisis y evidencias reportados para el seguimiento del indicador.  </t>
  </si>
  <si>
    <t xml:space="preserve">09/08/2022:
En las evidencias hace falta el archivo denominado *Reporte de cupos, para poder evidenciar la meta del mes, además ajustar la redacción de acuerdo a lo requerido.
11/08/2022:
No se generan observaciones respecto al análisis y evidencias reportados para el seguimiento del indicador.  </t>
  </si>
  <si>
    <t xml:space="preserve">Para este periodo el indicador logra un cumplimiento del 97%, teniendo en cuenta que en el mes agosto se realizó el giro de los apoyos económicos a 37.476 a personas mayores de los apoyos tipo A, B, B, desplazados y 49.857 personas mayores del apoyo económico cofinanciado D, lo cual permitió que 87.333 personas mayores contarán con un apoyo económico de $130.0000 para cubrir algunas de sus necesidades básicas.
El no cumplimiento del indicador obedece a los puntos de control que tiene el servicio como el bloqueo preventivo de las tarjetas y las suspensión del apoyo económico cofinanciado, lo que impacta el resultado final. 
Para el cumplimiento del indicador, las Subdirecciones locales y la Subdirección para la Vejez vienen avanzando en la depuración de los casos bloqueados para definir la situación de cada uno de las personas mayores bloqueadas si continúan en el servicio o este cupo es liberado para permitir el ingreso de personas mayores que se encuentran en lista de espera del servicio de apoyos económicos para personas mayores.
</t>
  </si>
  <si>
    <t xml:space="preserve">08/09/2022:
Ajustar la redacción, ya que lo señalado en rojo no concuerda con la meta establecida del 98%, de hecho están en sobre cumplimiento.
09/09/2022:
No se generan observaciones respecto al análisis y evidencias reportados para el seguimiento del indicador. </t>
  </si>
  <si>
    <t>Para este periodo el indicador logra un cumplimiento del 97%, teniendo en cuenta que en el mes septiembre se realizó el giro de los apoyos económicos a 37.462 a personas mayores de los apoyos tipo A, B, B, desplazados y 49.883 personas mayores del apoyo económico cofinanciado D, lo cual permitió que 87,345 personas mayores contarán con un apoyo económico de $130.0000 para cubrir algunas de sus necesidades básicas.
El no cumplimiento del indicador obedece a los puntos de control que tiene el servicio como el bloqueo preventivo de las tarjetas y las suspensión del apoyo económico cofinanciado, lo que impacta el resultado final. 
Para el cumplimiento del indicador, las Subdirecciones locales y la Subdirección para la Vejez vienen avanzando en la depuración de los casos bloqueados para definir la situación de cada uno de las personas mayores bloqueadas si continúan en el servicio o este cupo es liberado para permitir el ingreso de personas mayores que se encuentran en lista de espera del servicio de apoyos económicos para personas mayores.</t>
  </si>
  <si>
    <t xml:space="preserve">10/10/2022:
No Hay evidencias adjuntas en la carpeta indicador 002.
12/10/2022:
No se generan observaciones respecto al análisis y evidencias reportados para el seguimiento del indicador. </t>
  </si>
  <si>
    <t>PSS-7770-003</t>
  </si>
  <si>
    <t>Número de personas mayores vinculadas al servicio social Centros Día, que inician sus procesos en desarrollo de los componentes de ocupación humana, participación y redes y estilos de vida saludables.</t>
  </si>
  <si>
    <t>Evaluar y hacer seguimiento a la vinculación de personas mayores que inician procesos en desarrollo de los componentes de ocupación humana, participación y redes y estilos de vida saludables en el Servicio Social Centro Día.</t>
  </si>
  <si>
    <t>Llevar a cabo acciones integrales que incentiven la participación y permanencia de la persona en el desarrollo de los componentes de ocupación humana, participación y redes o estilos de vida saludables, más allá de su vinculación al Servicio Social Centro Día.</t>
  </si>
  <si>
    <r>
      <t xml:space="preserve">(Número de personas mayores </t>
    </r>
    <r>
      <rPr>
        <sz val="9"/>
        <color rgb="FFFF0000"/>
        <rFont val="Arial"/>
        <family val="2"/>
      </rPr>
      <t xml:space="preserve"> </t>
    </r>
    <r>
      <rPr>
        <sz val="9"/>
        <rFont val="Arial"/>
        <family val="2"/>
      </rPr>
      <t>atendidas</t>
    </r>
    <r>
      <rPr>
        <sz val="9"/>
        <color rgb="FFFF0000"/>
        <rFont val="Arial"/>
        <family val="2"/>
      </rPr>
      <t xml:space="preserve">  </t>
    </r>
    <r>
      <rPr>
        <sz val="9"/>
        <rFont val="Arial"/>
        <family val="2"/>
      </rPr>
      <t xml:space="preserve"> en Centro Día / Número de personas mayores programadas en Centro Día) * 100</t>
    </r>
  </si>
  <si>
    <t xml:space="preserve">Sistema de Información y Registro de Beneficiaros (SIRBE).
</t>
  </si>
  <si>
    <t>La información se obtiene Sistema de Información y Registro de Beneficiaros (SIRBE), teniendo en cuenta el número de personas en estado de atención y atendidas para el servicio Centros Día.  En el denominador se incluye el dato del número de personas programadas en el plan de acción para la vigencia 2022.</t>
  </si>
  <si>
    <t>*Resultado Cruce Centro Día . En este archivo se puede identificar fácilmente el No. de personas mayores en atención o atendidas evidencia para el (Numerador)
*Reporte meta SIRBE, evidencia para el numerador (Denominador)</t>
  </si>
  <si>
    <t>Para el periodo reportado (mes de enero) se realizaron diferentes actividades en las unidades operativas, las cuales promovieron la participación de 17.896 personas mayores, al menos en 2 sesiones al mes, cada una de 2 horas, con quienes se iniciaron y realizaron procesos ocupacionales, asociativos y de desarrollo humano donde a través de la Modalidad Casa de la Sabiduría del Servicio Social Centro Día, se continúa con la atención integral interdisciplinaria y el desarrollo de las acciones definidas en la canasta mínima de la ley 1276 de 2009 que incluyen la entrega de apoyo alimentario, orientación psicosocial, desarrollo de actividades ocupacionales y productivas, recreativas, deportivas y culturales, gestión intersectorial para la atención primaria en salud, verificación del aseguramiento en salud y encuentros intergeneracionales, garantizando así las acciones que promuevan la permanencia de los participantes en el servicio social y vinculándolos a diferentes estrategias extramurales que fomenten los componentes y las líneas de acción para la atención integral.</t>
  </si>
  <si>
    <t xml:space="preserve">14/03/2022: Al día de hoy el proyecto no ha realizado actualización de sus indicadores  para la vigencia 2022, se sugiere realizar la misma lo antes posible. Por otro lado, se debe ajustar la redacción del análisis correspondiente ya no que no está teniendo en cuenta la estructura sugerida para este fin.
17/03/2022:
No se generan observaciones respecto al análisis reportado para el seguimiento del indicador.  </t>
  </si>
  <si>
    <t>Para el periodo reportado (mes de febrero) se estableció dentro del ajuste al lineamiento del Servicio Social Centro Día, como  componentes, los siguientes: Ocupación Humana y el de participación y redes y Estilos de vida saludable, mediante los cuales se podrá evidenciar el abanico de oportunidades a las que pueden acceder las personas mayores en la unidad operativa. También se logró la parametrización en el sistema de información SIRBE, de dichos componentes, lo que permitirá observar el comportamiento de las asistencias y monitorear las tendencias de participación. 
Durante el mes de febrero de 2022 además se realizaron más de 920 actividades grupales relacionadas con ocupación, desarrollo humano, recreación, actividad física, deportiva, artística, interacción social y demás, garantizando la atención integral interdisciplinaria desde el inicio del proyecto de inversión a 24.487 personas mayores en el Servicio.</t>
  </si>
  <si>
    <t>18/03/2022:
No se generan observaciones respecto al análisis reportado para el seguimiento del indicador.</t>
  </si>
  <si>
    <t>Para el primer trimestre del año 2022, se beneficiaron 25,092 personas mayores en lo corrido del proyecto de inversión 7770. Se amplió la cobertura con la reubicación de la unidad operativa Monseñor Oscar A. Romero de la localidad Rafael Uribe Uribe, pasado de atender 520 personas a poner a disposición un total de 720 cupos en la nueva sede. Se mantiene focalización en las localidades de Antonio Nariño y Usme en el sector La Flora. Mediante la Estrategia Centro Día al Barrio se está culminando la fase de identificación, georreferenciación y caracterización en el lote 1 que acoge a las localidades de Suba, Engativá, Barrios Unidos y Usaquén. Mediante la resolución 0509 del 20 de abril de 2021 y su anexo modificado el 17 de dic de 2021 “Por la cual se definen las reglas aplicables a los servicios sociales, los instrumentos de focalización de las SDIS, y se dictan otras disposiciones”, se incluye el enfoque étnico en la priorización para el ingreso de las personas mayores al Servicio Social. 
Durante el mes de marzo se logró aumentar de 920 de más de 1.500 encuentros generacionales en las unidades operativas, a través de la Modalidad Casa de la Sabiduría del Servicio Social Centro Día, atendiendo integral e interdisciplinariamente a la población en desarrollo de las acciones definidas en el lineamiento general del servicio y en lo establecido en la canasta mínima de la ley 1276 de 2009, logrando una cobertura desde el inicio del proyecto de 25.092 personas mayores en 24 unidades operativas.</t>
  </si>
  <si>
    <t>Para el periodo reportado (mes de abril) respecto al cumplimiento de la meta, se alcanzó la misma dado que se realizó la atención de 20.291 personas mayores que asistieron al centro día Modalidad Casa de la Sabiduría, quienes participaron en más de 1.500 encuentros generacionales y con temáticas específicas que corresponden a los componentes de Ocupación Humana, Participación y Redes, y estilos de vida saludable.
De igual manera, se vienen desarrollando jornadas de articulación con la Oficina de Alta Consejería TIC, de la Alcaldía Mayor de Bogotá en beneficio de la población de personas mayores; en cursos virtuales y presenciales con aliados estratégicos (públicos y privados) como lo son: Fundación telefónica, Tigo, ministerio TIC colnodo.
Por último, desde la Estrategia Centro Día al Barrio se avanza en la ampliación de la cobertura con 10.400 personas mayores, garantizando los derechos y allegando los beneficios en los territorios mediante 4 encuentros por grupo, en 3 o 4 jornadas diarias, durante cada semana. Así mismo, se viene avanzando en valoraciones integrales de la capacidad funcional de los participantes. Se empezó activación de bonos canjeables por alimentos en el lote 1, y adicionalmente la estrategia empezó a articularse al SIDICU en la manzana del cuidado de Mártires con acciones en el barrio Samper Mendoza.</t>
  </si>
  <si>
    <t xml:space="preserve">06/05/2022: 
Falta incluir del mes respecto al cumplimiento de la meta, se cumplió? No se cumplió?, que se va hacer si no se cumplió?.
10/05/2022: 
No se generan observaciones respecto al análisis reportado para el seguimiento del indicador. </t>
  </si>
  <si>
    <t xml:space="preserve">07/07/2022:
Revisar cifras y ajustar redacción, recuerden que el reporte tanto cualitativo como cuantitativo debe ser del trimestre para el caso de este indicador, las cifras que están describiendo en el análisis no son del todo coherentes con las cifras del trimestre que se deberían reportar, revisar y ajustar, además de indicar si se cumplió o no con la meta y porqué si o porque no. Se recomienda tener en cuenta todo lo revisado en los meses anteriores, ya que no es la primera vez que se les indica la información que debe contener el análisis.
12/07/2022:
No se generan observaciones respecto al análisis y evidencias reportados para el seguimiento del indicador.  
</t>
  </si>
  <si>
    <t>Para el periodo reportado (mes de julio)  se han beneficiado 27.676 personas mayores a través del Servicio Social Centro Día, de las cuales 21.265 personas mayores se encuentran en  estado en atención según lo reportado en el Sistema de Información y Registro de Beneficiarios (SIRBE). 
-Se atienden 202 personas mayores con enfoque diferencial pertenecientes a pueblos indígenas, Rrom, Raizal, Afrocolombianas y negras a través de las diferentes acciones afirmativas en cada una de las unidades operativas.
-Se está brindando atención a 58 personas mayores que pertenecen a la población indígena, Rrom, Palenquero, Afrocolombianas y negras, y a 93 participantes de la ruralidad en el sector de Serrezuela Aurora Alto. 
- Se entregaron 279 apoyos alimentarios a las personas mayores de la ruralidad, a través de la Casa de la Sabiduría el Verdegal localidad de Sumapaz, al igual que la entrega de refrigerios en cada unidad operativa como complemento a las actividades presenciales. 
-Se realizaron 11 encuentros intergeneracionales con las personas mayores y sus redes de apoyo en las Casas de la Sabiduría de Kennedy, Mártires, San Cristóbal, Engativá, Usaquén, Fontibón y Suba. 
-Se avanzó en la aplicación de las valoraciones de la actividad funcional, bitácoras y gestión documental en las 25 unidades operativas en funcionamiento.
-En la estrategia de Centro Día al Barrio se han beneficiado 11.489, personas mayores distribuidas por localidades en 4 lotes. 
-Se generó una nueva alianza estratégica con el SENA y se mantienen articulaciones con la fundación Gilberto Álzate Avendaño FUGA, Línea Converge, Impulso Colectivo, Gerencia de Danza, Museo del Oro, COLNODOS, Alta Consejería de la Alcaldía Mayor de Bogotá, TIGO, secretaria del Medio Ambiente, Jardín Botánico, IDARTES e IDRD.</t>
  </si>
  <si>
    <t xml:space="preserve">09/08/2022:
No se generan observaciones respecto al análisis reportado para el seguimiento del indicador.  </t>
  </si>
  <si>
    <t xml:space="preserve">Para el este mes reportado (agosto) se han beneficiado 27.867 personas mayores a través del Servicio Social Centro Día, de las cuales 20.972 personas mayores se encuentran es estado en atención según lo reportado en el Sistema de Información y Registro de Beneficiarios (SIRBE). A saber:
-Se atienden 207 personas mayores con enfoque diferencial pertenecientes a pueblos indígenas, Rrom, Raizal, Afrocolombianas y negras a través de las diferentes acciones afirmativas en cada una de las unidades operativas.
- Entrega de refrigerios en cada una de las actividades diseñadas en el marco de la conmemoración del mes del envejecimiento y la vejez a nivel local y distrital. 
-Capacitación al equipo técnico distrital conforme la ley 055 de 2018, y ajustes para la aplicación del Instrumento Único de Verificación (IUV)
- 1.565 personas mayores participaron en actividades de trabajo asociativo y de productividad. 
- Hubo participación en más de 20 actividades culturales, académicas, recreativas y de emprendimiento a nivel distrital, en el marco de la conmemoración del mes del envejecimiento y la vejez, con el fin de reconocer los derechos de las personas mayores, al igual que charlas en prevención de violencias, específicamente sobre el abandono en esta etapa del ciclo vital en las diferentes unidades operativas y escenarios territoriales.
-Se realizaron 17 encuentros intergeneracionales en las localidades de Suba, Bosa Ciudad Bolívar, Engativá, Rafael Uribe Uribe, Usme, Kennedy y Santa Fe, quienes contaron con la participación de 2.647 personas mayores y 561 acompañantes menores de 60 años, en temas de suma importancia que impactan de manera significativa a las personas mayores y sus redes de apoyo; algunos de ellos en el marco de la conmemoración del mes del envejecimiento y la vejez. 
-En la estrategia de Centro Día al Barrio se han beneficiado 11.658, personas mayores distribuidas por localidades en 4 lotes.
- Se realizó adición al convenio 11.868, 11.869 y 11.870 con el asociado Foro Cívico hasta el 30 de septiembre de 2022, favoreciendo la continuidad en la atención de 9.000 personas mayores, con una ampliación de 6 encuentros generacionales más por grupo. </t>
  </si>
  <si>
    <r>
      <t xml:space="preserve">Para el tercer trimestre de 2022, respecto al cumplimiento de la meta, se ha logrado llegar a 35.091 personas únicas atendidas, en 25 unidades operativas en las 18 localidades de la ciudad; mediante más de 5.000 encuentros generacionales diurnos y 30 Encuentros intergeneracionales.
Se avanza en la transformación del servicio y se inicia la implementación del lineamiento que enmarca la operación en 3 componentes: Ocupación Humana, Participación y Redes, y estilos de vida saludable, con sus 11 líneas de atención. Se adoptan los Estándares de calidad del Servicio Social Centro Día, se actualizan y formalizan los documentos en el SG, aportando a la adecuada prestación del servicio que fomenta el desarrollo integral de las personas mayores de 60 años, a partir del reconocimiento y potenciación de sus capacidades, la integración a la vida familiar, social, comunitaria, cultural, económica y política de la ciudad, mediante un conjunto de estrategias, acciones y recursos teniendo en cuenta los enfoques de: derechos, territorial, poblacional, género, desarrollo humano, diferencial, participación y cultura ciudadana, que permitan aportar al mejoramiento de su calidad de vida y ampliar sus oportunidades para vivir como se quiere en la vejez.
</t>
    </r>
    <r>
      <rPr>
        <strike/>
        <sz val="9"/>
        <color rgb="FFFF0000"/>
        <rFont val="Arial"/>
        <family val="2"/>
      </rPr>
      <t xml:space="preserve">
</t>
    </r>
    <r>
      <rPr>
        <sz val="9"/>
        <rFont val="Arial"/>
        <family val="2"/>
      </rPr>
      <t>El sobre cumplimiento obedece  a la suma de las personas mayores atendidas con participación superior al 75% del proceso de la Estrategia Centro Día al Barrio, por ello se observa un incremento superior en el cumplimiento de la meta. Esta suma sólo se realizó para el mes de septiembre por cuanto se debía considerar el cumplimiento del 75%.</t>
    </r>
  </si>
  <si>
    <t xml:space="preserve">10/10/2022:
Hace falta la evidencia: *Reporte meta SIRBE, evidencia para el numerador, adicionalmente deben recortar la estructura que debe tener la redacción del reporte: Valor del cumplimiento de la meta del indicador pare el periodo + Acción realizada (se relaciona directamente con el nombre del indicador) + Rezago y su respectiva causa o justificación  (si aplica) + Sobrecumplimiento y su causa (si aplica) + Acción de mejora (si aplica), explicar porqué del sobre cumplimiento.
12/10/2022:
No se generan observaciones respecto al análisis y evidencias reportados para el seguimiento del indicador. </t>
  </si>
  <si>
    <t>PSS-7770-004</t>
  </si>
  <si>
    <t>Porcentaje de personas mayores de Cuidado Transitorio que participan en acciones de autocuidado y dignificación.</t>
  </si>
  <si>
    <t>Determinar cuántas personas que acceden al servicio Cuidado Transitorio participan en acciones de autocuidado y dignificación.</t>
  </si>
  <si>
    <t>Estrategias para implementar acciones de autocuidado y dignificación en las personas mayores participantes de la modalidad cuidado transitorio.</t>
  </si>
  <si>
    <r>
      <t>(Número de personas mayores participantes en acciones de Autocuidado y Dignificación que se encuentran en la modalidad de Cuidado Transitorio/ Total personas participantes</t>
    </r>
    <r>
      <rPr>
        <strike/>
        <sz val="9"/>
        <rFont val="Arial"/>
        <family val="2"/>
      </rPr>
      <t xml:space="preserve"> </t>
    </r>
    <r>
      <rPr>
        <sz val="9"/>
        <rFont val="Arial"/>
        <family val="2"/>
      </rPr>
      <t>que se encuentran en la modalidad de Cuidado Transitorio) * 100</t>
    </r>
  </si>
  <si>
    <t>Sistema de Información y Registro de Beneficiaros (SIRBE).</t>
  </si>
  <si>
    <t>La información se obtiene del Sistema de Información y Registro de Beneficiaros (SIRBE), teniendo en cuenta las personas que participan en acciones de autocuidado y dignificación (el número de personas en estado de atención y atendidas) / número de personas en estado en atención y atendidas para la modalidad de Cuidado Transitorio.</t>
  </si>
  <si>
    <t>*Registro de personas con actuación de seguimiento PAI en el SIRBE reportado por el DADE (Numerador).
*Reporte de conteo de metas dado por DADE. (Denominador)</t>
  </si>
  <si>
    <t xml:space="preserve">Para el periodo reportado (mes de febrero), se realizaron 113 encuentros en la modalidad de Cuidado Transitorio orientados al autocuidado y dignificación de las personas mayores, donde se identificó que se contribuyó al fortalecimiento y establecimiento de hábitos salubres así como el aporte a la calidad de vida mediante la dignificación humana y descanso integral. Estos encuentros permitieron seguir potenciando las habilidades personales y grupales de las personas, sus habilidades motoras, mentales y físicas, se fortalecieron los hábitos saludables, las relaciones interpersonales. Así mismo, se impacto positivamente en las personas en tanto que se reforzó la dimensión comunicativa de la persona y en la construcción de identidad y valores de las persona mayor. </t>
  </si>
  <si>
    <t xml:space="preserve">Para el periodo reportado (primer trimestre del año 2022), han participado en actividades de autocuidado y dignificación 948 personas mayores conforme lo reportado en el sistema SIRBE. Para ello se llevaron a cabo 68 encuentros orientados al cuidado y dignificación de las personas mayores, a través de los cuáles se continúa fortaleciendo sus procesos de autonomía, independencia y reducción del daño. De igual forma, por medio de estos encuentros las personas mayores adquirieron herramientas para fortalecer sus vínculos, su corresponsabilidad, toma decisiones, autocuidado y hábitos saludables. Estos encuentros también continuaron fortaleciendo las habilidades motoras, mentales y físicas de las personas mayores, la promoción del buen trato y la prevención de las violencias.	
Frente a la evidencia es necesario precisar que el reporte se realiza con base en el reporte SIRBE, debido a que por el cambio en las condiciones en la prestación del servicio (pandemia COVID-19), ya no se tienen en cuenta los listados de asistencia. Esta actualización se verá reflejada en el siguiente seguimiento.
Cabe resaltar que las personas que se encuentran a la modalidad de Cuidado Transitorio, todas sin excepción participan en dichas actividades. </t>
  </si>
  <si>
    <t>Para el periodo reportado (mes de mayo) respecto al cumplimiento de la meta, se cumplió la misma dado que se llevaron a cabo encuentros orientados al cuidado y dignificación de las personas mayores. En lo correspondiente al mes de mayo se atendieron encuentros en los que participaron 438 personas, las cuales continuaron fortaleciendo sus procesos de autonomía e independencia. De igual forma, las personas mayores continúan desarrollando habilidades para la vida, como son la reorientación de sus proyectos de vida, los riesgos asociados a la vida en calle, así como habilidades para fortalecer sus relaciones interpersonales. Por medio de la atención recibida, las personas mayores también fortalecieron aspectos relacionados con su salud física, emocional y mental.   Por medio de los diferentes encuentros se continua fortaleciendo los procesos de autocuidado y las habilidades físico-motoras.</t>
  </si>
  <si>
    <t>La modalidad de Cuidado Transitorio día noche está dirigida a personas mayores en riesgo o situación de habitabilidad en calle, en esta se desarrollan de manera permanente actividades de autocuidado y dignificación desde que la persona mayor ingresa hasta que sale de la unidad operativa, en donde reciben beneficios de aseo personal, alimentación saludable, descanso, acompañamiento interdisciplinario y actividades que promueven de manera directa el autocuidado y dignificación de las personas mayores participantes; para efectos de la medición del presente indicador, se tiene en cuenta la participación de los participantes en estas últimas actividades, en donde se trabaja la transformación de imaginarios adversos a la vejes, fortalecimiento de habilidades cognitivas, físicas, comunicativas y sociales, promoción del buen trato y prevención de violencias, hábitos de autocuidado, salud mental, entre otras. 
La participación en las actividades anteriormente descritas es voluntaria, respetando siempre la autonomía y toma de decisiones de las personas mayores participantes, encontrando que para el segundo  trimestre de la presente vigencia, de los 526 participantes en la modalidad, el 89,35% participaron en dichas actividades, es decir, 470 personas mayores, este porcentaje se encuentra por debajo del porcentaje planeado, dado que la modalidad ha tenido un retorno progresivo a la normalidad, pasando de una atención que permitió el aislamiento preventivo de las personas mayores durante la emergencia sanitaria a una atención transitoria, esto conlleva a que las personas mayores, en el marco de su autonomía e independencia asistan al servicio solo a tener espacios de atención básica y descanso sin participar en actividades, por lo cual se nota un decremento en el cumplimiento del indicador</t>
  </si>
  <si>
    <t xml:space="preserve">07/07/2022:
Complementar el análisis con a que se debe el resultado obtenido y porqué no se alcanzó la meta.
12/07/2022:
No se generan observaciones respecto al análisis y evidencias reportados para el seguimiento del indicador.  </t>
  </si>
  <si>
    <t xml:space="preserve">La modalidad de Cuidado Transitorio día noche esta dirigida a personas mayores en riesgo o situación de habitabilidad en calle, en esta se desarrollan de manera permanente actividades de autocuidado y dignificación desde que la persona mayor ingresa hasta que sale de la unidad operativa, en donde reciben beneficios como  aseo personal, alimentación saludable, descanso, acompañamiento interdisciplinario y actividades que promueven de manera directa el autocuidado y dignificación de las personas mayores participantes; para efectos de la medición del presente indicador, se tiene en cuenta la participación de los participantes en estas ultimas actividades, en donde se trabaja la transformación de imaginarios adversos a la vejez, fortalecimiento de habilidades cognitivas, físicas, comunicativas y sociales, promoción del buen trato y prevención de violencias, hábitos de autocuidado, salud mental, entre otras. 
La participación en la actividades anteriormente descritas es voluntaria, respetando siempre la autonomía y toma de decisiones de las personas mayores participantes, encontrando que para el mes de julio, de los 319 participantes atendidos en la modalidad, 269 participaron en dichas actividades. De igual manera, se implementan estrategias para fomentar la participación en las diferentes actividades con el fin de dar cumplimiento a la meta establecida, con base en el establecimiento y la identificación de gustos e intereses con el fin de diseñar e implementar acciones que permitan a las personas mayores establecer intereses de participación. </t>
  </si>
  <si>
    <t>09/08/2022:
Profundizar más en que están haciendo para que más personas participen activamente en las actividades, y así lograr la meta.
11/08/2022:
No se generan observaciones respecto al análisis reportado para el seguimiento del indicador.</t>
  </si>
  <si>
    <t>08/09/2022:
Ajustar la redacción, para que quede en termino del mes que se está reportando no el trimestre porque este es reporte cualitativo, no cuantitativo.</t>
  </si>
  <si>
    <r>
      <t xml:space="preserve">Para el periodo reportado (julio, agosto, septiembre) la modalidad de Cuidado Transitorio día </t>
    </r>
    <r>
      <rPr>
        <strike/>
        <sz val="9"/>
        <color rgb="FFFF0000"/>
        <rFont val="Arial"/>
        <family val="2"/>
      </rPr>
      <t xml:space="preserve"> </t>
    </r>
    <r>
      <rPr>
        <sz val="9"/>
        <rFont val="Arial"/>
        <family val="2"/>
      </rPr>
      <t xml:space="preserve">comprende la atención transitoria en medio institucional, brindada a las personas mayores de 60 años o más que se encuentran en riesgo o situación de habitabilidad en calle en la ciudad Bogotá a través de una atención básica con servicios de alojamiento, alimentación y aseo personal, desarrollando acciones que promueven el autocuidado, la dignificación y el ejercicio de derechos, favoreciendo la autonomía y el envejecimiento activo de las personas mayores a través del cuidado y atención integral.
En lo que respecta a la medición del presente indicador, se tiene en cuenta la participación de los participantes en diferentes encuentros enmarcados en el Plan de Atención Institucional. Dichos encuentros promueven el autocuidado y la dignificación de la persona mayor participante de la modalidad de atención, en los cuales se abordan temáticas como: derechos humanos y rutas de atención; habilidades para la vida; fortalecimiento de habilidades físicas, cognitivas, comunicativas y sociales; transformación de imaginarios adversos sobre la vejez; salud mental; hábitos de autocuidado; promoción del buen trato y prevención de violencias. En este sentido, se encontró que, de los 481 participantes atendidos en la modalidad durante el trimestre (julio-agosto-septiembre/2022), 373  participaron en estos encuentros; esto equivale a decir que el 78% de las personas atendidas participaron en los encuentros señalados. Ahora bien, cabe recordar que la participación en cada uno de los encuentros es voluntaria, respetando siempre la autonomía y toma de decisiones de las personas mayores participantes. Adicional, se debe tener en cuenta que, a raíz del retorno a la normalidad, se ha evidenciado que las personas mayores, particularmente aquellas que ingresan en el horario de la noche, optan únicamente por recibir el componente nutricional, hacer uso del descanso confortable y seguro y aseo personal. </t>
    </r>
  </si>
  <si>
    <t xml:space="preserve">10/10/2022:
Ajustar redacción de acuerdo con estructura sugerida, adicionalmente la evidencia adjunta no corresponde a lo reportado como evidencia en el indicador: *Registro de personas con actuación de seguimiento PAI en el SIRBE reportado por el DADE (Numerador).
*Reporte de conteo de metas dado por DADE. (Denominador), de igual manera en el adjunto se da cuenta de 372 y no 371, como lo están reportando, revisar.
12/10/2022:
No se generan observaciones respecto al análisis y evidencias reportados para el seguimiento del indicador. 
</t>
  </si>
  <si>
    <t>PSS-7770-006</t>
  </si>
  <si>
    <t>Personas mayores que cuentan con un plan de atención integral individual de la modalidad Comunidad de Cuidado</t>
  </si>
  <si>
    <t>Determinar las personas mayores con quienes se ha elaborado el Plan de Atención Integral Individual (herramienta que permite la planeación interdisciplinaria conjunta con la persona mayor y la implementación de las acciones de cuidado integral que den cuenta del cumplimiento del objetivo de atención) en la modalidad Comunidad de Cuidado.</t>
  </si>
  <si>
    <t>Contar con el plan de atención integral individual de cada persona mayor, en alguna de sus tres fases: conociendo, planeando y monitoreando (dependiendo de su tiempo de permanencia en el servicio) especificando las acciones a desarrollar por cada una de las disciplinas del equipo profesional de Comunidad de Cuidado.</t>
  </si>
  <si>
    <t>(Número de personas mayores que cuentan con Plan de Atención Integral Individual en los servicios de modalidad Comunidad de Cuidado / Número total de personas mayores en atención en los servicios de modalidad Comunidad de Cuidado.) * 100.</t>
  </si>
  <si>
    <t>Sistema de Información y Registro de Beneficiaros (SIRBE).
Se requiere parametrizar en el SIRBE la  actuación de intervención que responda a la etapa en que se encuentra el Plan de Atención Integral Individual, de cada persona mayor.
A todos los participantes se les registrará la actuación de intervención de acuerdo a su tiempo de permanencia en el servicio.</t>
  </si>
  <si>
    <t>La información se obtiene del Sistema de Información y Registro de Beneficiaros (SIRBE), teniendo en cuenta el número de personas mayores que cuentan con el Plan de Atención Integral Institucional en la etapa correspondiente de acuerdo a su tiempo de  permanencia en el servicio y las personas mayores en atención en la modalidad.</t>
  </si>
  <si>
    <t>*Base de datos de los Planes de Atención Integral Individual reportados por los Centros de Comunidad de Cuidado. (Numerador)
*Reporte de SIRBE con número de personas mayores en atención en la modalidad de Comunidad de Cuidado. (Denominador)</t>
  </si>
  <si>
    <t xml:space="preserve">Para el periodo reportado (mes de enero) las 1.958 personas participantes de la modalidad Comunidad de Cuidado contaron con un Plan de atención individual, lo cual ha permitido trabajar desde las necesidades y realidades propias de cada persona en pro de favorecer su calidad de vida y el ejercicio de sus derechos. Las personas mayores  contaron con un plan de atención individual y a través de estos se logró el reconocimiento individual de las habilidades, capacidades, potencialidades de las personas mayores, así como su desarrollo de la autonomía, la seguridad, la protección y el envejecimiento activo. </t>
  </si>
  <si>
    <t xml:space="preserve">14/03/2022: 
Al día de hoy el proyecto no ha realizado actualización de sus indicadores  para la vigencia 2022, se sugiere realizar la misma lo antes posible. Por otro lado, se debe ajustar la redacción del análisis correspondiente ya no que no está teniendo en cuenta la estructura sugerida para este fin.
17/03/2022:
Completar la información faltante.
22/03/2022:
No se generan observaciones respecto al análisis reportado para el seguimiento del indicador.  </t>
  </si>
  <si>
    <t>Para el periodo reportado (mes de febrero), las 1.944 personas participantes de la modalidad Comunidad de Cuidado contaron con un Plan de atención individual, lo cual ha permitido trabajar desde las necesidades y realidades propias de cada persona en pro de favorecer su calidad de vida y el ejercicio de sus derechos. A través del plan de atención individual, el cuál está conformado por las fases de conociendo, planeando y actuando y donde se logró fomentar las habilidades de las personas mayores, sus potencialidades y capacidades individuales, potenciando de esta forma su autonomía, su autoimagen, lo anterior a partir de actividades y espacios que correspondan a los intereses de las personas desde su identidad cultural.</t>
  </si>
  <si>
    <t xml:space="preserve">Para el periodo reportado (mes de marzo) las 1.926 personas participantes de la modalidad Comunidad de Cuidado contaron con un Plan de atención individual (PAIIN). A partir de la implementación del PAIIN se ha continuado trabajando en sus distintas fases: conociendo, planeando y actuando. En estas fases se continúa fortaleciendo los procesos personales de cada persona mayor en cada uno de los componentes de la atención: ocupación humana, cuidado integral, familia, participación y redes. </t>
  </si>
  <si>
    <t xml:space="preserve">08/04/2022:
El indicador es de medición semestral, por lo tanto no se deben reportar cifras ni evidencias, eliminar las evidencias de este indicador.
20/04/2022:
No se generan observaciones respecto al análisis y evidencias reportados para el seguimiento del indicador.  </t>
  </si>
  <si>
    <t xml:space="preserve">Para el periodo reportado (mes de abril), las 1.917 personas participantes de la modalidad Comunidad de Cuidado contaron con un Plan de atención individual (PAIIN). A partir de la implementación del  PAIIN se ha continuado trabajando en sus distintas fases: conociendo, planeando y actuando.  De esta forma se logró fomentar las habilidades de las personas mayores, sus potencialidades y capacidades individuales, potenciando de esta forma su autonomía, su autoimagen, sus redes de apoyo, todo lo anterior a partir de actividades y espacios que corresponden a los intereses de las personas mayores. </t>
  </si>
  <si>
    <t xml:space="preserve">06/05/2022:
No se generan observaciones respecto al análisis reportado para el seguimiento del indicador.  </t>
  </si>
  <si>
    <t>Para el periodo reportado (mes de mayo) las 1.938 personas participantes de la modalidad Comunidad de Cuidado contaron con un Plan de atención individual (PAIIN). A partir de la implementación del PAIIN se ha continuado trabajando en sus distintas fases: conociendo, planeando y actuando. De esta forma se continúa fomentando y potencializando las habilidades y capacidades de las personas mayores, de esta forma se logra fortalecer sus procesos de autonomía, autoimagen, sus redes de apoyo. Lo anterior a partir de diferentes actividades y espacios que corresponden a los intereses de las personas mayores.</t>
  </si>
  <si>
    <t>En la modalidad de Comunidad de Cuidado se brinda una atención integral a las personas mayores participantes, dentro de esta se genera un Plan de atención integral individual que responde a las necesidades, gustos e intereses de cada uno, este plan de atención contempla 3 fases: 1. Conociendo, en donde se indaga y reconocen dichas necesidades, gustos e intereses, esta etapa inicia desde que la persona mayor ingresa al centro y durante el primer mes de permanencia. 2. Planeando, en esta etapa se concretan los objetivos que se quieren lograr con las personas mayores y que actividades se van a desarrollar para ello y 3. Actuando, que se refiere a las acciones que se desarrollan para cumplir los objetivos de la etapa anterior y los resultados que se obtienen. En este sentido, el 100% de los participantes en la Modalidad cuentan con el Plan de atención individual, no obstante, para efectos del indicador, solo se reportan las personas que cuentan con el formato diligenciado en cada una de las etapas. 
Teniendo en cuenta lo anterior para el periodo reportado (enero a Junio) el 95.7% que corresponde a 1,971 personas mayores participantes cuentan con el formato que soporta las acciones realizadas dentro del Plan de atención integral individual, de estos, 173 se encuentran en la etapa conociendo, 121 en la etapa planeado y 1,971 en la etapa actuando.</t>
  </si>
  <si>
    <t>07/07/2022: 
No se generan observaciones respecto al análisis y evidencias reportados para el seguimiento del indicador.</t>
  </si>
  <si>
    <t>09/08/2022:
Complementar el reporte indicando, que se está haciendo para que el 100% de las personas cuenten con el formato diligenciado.
11/08/2022:
No se generan observaciones respecto al análisis reportado para el seguimiento del indicador.</t>
  </si>
  <si>
    <t>08/09/2022:
Ajustar la redacción, para que quede en termino del mes que se está reportando no el trimestre porque este es reporte cualitativo, no cuantitativo. 
09/09/2022:
No se generan observaciones respecto al análisis reportado para el seguimiento del indicador.</t>
  </si>
  <si>
    <t>Para el periodo reportado (septiembre) en la modalidad de Comunidad de Cuidado se brindó una atención integral a 1.969 personas mayores. Para lograr esto último, se cuenta con un Plan de Atención Integral Individual (PAIIN), una herramienta de planeación interdisciplinaria que da cuenta de las acciones propuestas para la persona mayor en el ámbito personal y que incorpora a la familia en caso de requerirse, que promueve el reconocimiento individual de las habilidades, capacidades, potencialidades de las personas mayores, así como el desarrollo de la autonomía, la seguridad, la protección y el envejecimiento activo, desde un lenguaje lúdico y artístico que correspondan a los gustos e intereses de las personas desde su identidad cultural. El PAIIN contempla 3 fases: I. Conociendo, en donde se indaga y reconocen las necesidades, gustos e intereses de la persona mayor. Esta etapa inicia desde que la persona mayor ingresa a la Comunidad de Cuidado y durante el primer mes de permanencia; II. Planeando, en esta etapa se concretan los objetivos que se quieren lograr con la persona mayor y las actividades que se proyectan realizar para dar cumplimiento a estos objetivos; III. Actuando, se refiere a las acciones que se desarrollan para cumplir los objetivos de la etapa anterior y los resultados que se obtienen. Para el trimestre reportado, el 100% de los participantes (1.969) en la Modalidad de Comunidad de Cuidado cuentan con el Plan de Atención Integral Individual, no obstante, para efectos del indicador, solo se reportan las personas que cuentan con el formato diligenciado en cada una de las etapas. Teniendo en cuenta lo anterior, 1969 participantes cuentan con el formato que soporta las acciones realizadas dentro del Plan de atención integral individual.</t>
  </si>
  <si>
    <t xml:space="preserve">10/10/2022:
No se generan observaciones respecto al análisis reportado para el seguimiento del indicador. </t>
  </si>
  <si>
    <t>PSS-7770-007</t>
  </si>
  <si>
    <t>Circular No. 023 del 25/07/2022</t>
  </si>
  <si>
    <t>Avance en la ejecución del Plan de Acción de la Política Pública Social para el Envejecimiento y la Vejez.</t>
  </si>
  <si>
    <t>Implementar la Política Pública Social para el Envejecimiento y la Vejez (PPSEV), desde las acciones que corresponden al Sector de Integración Social.</t>
  </si>
  <si>
    <t>Desarrollo de  procesos de articulación dentro de los servicios y estrategias de atención, para dar cumplimiento a los lineamientos de la PPSEV.</t>
  </si>
  <si>
    <t>(Número de comités realizados para el seguimiento del plan de acción/Número de comités programados  para el seguimiento del plan de acción)*100</t>
  </si>
  <si>
    <t>* Plan de Acción. 
* Seguimiento al proyecto de inversión (SPI).</t>
  </si>
  <si>
    <t>Se realizará una programación anual de las actividades contempladas dentro del Plan de Acción, haciendo su correspondiente seguimiento.</t>
  </si>
  <si>
    <t xml:space="preserve">*Actas del Comité Operativo de Envejecimiento y Vejez. (Numerador) 
*Resolución 0511 de 2011
(Articulo No.5) - Denominador </t>
  </si>
  <si>
    <t>Para el periodo reportado (mes de enero) por parte del equipo de política pública se realizó la proyección de la Mesa técnica de Envejecimiento y Vejez donde se abordó el proceso de seguimiento al Plan de Acción de la PPSEV. Como resultado se programó en articulación con la Secretaría Distrital de Planeación el asesoramiento técnico en materia de ingreso y cargue de información del Sistema de Seguimiento y Evaluación de las Política Públicas-SSEPP, el cual será el instrumento para reportar el avance del Plan de Acción de la PPSEV. Cabe resaltar, que, tanto la SDIS como el resto de sectores se encuentran en un proceso de armonización para el uso del sistema, por lo que se requerirá un asesoramiento permanente por parte de la Secretaría Distrital de Planeación en esta materia</t>
  </si>
  <si>
    <t xml:space="preserve">Para el periodo reportado (mes de febrero), se realizaron dos mesas técnicas los días 2 y 16 de febrero, así como la primera sesión del Comité Operativo de Envejecimiento y Vejez el 22 de febrero, espacios donde se abordó el tema de proceso de seguimiento al Plan de Acción de la PPSEV. Como resultado, se establece la necesidad de mantener una comunicación permanente para realizar adecuadamente los reportes de información dado que aún la SDIS y los distintos sectores se encuentran en el proceso de asignación de usuarios. Así mismo en la sesión del 16 de febrero se preparó la sesión del Comité Operativo de Envejecimiento y Vejez realizado el  22 de febrero, en esta sesión se presentó el Plan de Acción de la PPSEV aprobado, el proceso de seguimiento al mismo,  el Plan de Cualificación de los Consejos Distrital y Local de Sabios y Sabias y el Plan de trabajo del COEV durante la vigencia. </t>
  </si>
  <si>
    <t xml:space="preserve">18/03/2022:
Completar la redacción faltante.
22/03/2022:
No se generan observaciones respecto al análisis reportado para el seguimiento del indicador.  </t>
  </si>
  <si>
    <t xml:space="preserve">Durante el primer trimestre del año 2022, se realizaron para el mes de febrero dos mesas técnicas los días 2 y 16 de febrero, así como la primera sesión del Comité Operativo de Envejecimiento y Vejez el 22 de febrero, espacios  donde se abordó el proceso de seguimiento al Plan de Acción de la PPSEV, así como se aprobó el plan de trabajo del COEV para el presente año. Par el mes de marzo se realizaron dos mesas técnicas, los días 2 y 16 de marzo. En la primera fecha, se abordó la conmemoración del Día Internacional de la Mujer Trabajadora, se socializaron el Plan de Trabajo del Comité Operativo de Envejecimiento y Vejez (COEV), los avances en la Ruta de Atención Integral para las Personas Mayores (RAIM), se presentó además la oferta de los Beneficios Económicos Periódicos (BEPS) por parte de la Secretaría de Cultura y finalmente, se brindaron precisiones sobre los usuarios del Sistema de Seguimiento y Evaluación de las Políticas Públicas. En la segunda fecha se abordaron los siguientes temas: Presentación por parte del Ministerio de Salud sobre el proceso de actualización de la Política Nacional, ajustes al plan de acción de la PPSEV y el reporte del primer trimestre de las acciones del plan de acción y capacitación por parte de la Subdirección para las familias con relación a la oferta de servicios de comisarías de familia. En la actualidad, la centralidad la ha ocupado el proceso de reporte de la implementación del plan de acción de la PPSEV, por lo cual se han realizado mesas de trabajo con Secretaría de Hábitat, Secretaría de Cultura, Secretaría de Salud, IPES, IDPAC y Secretaría de la Mujer, así como con los/las líderes de todos Servicios Sociales de la Subdirección para la Vejez. En síntesis, se realizaron 4 mesas técnicas y una (1) sesión del Comité Operativo de Envejecimiento y Vejez. </t>
  </si>
  <si>
    <t>Para el periodo reportado (mes de abril) respecto al cumplimiento de la meta, esta se cumplió dado que se realizó una Mesa Técnica de Envejecimiento y Vejez el día 6 de abril, donde se abordó la consolidación del primer reporte trimestral de seguimiento al plan de acción de la PPSEV y la Conmemoración del Día Nacional por la Memoria y la Solidaridad con las Víctimas. Igualmente, se realizó la Segunda Sesión Ordinaria del Comité Operativo de Envejecimiento y Vejez, en el cual se socializó el reporte de seguimiento trimestral al plan de acción de la PPSEV y se presentaron los avances del primer estudio que aportará a la reformulación de la PPSEV, relacionado con los efectos de la pandemia por COVID-19 en las personas mayores en Bogotá.</t>
  </si>
  <si>
    <t>06/05/2022: 
Falta incluir del mes respecto al cumplimiento de la meta, se cumplió? No se cumplió?, que se va hacer si no se cumplió?.
06/05/2022:
No se generan observaciones respecto al análisis reportado para el seguimiento del indicador.</t>
  </si>
  <si>
    <t xml:space="preserve">Para el periodo reportado (mes de mayo) respecto al cumplimiento de la meta, se resalta la realización de la Mesa Técnica de Envejecimiento y Vejez el día 4 de mayo en modalidad virtual. En esta reunión de proyectó la preparación de la campaña para la Semana de concientización y sensibilización contra el maltrato, violencia y abandono del adulto mayor en Bogotá D.C., y el Día Mundial de Toma de Conciencia del Abuso y Maltrato en la Vejez. También se realizaron observaciones sobre los estudios que aportarán a la reformulación de la PPSEV, y finalmente, el avance en la construcción intersectorial de la Ruta de Atención Integral para las Personas Mayores. En este sentido, el ejercicio de secretaría técnica se viene desarrollando de manera adecuada, dando cumplimiento al indicador.   </t>
  </si>
  <si>
    <t>Como  parte del ejercicio de la secretaría técnica de la Política Pública Social de Envejecimiento y Vejez, a lo largo del segundo trimestre se realizó una (1) sesión del Comité Operativo de Envejecimiento y Vejez el 28 de abril. Asimismo, durante el segundo trimestre como parte del ejercicio de Secretaría Técnica de la Política Publica Social de Envejecimiento y Vejez (PPSEV), se realizó una Mesa Técnica de Envejecimiento y Vejez - MTEV el 6 de abril, el 4 de mayo se realizó una sesión de la MTEV y en el mes de junio fueron realizadas dos sesiones los días 1 y 22 de junio. En estas reuniones se abordaron fundamentalmente las acciones para el 9 de abril Día Nacional por la Memoria y la Solidaridad con las Víctimas del Conflicto Armado, los avances frente a la Ruta de Atención Integral para las Personas Mayores, los comentarios frente al primer reporte de seguimiento al plan de acción de la PPSEV, la campaña del 13 al 17 de junio en el marco del Día Mundial de Toma de Conciencia contra el Abuso y el Maltrato en la Vejez, así como la Semana de Concientización y Sensibilización frente al Maltrato, Violencia y Abandono del Adulto Mayor. De igual forma se trató la proyección de acciones para el Mes del Envejecimiento y la Vejez y la proyección del Consejo Distrital de Política Social que se realizará sobre la Política Pública Social para el Envejecimiento y la Vejez. 
Como resultado de estas reuniones se consolida el proceso de articulación intersectorial como entidad rectora de la política pública y se proyectan de manera adecuada las acciones estratégicas de su implementación.</t>
  </si>
  <si>
    <t xml:space="preserve">07/07/2022:
Ajustar redacción y análisis con de acuerdo a lo realizado en el trimestre.
12/07/2022:
No se generan observaciones respecto al análisis y evidencias reportados para el seguimiento del indicador.  </t>
  </si>
  <si>
    <t>Durante el mes reportado (agosto), no se realizaron sesiones del Comité Operativo de Envejecimiento y Vejez, pero se desarrollaron mesas técnicas con distintos sectores de la administración distrital, con el propósito de hacer los ajustes necesarios a la programación de los eventos de la Celebración del Mes del Envejecimiento y la Vejez, logrando una preparación detallada de las acciones y las responsabilidades correspondientes a cada sector. Igualmente, se destacan los encuentros con los sectores de la administración a través de las sesiones de Unidad de Apoyo Técnico, preparatorias al Consejo Distrital de Política Social realizado el 17 de agosto.</t>
  </si>
  <si>
    <t xml:space="preserve">Durante el tercer trimestre, en el ejercicio de la secretaría técnica de la Política Pública Social de Envejecimiento y Vejez se realizó en el mes de julio espacios de articulación y coordinación de la Política Pública Social para el Envejecimiento y la Vejez, a través de la sesión de la Mesa Técnica de Envejecimiento y Vejez – MTEV realizada el 6 de julio y del Comité Operativo de Envejecimiento y Vejez realizados el 15 de julio y el 22 de julio de manera extraordinaria. En la sesión de Mesa Técnica de Envejecimiento y Vejez, se abordaron los siguientes temas: 
1. Plan de Acción.
2. Comité Operativo de Envejecimiento y Vejez – 15 de julio: se proyectaron los puntos de este escenario.
3. Mes del Envejecimiento y la Vejez – 2022: se presentó la proyección que en esa fecha se tenía para la celebración del mes del Envejecimiento y la Vejez.
También se llevó a cabo, las sesiones del Comité Operativo de Envejecimiento y Vejez el 15 de julio, se trató lo relacionado con las modificaciones al Plan de Acción de la PPSEV, las orientaciones para el reporte del segundo trimestre y el informe de gestión de la PPSEV correspondiente a lo estipulado en el Decreto 345 de 2010. En segundo lugar, la socialización del Informe de Barreras de Inclusión Social y Productiva para la población mayor en Bogotá, a cargo de la Secretaría Distrital de Planeación. En tercer lugar, la Socialización de la Política Pública Nacional de Envejecimiento y Vejez a cargo del Ministerio de Salud. En cuarto lugar, un punto de proposiciones y varios.
La proyección de actividades para la Celebración del Mes del Envejecimiento y la Vejez quedó aplazada para la sesión extraordinaria del COEV que se realizó el 22 de julio donde fueron analizadas las acciones proyectadas y aprobadas por parte del comité.
Y en el mes de septiembre se desarrolló 1 Mesa Técnica de Envejecimiento y Vejez el 21 de septiembre, con el propósito de hacer un balance de los eventos de la Celebración del Mes del Envejecimiento y la Vejez, logrando recoger las opiniones, logros y dificultades evidenciadas a lo largo del mes de agosto. Asimismo, se hizo un balance del reporte de seguimiento al Plan de Acción de la Política Pública Social para el Envejecimiento y la Vejez. </t>
  </si>
  <si>
    <t xml:space="preserve">10/10/2022:
No hay evidencias adjuntas en la carpeta indicador 007.
12/10/2022:
No se generan observaciones respecto al análisis y evidencias reportados para el seguimiento del indicador. </t>
  </si>
  <si>
    <t>PSS-7770-008</t>
  </si>
  <si>
    <t>Número de personas participantes de las Redes de Cuidado Comunitario.</t>
  </si>
  <si>
    <t>Establecer cuántas personas participan de las Redes de Cuidado Comunitario.</t>
  </si>
  <si>
    <t>Desarrollo de estrategias y acciones por parte de los gestores territoriales, para la identificación y vinculación de personas en las Redes de Cuidado Comunitario.</t>
  </si>
  <si>
    <t>(Número de personas participantes de la Redes de Cuidado Comunitario / Número de personas identificadas para participar en Redes de Cuidado Comunitario) * 100</t>
  </si>
  <si>
    <t>Instrumento de identificación de personas y seguimiento al proceso de participación.</t>
  </si>
  <si>
    <t>Se cuenta como persona vinculada a una Red de Cuidado Comunitario, aquella que participa en al menos el 75% de las líneas de acción. Se contará con un instrumento para realizar el registro y verificación.</t>
  </si>
  <si>
    <t xml:space="preserve">*Reporte SIRBE ERDC (Numerador)
*Banco de tiempo mayor (Denominador) </t>
  </si>
  <si>
    <t>Para el periodo reportado (mes de enero) la estrategia de Redes de Cuidado Comunitario cuenta con 10 localidades dinamizadas y un total de 4.124 personas participantes en el marco de la prevención de violencias contra personas mayores, con corte a 30 de enero de 2022. Se proyecta un cambio en la forma en que la Estrategia de Redes de Cuidado Comunitario interactúa en los territorios desde los Centros Día Casa de la Sabiduría con el fin de crear redes de cuidado comunitario en el marco de acciones articuladas con el Sistema Distrital de Cuidado.</t>
  </si>
  <si>
    <t xml:space="preserve">14/03/2022: Al día de hoy el proyecto no ha realizado actualización de sus indicadores  para la vigencia 2022, se sugiere realizar la misma lo antes posible. Por otro lado, se debe ajustar la redacción del análisis correspondiente ya no que no está teniendo en cuenta la estructura sugerida para este fin.
17/03/2022:
Completar la información faltante.
22/03/2022:
No se generan observaciones respecto al análisis reportado para el seguimiento del indicador.  </t>
  </si>
  <si>
    <t>Para el periodo reportado (mes de febrero), para la implementación territorial de la estrategia de Redes de Cuidado Comunitario, se ajustó la estructura de operación territorial y el despliegue de la estrategia en articulación con las unidades operativas de la modalidad Casa de la Sabiduría y la estrategia Centro día al Barrio, de tal manera que, se identificó claramente la población objetivo a atender en el servicio Centros Día y en los territorios para la conformación de Redes de Cuidado; adicionalmente, se incluyeron elementos claves para el desarrollo de la estrategia en el marco del SIDICU, lo que permitirá fortalecer las líneas de acción del Lineamiento Técnico y realizar una correcta distribución del talento humano en el territorio.                                                                           Se mantiene una población de 4.124 personas.</t>
  </si>
  <si>
    <t>Para el periodo reportado (primer trimestre del año 2022), se atendieron a 4.124 personas participantes de las redes de cuidado comunitario logrando la aprobación de la estructura de la operación en territorios en articulación con la modalidad casa de la sabiduría del Servicio Social Centro Día por parte de la Subdirección para la Vejez, lográndose el desarrollo de la identificación de la población a integrarse a partir de 4 espacios de trabajo así:  
*Somos Red de Cuidado* (personas mayores solas o familias unipersonales) pertenecientes a las Casas de Sabiduría.
*Escuela de Familias - A cuidar se aprende* (Familias y cuidadores de personas mayores o personas mayores cuidadoras) de las personas mayores de las Casas de la Sabiduría.
*SIDICU*:  La Estrategia de Redes de Cuidado Comunitario asumirá la gestión del Sistema Distrital del Cuidado en el Servicio Centro Día, mediante la articulación, referenciación y acompañamiento de cuidadores a los servicios de la Manzana del Cuidado
*Acciones afirmativas* con población indígena, afro, palenquera, raizal y ROM, en las localidades definidas. 
Adicionalmente, se identificaron organizaciones sociales interesadas en aportar a los procesos de cuidado de las personas mayores y se vincularon e iniciaron actividades en articulación con la Estrategia Centro Día al Barrio un total de 73 personas nuevas en las localidades de Ciudad Bolívar (37), Engativá (19) y Teusaquillo (17), mediante procesos de referenciación y acompañamiento del equipo en los territorios. Los grupos con los que se venía trabajando en 2021, se referenciaron durante este mes, dando a conocer los beneficios de la Estrategia Centro Día al Barrio y realizando acompañamiento para su inclusión y en la misma, fortaleciendo su autonomía y brindando mayores oportunidades para mejorar su calidad de vida y prevenir el abandono social y familiar, al que se ven expuestos.</t>
  </si>
  <si>
    <t xml:space="preserve">08/04/2022:
Ajustar la redacción y las cifras, recuerden que se reporta el avance trimestral, no solo de marzo. Adicionalmente en las evidencias, están adjuntando solo lo del mes de marzo, faltan las evidencias del mes de enero y febrero (el reporte cuantitativo es trimestral). tener en cuenta la redacción utilizada en los reportes anteriores para ajustar la de este reporte.
19/04/2022:
Falta mencionar porqué no se logró el cumplimiento del 100% de la meta y que se está haciendo para lograrlo. En cuanto a las evidencias adjuntas no se pueden identificar en las mismas, las cifras reportadas, revisar. Recuerden que las evidencias definidas son: * Instrumento de identificación y seguimiento.
* Informe de resultados y balance y en estas deben estar estas cifras (tanto el programado, como el ejecutado).
20/04/2022:
No se generan observaciones respecto al análisis y evidencias reportados para el seguimiento del indicador.  </t>
  </si>
  <si>
    <t xml:space="preserve">07/07/2022:
Hay que ser coherentes con lo que se reporta, recordar que el indicador queda con reporte semestral, sino se llega aún al 75 % no se cumplió con la meta y se debe indicar es el estado en el que se encuentra el avance e indicar las acciones que se van a tomar para cumplir con la meta, adicionalmente hay que explicar porqué cuando el reporte era trimestral se pasó está cifra como cumplida. Adicionalmente en las evidencias solo se puede ver el archivo denominado * Banco de tiempo mayor y no el de Reporte SIRBE ERDC, revisar.
12/07/2022:
No se generan observaciones respecto al análisis y evidencias reportados para el seguimiento del indicador.  </t>
  </si>
  <si>
    <t xml:space="preserve">Para el periodo (mes agosto) se reporta un avance en la meta en cuanto se vincularon 240 personas a la Red de Cuidado Comunitario, puesto que lograron participar de actividades que asociaron un proceso en orden al cumplimiento del 75% de las líneas de acción determinadas por la Estrategia de Redes de Cuidado Comunitario, de la siguiente manera:
-Espacio Somos Red de Cuidado: 151 personas.                                                                
-Espacio Escuela de Familia A Cuidar se Aprende: 89 personas.                                                         
De este modo es importante mencionar que se continúan generando avances en la conformación de grupos y el desarrollo de los procesos en las localidades, pero aún no se llega al 75% de las líneas de acción requerido por el total de personas, por lo cual se espera que para el próximo reporte se aumente la cantidad de procesos y personas vinculadas a la Estrategia de Redes de Cuidado Comunitario a partir de procesos constituidos en los espacios y líneas de acción de la Estrategia. </t>
  </si>
  <si>
    <t>PSS-7770-009</t>
  </si>
  <si>
    <t>Número de localidades con Redes de Cuidado Comunitario dinamizadas</t>
  </si>
  <si>
    <t>Determinar cuántas localidades de Bogotá cuentan con Redes de Cuidado Comunitario</t>
  </si>
  <si>
    <t>Desarrollo de estrategias y acciones por parte de los gestores territoriales, para la identificación y vinculación de personas en las Redes de Cuidado Comunitario</t>
  </si>
  <si>
    <t>(Número de localidades implementadas las Redes de Cuidado Comunitario / Número de localidades programadas para implementar las Redes de Cuidado Comunitario) *  100</t>
  </si>
  <si>
    <t>Informe de dinamización de redes de cuidado comunitario</t>
  </si>
  <si>
    <t>El cálculo del indicador se obtiene del seguimiento de los planes de acción local que cada localidad formula e implementa.
Se entiende como cumplido cuando se ha implementado mínimo 3 de las 4 de las líneas de acción establecidas en las localidades determinadas. Esta información se documenta en el Informe de dinamización de redes de cuidado comunitario.
El avance será progresivo a lo largo de la vigencia, contando a final del año con las localidades dinamizadas.</t>
  </si>
  <si>
    <t xml:space="preserve">
*Informe de Resultados y Balance (Numerador)
*Plan Distrital de Desarrollo (Propósito 1 -Programa 6 - Meta 49) - Denominador</t>
  </si>
  <si>
    <t xml:space="preserve">Creciente </t>
  </si>
  <si>
    <t>Para el periodo reportado (mes de enero) la estrategia de Redes de Cuidado Comunitario ha dinamizado procesos en las localidades de Suba, Engativá, Teusaquillo, Kennedy, Bosa, Ciudad Bolívar, Los Mártires, Chapinero, Santa Fe y Candelaria, a partir de las intervenciones pedagógicas y culturales que permiten la apropiación del cuidado colectivo, así mismo se proyecta un ajuste que permita la continuidad de procesos entorno a Redes de Cuidado desde los Centros Día Casa de la Sabiduría.</t>
  </si>
  <si>
    <t xml:space="preserve">Para el periodo reportado (mes de febrero), la estrategia de Redes de Cuidado Comunitario ha realizado  procesos enfocados en la generación de lineamientos y articulación con los Centros Día - Casa de la Sabiduría, con el fin de lograr la armonización y apropiación de cuidado colectivo en las localidades de Suba, Engativá, Teusaquillo, Kennedy, Bosa, Ciudad Bolívar, Los Mártires, Chapinero, Santa Fe y Candelaria, </t>
  </si>
  <si>
    <t xml:space="preserve">Para el periodo reportado, (mes de marzo), la estrategia de Redes de Cuidado Comunitario inició la implementación de la nueva estructura de operación, mediante acciones de referenciación, socialización e inscripción de las personas mayores pertenecientes a organizaciones sociales en las localidades dinamizadas en el 2021, a la Estrategia Centro Día al Barrio. 
Así mismo, se avanzó en el desarrollo de la sistematización de la experiencia lograda en las localidades 2021, definición de documento de lineamiento técnico,  análisis de la información estadística existente,  proyección de la atención a las localidades para primer semestre y segundo  2022 y definición del abordaje en cada uno de los espacios definidos, con el que se logrará aumentar la cobertura de forma progresiva y alcanzar la meta prevista para la vigencia.  </t>
  </si>
  <si>
    <t>08/04/2022:
No se generan observaciones respecto al análisis reportado para el seguimiento del indicador.</t>
  </si>
  <si>
    <t>Para el periodo reportado (mes de abril)  se  avanzó en la socialización de la ERRC con los líderes de los equipos de las 20 localidades y  en la definición de proceso a realizar con cooperantes, Casas de Sabiduría, Organizaciones sociales de personas mayores y Centros de Bienestar y Cuidado, avanzando en las localidades de Ciudad Bolívar, Engativá, San Cristóbal, Antonio Nariño, Puente Aranda, Suba, Teusaquillo y Barrios Unidos; desarrollando acciones definidas en los espacios de cuidado en el marco del SSIDICU y los componentes del Servicio Social Centro Día con las alianzas establecidas con FUNDACIÓN KERALTY, SENA, IPES, COLEGIO LICEO FRANCES Y ESTADIO NEMECIO CAMACHO EL CAMPIN, promoviendo espacios de cualificación y cuidado colectivo e inclusión social. Se está avanzando en diferentes acciones intergeneracionales para que las personas que hacen parte de la estrategia de redes de cuidado comunitario, participen en al menos el 75% de procesos comunitarios que contribuyen a promover, generar o fortalecer espacios de respiro para personas mayores que realizan proceso de cuidado no remunerado de autocuidado productivo, cultural y ambiental con enfoque diferencial para permitir la participación efectiva de las personas mayores, potenciar su liderazgo, prevenir violencias y contribuir a la transformación de lo imaginarios adversos y negativos contra la vejez y el envejecimiento, con esto se logrará un avance que será progresivo a lo largo de la vigencia.</t>
  </si>
  <si>
    <t>06/05/2022: 
Falta incluir del mes respecto al cumplimiento de la meta, se cumplió? No se cumplió?, que se va hacer si no se cumplió?.
10/05/2022: 
No se generan observaciones respecto al análisis reportado para el seguimiento del indicador.</t>
  </si>
  <si>
    <t>07/07/2022:
Ajustar la redacción recuerden que debe ir en términos del semestre en esta ocasión y no del mes, de igual manera se debe complementar el análisis con lo realizado durante el semestre y a que se debe el resultado obtenido y porqué no se alcanzó la meta.
En cuanto a las evidencias hace falta uno de los archivos mencionados, revisar.
07/07/2022: 
No se generan observaciones respecto al análisis y evidencias reportados para el seguimiento del indicador.</t>
  </si>
  <si>
    <t>Para el periodo reportado (mes de Julio) la Estrategia de Redes de Cuidado Comunitario ha avanzado en las localidades de Teusaquillo,  Barrios Unidos, Usaquén, Ciudad Bolívar, Bosa, Kennedy, Fontibón, San Cristóbal, Usme y Puente Aranda, acciones desarrolladas con cooperantes locales, distritales y nacionales, favoreciendo la implementación de las 4 líneas de acción definidas en los espacios Somos Red de Cuidado y Escuela de Familias A Cuidar se Aprende.  En total, desde el inicio de la vigencia se ha avanzado en la consolidación de redes de cuidado comunitario en 10 localidades en 2021 y en lo que va corrido de 2022, se ha logrado avanzar en el proceso con 6 localidades, lo que nos lleva a un cubrimiento del 80% de la ciudad, en desarrollo. 
Se tiene previsto el cubrimiento de las 4 localidades faltantes, en los meses siguientes, con personal nuevo que entra a reforzar el equipo territorial.
Cantidad de localidades con redes dinamizadas: 16.</t>
  </si>
  <si>
    <t>Para el periodo reportado (mes de agosto) la estrategia de Redes de Cuidado Comunitario ha avanzado en 10 localidades de 2021 (Ciudad Bolívar, Kennedy, Bosa, Santa Fe, Candelaria, Suba, Engativá, Teusaquillo, Chapinero y Los Mártires). Durante lo que va corrido del año 2022 se ha logrado avanzar en el proceso con 7 localidades (Barrios Unidos, Usaquén, Fontibón, San Cristóbal, Usme, Puente Aranda y Tunjuelito) y en continuidad del año 2021 (Teusaquillo, Ciudad Bolívar, Bosa, Kennedy, Engativá, Chapinero), lo que nos permite observar intervención en 17 localidades de la ciudad.                                                                                                       
Se tiene previsto el cubrimiento de las 3 localidades faltantes, en los meses siguientes, con personal nuevo que entra a reforzar el equipo territorial.
Cantidad de localidades con redes dinamizadas: 17.</t>
  </si>
  <si>
    <t>Para el tercer trimestre de 2022 la estrategia de Redes de Cuidado Comunitario ha avanzado en 10 localidades de 2021 (Ciudad Bolívar, Kennedy, Bosa, Santa Fe, Candelaria, Suba, Engativá, Teusaquillo, Chapinero y Los Mártires). Durante lo que va corrido del año 2022 se ha logrado avanzar en el proceso con 8 localidades (Barrios Unidos, Usaquén, Fontibón, San Cristóbal, Usme, Puente Aranda, Antonio Nariño y Tunjuelito) y en continuidad del año 2021 (Teusaquillo, Ciudad Bolívar, Bosa, Kennedy y Chapinero), lo que nos permite observar intervención en 18 localidades de la ciudad.                                                                                                        
Se tiene previsto el cubrimiento de las 2 localidades faltantes, en los meses siguientes, con personal nuevo que entra a reforzar el equipo territorial.
Cantidad de localidades con redes dinamizadas: 18.</t>
  </si>
  <si>
    <t xml:space="preserve">10/10/2022:
No se generan observaciones respecto al análisis reportado para el seguimiento del indicador, recordar que el indicador es de medición semestral. </t>
  </si>
  <si>
    <t>PSS-7771-001</t>
  </si>
  <si>
    <t>Circular N° 013 del 28/04/2021</t>
  </si>
  <si>
    <t>Personas con discapacidad, sus familias, cuidadores(as) y otros actores presentes en los territorios que participan en ejercicios de sensibilización y toma de conciencia para la disminución de barreras frente a la discapacidad</t>
  </si>
  <si>
    <t>Medir el porcentaje de participación de las personas con discapacidad, sus familias, cuidadores - as  y otros actores presentes en los territorios en los ejercicios de sensibilización y toma de conciencia para la disminución de barreras frente a la discapacidad que desarrolle el proyecto</t>
  </si>
  <si>
    <t>Disponibilidad de las personas con discapacidad, sus familias, cuidadores(as)  y otros actores presentes en los territorios para participar en los ejercicios de sensibilización y toma de conciencia para la disminución de barreras frente a la discapacidad </t>
  </si>
  <si>
    <t xml:space="preserve">(Número de personas con discapacidad, sus familias, cuidadores(as) y otros actores presentes en los territorios  que participan en ejercicios de sensibilización y toma de conciencia para la disminución de barreras frente a la discapacidad / Número de personas con discapacidad, sus familias, cuidadores(as) y otros actores presentes en los territorios programadas para participar en ejercicios de sensibilización para la disminución de barreras frente a la discapacidad) * 100 </t>
  </si>
  <si>
    <t>Reporte de personas con discapacidad, sus familias, cuidadores(as) y otros actores presentes en los territorios que participan en ejercicios de sensibilización y toma de conciencia para la disminución de barreras frente a la discapacidad </t>
  </si>
  <si>
    <t>Este indicador se calcula tomando la cantidad de personas con discapacidad, sus familias, cuidadores(as) y otros actores presentes en los territorios que participan en ejercicios de sensibilización y toma de conciencia que son reportadas por los servicios,  estrategias y equipo de política en la matriz que consolida el equipo de la Estrategia de Fortalecimiento a la Inclusión y se cruza con la cantidad de personas programadas por los servicios,  estrategias y equipo de política en el período  para determinar el porcentaje de participantes en los ejercicios de sensibilización mencionados.  
Nota: el reporte acumulado corresponde a la suma de los valores reportados en el trimestre.</t>
  </si>
  <si>
    <t>Matriz de registro de ejercicios de sensibilización y toma de conciencia</t>
  </si>
  <si>
    <t>Sin Información</t>
  </si>
  <si>
    <t xml:space="preserve">Dado el cuarto pico de la pandemia derivada por la emergencia COVID 19 en el mes de enero, el equipo de la estrategia de fortalecimiento a la inclusión EFI de la Subdirección para la Discapacidad, adelanta la fase preparatoria para la implementación de los ejercicios de sensibilización para la vigencia 202, mediante la identificación de posibles participantes entre ellas entidades públicas y privadas, ciudadanía en general a las cuales realizar estos procesos de sensibilización, revisión y ajuste de la metodología, asignación de responsables, entre otros aspectos. </t>
  </si>
  <si>
    <t>14/03/2022 se recomienda actualizar el indicador de acuerdo a lo socializado en el comité de gestores, adicionalmente se recomienda especificar las actividades que se realizaron  en la fase preparatoria en el mes de enero.</t>
  </si>
  <si>
    <t>En el mes de febrero se adelantan ejercicios de sensibilización y toma de conciencia con Centros Crecer Usaquén, Campo Alegre - Calandaima, Puente Aranda, Vista Hermosa, Tejares, Arborizadora Alta, Jardín Infantil Serranías, Estrategia Móvil - Subdirección para la Infancia, Subdirección Local Rafael Uribe Uribe, Alimentación Integral, Colegio Class Sede B y C, Secretaría Distrital de Hábitat, Hogar El Camino - Subdirección para la Adultez entre otras, lo anterior con el propósito de seguir transformando los imaginarios existentes sobre la discapacidad y reducir barreras actitudinales hacia las personas con discapacidad.</t>
  </si>
  <si>
    <t xml:space="preserve">7/04/2022.  No se generan observaciones respecto al análisis reportado para el seguimiento del indicador
Se recomienda actualizar el indicador de acuerdo a lo socializado en el comité de gestores </t>
  </si>
  <si>
    <t xml:space="preserve">6/05/2022.  No se generan observaciones respecto al análisis reportado para el seguimiento del indicador
Se recomienda actualizar el indicador de acuerdo a lo socializado en el comité de gestores </t>
  </si>
  <si>
    <t>En el mes de mayo se adelantaron 708 ejercicios de sensibilización y toma de conciencia con entidades como: CLINICA LOS ANDES, COSERVIPP, BOMBEROS BOGOTÁ, UNIVERSIDAD SANTO TOMAS, COLEGIO TABORA SEDE A, CENTRO CRECER RINCON, CENTRO CRECER LA VICTORIA, CENTRO CRECER USAQUEN, CENTRO CRECER MARTIRES.  IED ATABANZHA, IED ALMIRANTE PADILLA, entre otras. Lo anterior con el propósito de seguir transformando los imaginarios existentes sobre la discapacidad y reducir barreras actitudinales hacia las personas con discapacidad.</t>
  </si>
  <si>
    <t xml:space="preserve">7/06/2022.  No se generan observaciones respecto al análisis reportado para el seguimiento del indicador
Se recomienda actualizar el indicador de acuerdo a lo socializado en el comité de gestores y en la carta de alertas. </t>
  </si>
  <si>
    <t xml:space="preserve">7/07/2022.  No se generan observaciones respecto al análisis reportado para el seguimiento del indicador
Se recomienda actualizar el indicador de acuerdo a lo socializado en el comité de gestores y en la carta de alertas. </t>
  </si>
  <si>
    <t>Dando apertura al segundo semestre de la presente vigencia, el equipo interdisciplinario de Centros Crecer en articulación con la Estrategia de Fortalecimiento a la Inclusión adelantó en el mes de julio 557 ejercicios de sensibilización y toma de conciencia con entidades como: COLPENSIONES, CONCEJO DE BOGOTA, COMFACUNDI, ESTACION POLICIA CHAPINERO, ESTACION POLICIA SANTA FE, ESTACION POLICIA LOS MARTIRES, CANAL CAPITAL,  SUBRED SUR ESE SEDE ADMINISTRATIVA, SECRETARIA DISTRITAL DE INTEGRACIÓN SOCIAL, CASA IWOKA, INVERSIONES JRC SAS VAPIANO, COLEGIO FE LA BICI IED, COLEGIO DISTRITAL ISABEL II, CENTRO CRECER BALCANES, CENTRO CRECER MARTIRES, CENTRO CRECER VISTA HERMOSA, CENTRO CRECER SIN LIMITES PARDO RUBIO, ECOLIMPIEZA, FORMILIMPIEZA, PARQUE LOS PERIODISTAS GABRIEL GARCIA MARQUEZ,  entre otras. Lo anterior con el propósito de seguir transformando los imaginarios sobre la discapacidad y reducir barreras actitudinales hacia las personas con discapacidad.</t>
  </si>
  <si>
    <t xml:space="preserve">9/08/2022.  No se generan observaciones respecto al análisis reportado para el seguimiento del indicador. 
Se recomienda actualizar el indicador de acuerdo a lo socializado en el comité de gestores y en las reuniones de retroalimentación SPI. </t>
  </si>
  <si>
    <t>La Estrategia de Fortalecimiento a la Inclusión adelantó en el mes de agosto 500 ejercicios de sensibilización y toma de conciencia, para un total de 4270 en lo corrido de la vigencia. Entre las entidades con las cuales en el mes de reporte, se adelantaron estos proceso de sensibilización se destacan:  CENTRO CRECER RINCON, CENTRO CRECER BOSA , CENTRO CRECER RAFAEL URIBE URIBE, CENTRO CRECER PUENTE ARANDA,CENTRO CRECER MARTIRES, HOGAR INFANTIL SOÑANDO CAMINOS  ECOLIMPIEZA, ESTACIÓN DE POLICIA KENNEDY, ALMARCHIVOS SAS,  entre otras. Lo anterior con el propósito de seguir transformando los imaginarios sobre la discapacidad y reducir barreras actitudinales hacia las personas con discapacidad.</t>
  </si>
  <si>
    <t>8/09/2022.  No se generan observaciones respecto al análisis reportado para el seguimiento del indicador.</t>
  </si>
  <si>
    <t xml:space="preserve">7/10/2022: Se recomienda reportar la parte cuantitativa, debido a que el reporte es trimestral y se debe realizar sobre la actualizada y realizar el análisis en términos de porcentaje.
Por otro lado se recomienda subir la evidencias pertinentes.
11/10/2022.  No se generan más observaciones respecto al análisis reportado para el seguimiento del indicador
</t>
  </si>
  <si>
    <t>PSS-7771-002</t>
  </si>
  <si>
    <t>Circular N.º 29 del 26/09/2022</t>
  </si>
  <si>
    <t>Entidades privadas o públicas que realizan procesos de inclusión de personas con discapacidad, sus familias, cuidadores - as.</t>
  </si>
  <si>
    <t>Reportar las entidades, organizaciones, instituciones, empresas privadas o públicas que realizan procesos de inclusión de personas con discapacidad, sus familias y cuidadores(as), gracias a la gestión que adelanta el proyecto</t>
  </si>
  <si>
    <t>Compromiso de las entidades organizaciones, instituciones, empresas privadas o públicas, para incluir a personas con discapacidad, sus familias y cuidadores(as) en entornos productivos y educativos</t>
  </si>
  <si>
    <t>(Número de entidades privadas o públicas que incluyen personas con discapacidad, sus familias, cuidadores(as) / Número de entidades privadas o públicas gestionadas para la inclusión de personas con discapacidad, sus familias, cuidadores(as)) *100</t>
  </si>
  <si>
    <t xml:space="preserve">Reporte de entidades privadas o públicas que incluyen personas con discapacidad, sus familias, cuidadores(as) </t>
  </si>
  <si>
    <t>Para determinar el valor de indicador se calcula a partir del registro de entidades públicas o privadas, que incluyen personas con discapacidad, sus familias, cuidadores(as) en entornos educativo y productivo, que se encuentran registradas en formato de gestión y articulación  y la matriz consolidada la cual es diligenciada por el equipo de la estrategia de Fortalecimiento a la inclusión  a partir de la información reportada por los servicios y estrategias del proyecto sobre el total de entidades que fueron contactadas por los servicios y estrategias del proyecto para la inclusión de personas con discapacidad en entornos productivo y educativo durante el periodo.   
Nota: el reporte acumulado corresponde a la suma de los valores reportados en el semestre.</t>
  </si>
  <si>
    <t>Matriz de registro de gestión y articulación. </t>
  </si>
  <si>
    <t>En el mes de Enero se inicia el proceso de articulación y gestión para la vinculación de personas con discapacidad y cuidadores-as en entorno productivo, lo anterior como resultado del trabajo que adelanta el equipo de la estrategia de fortalecimiento a la inclusión EFI de la Subdirección para la Discapacidad, logrando  articulación con HOTEL B3 VIRRREY- UNITA HOTELS CORP COLOMBIA</t>
  </si>
  <si>
    <t xml:space="preserve">14/03/2022 se recomienda actualizar el indicador de acuerdo a lo socializado en el comité de gestores </t>
  </si>
  <si>
    <t xml:space="preserve">En el mes de febrero se alcanza un total de 40 articulaciones con entidades públicas y privadas que permitirán la inclusión en los entornos productivo y educativo de personas con discapacidad y cuidadores-as, en el corto y mediano plazo, es así como se destacan gestiones con: 
Entorno Educativo: COLEGIOS GRAN YOMASA, GONZALO ARANGO, IED COLEGIO DIEGO MONTAÑO CUELLAR, CLASS, CAMILO TORRES IED, IED ALMIRANTE PADILLA, IED COLEGIO RURAL OLARTE, AGUSTIN FERNANDEZ IED, COLEGIO MADRE ADELA, IED ATABANZA,  OFELIA URIBE ACOSTA IED, COLEGIO DISTRITAL TOMAS RUEDA VARGAS SEDE C, COLEGIO ELOY VALENZUELA, LICEO BRITANICO, GUILLERMO LEON VALENCIA IED SEDE A, NUEVO HORIZONTE JORNADA MAÑANA, LA ESTRELLITA IED, JARDIN INFANTIL LOS PINGUINOS, BOLIVIA IED, INSTITUCIÓN EDUCATIVA DISTRITAL LOS ALPES, SAN JOSÉ DE CASTILLA, HERNANDO DURAN DUSSAN IED, COLEGIO CEDID CIUDAD BOLIVAR, LICEO DE APLICACIÓN PSICOPEDAGOGICA, IED GUSTAVO RESTREPO SEDES C y D, COLEGIO FABIO LOZANO SIMONELLY, IED QUIBA ALTA, COLEGIO DISTRITAL JOSÉ FELIX RESTREPO SEDE D y COLEGIO ENTRE NUBES SEDE B.
Entorno productivo: MESOFOODS, TELEPERFORMANCE, SECRETARIA DE HÁBITAT, DUFLO SAS, BANCO AGRARIO, PEPSICO, INTERACTIVO CONTACT CENTER, FUNES, 
PONES
</t>
  </si>
  <si>
    <t xml:space="preserve">Durante el mes de mayo se realizaron 16 articulaciones con entidades públicas y privadas que permitirán  la inclusión en los entornos productivo y educativo de personas con discapacidad y cuidadores-as, en el corto y mediano plazo, es así como se adelantaron gestiones con: 
Entorno Educativo: LICEO INTEGRAL BOGOTÁ, TOMAS CIPRIANO DE MOSQUERA IED, IED MARCO ANTONIO CARREÑO SILVA SEDE B, COLEGIO LOS ALPES IED SEDE BELLAVISTA, COLEGIO NUEVO CHILE SEDE B, IED INEM SANTIAGO PEREZ, INSTITUTO MODERNO EL LIBANO, INSTITUCIÓN EDUCATIVA DISTRITAL LOS ALPES SEDE A,  COLEGIO LORENCITA VILLEGAS, COLEGIO SALUDCOOP SUR IED, IED COMPARTIR RECUERDO, COLEGIO JUAN FRANCISCO BERBEO, LICEO FEMENINO MERCEDES NARIÑO
Entorno productivo: LOOPSAS MANUFACTURAS DE COLOMBIA SAS, INDUSTRIA PANIFICADORA MACLAUSS, MAPFRE
</t>
  </si>
  <si>
    <t>7/06/2022. Se recomienda que las actividades que se mencionan queden en pasado, esto debido a que ya se realizaron.
7/06/2022.  No se generan más observaciones respecto al análisis reportado para el seguimiento del indicador</t>
  </si>
  <si>
    <t xml:space="preserve">7/07/2022: Se recomienda que los resultados además de la cantidad se den en términos de porcentaje, debido a que la meta se encuentra en términos de porcentaje.
11/07/2022.  No se generan más observaciones respecto al análisis reportado para el seguimiento del indicador
Se recomienda actualizar el indicador de acuerdo a lo socializado en el comité de gestores y en la carta de alertas. </t>
  </si>
  <si>
    <t xml:space="preserve">Durante el mes de julio se realizaron 4 articulaciones con entidades públicas y privadas que permitirán  la inclusión en los entornos productivo y educativo de personas con discapacidad y cuidadores-as, en el corto y mediano plazo, es así como se adelantaron gestiones con: 
Entorno Productivo: EUROFARMA, SEGURIDAD NAPOLES, CORPROGRESO y DISPAPELES
</t>
  </si>
  <si>
    <t xml:space="preserve">9/08/2022.  No se generan observaciones respecto al análisis reportado para el seguimiento del indicador.
Se recomienda actualizar el indicador de acuerdo a lo socializado en el comité de gestores y en las reuniones de retroalimentación SPI. </t>
  </si>
  <si>
    <t>En el mes de agosto se realizaron 14 articulaciones con entidades públicas y privadas que han permitido  la inclusión en los entornos productivo y educativo de personas con discapacidad y cuidadores-as, así como la gestión en el corto y mediano plazo para su inclusión más adelante, es así como se adelantaron gestiones con: 
Entorno Educativo: INSTITUCIÓN EDUCATIVA NUEVA ESPERANZA, COLEGIO ORLANDO FALLS BORDA IED, COLEGIO DISTRITAL LOS ALPES SEDE A, COLEGIO MANUELA BELTRAN SEDE B, IED SANTA BARBARA, IED FABIO LOZANO SIMONELLI, IED COLEGIO SIERRA MORENA SEDE B, COLEGIO TANQUE LAGUNA SEDE B, COLEGIO EL PARAISO DE MANUELA BELTRAN, COLEGIO DISTRITAL RAFAEL NUÑEZ SEDE B
Entorno Productivo: TRES SOLES SEGURIDAD LTDA, SEGURIDAD SUPERIOR, ALMARCHIVOS SAS, AURBANA SAS
Logrando un total de 130 gestiones de articulación en los entornos mencionados y posibilitando la reducción de barreras que perciben las personas con discapacidad</t>
  </si>
  <si>
    <t xml:space="preserve">7/10/2022.  No se generan observaciones respecto al análisis reportado para el seguimiento del indicador
</t>
  </si>
  <si>
    <t>PSS-7771-003</t>
  </si>
  <si>
    <t>Acciones de articulación transectorial concertadas para promover oportunidades de inclusión de las personas con discapacidad, sus familias y cuidadores(as) en diferentes entornos.</t>
  </si>
  <si>
    <t>Medir la cantidad de acciones de articulación transectorial concertadas por Centro Renacer, Centros Crecer, Centros Avanzar y Centros Integrarte Atención Interna y Atención Externa, para promover la inclusión de personas con discapacidad, sus familias y cuidadores(as) en diferentes entornos.</t>
  </si>
  <si>
    <t>Respuesta oportuna de los sectores con los que se articule la acción</t>
  </si>
  <si>
    <t>(Número de acciones de articulación transectorial concertadas / Número de acciones de articulación transectorial gestionadas) * 100</t>
  </si>
  <si>
    <t>Reporte generado por Centro Renacer, Centros Crecer, Centros Avanzar y Centros Integrarte Atención Interna y Atención Externa, del número de acciones de articulación transectorial gestionadas y finalmente concertadas, para promover oportunidades de  inclusión de personas con discapacidad , sus familias y cuidadores(as) en diferentes entornos</t>
  </si>
  <si>
    <t>Este indicador se calcula tomando el número de acciones de articulación transectorial reportadas como concertadas por Centro Renacer, Centros Crecer, Centros Avanzar y Centros Integrarte Atención Interna y Atención Externa en la matriz de registro acciones de articulación  y se cruza con el número de acciones de articulación gestionadas por  Centro Renacer, Centros Crecer, Centros Avanzar y Centros Integrarte Atención Interna y Atención Externa
Nota: el reporte acumulado corresponde a la suma de los valores reportados en el trimestre.</t>
  </si>
  <si>
    <t>Porcentaje </t>
  </si>
  <si>
    <t>1. Matriz de registro acciones de articulación transectorial
2. Actas de reunión</t>
  </si>
  <si>
    <t>Dentro de las articulaciones adelantadas por Centros Avanzar en el mes de enero se destacan las efectuadas en  los entornos educativo, recreativo, cultural y deportivo con  Secretaria de Educación Distrital, Centro de Atención Distrital para la Inclusión Social - CADIS, SENA, en entorno recreativo con Instituto  Distrital  para  la  recreación  y  el  deporte(IDRD).  Parques San  Andrés y Gilma Jiménez, CDC La Victoria, Transmilenio S.A, Biblioteca Pública La Victoria y Museo de Bogotá entre otras. 
La modalidad Centros Crecer realiza articulaciones en el período de reporte con Universidad Pedagógica Nacional, Fundación Caritas Kids  y se da inicio además a las búsquedas activas de articulaciones con entidades externas como CADIS, CREA, IDRD, IDARTES, para fortalecer procesos ocupacionales que puedan culminar  en vinculación ocupacional de los participantes en los diferentes entornos. 
En  el  marco  de  los  procesos  de  inclusión  liderados  por  el  Centro  Renacer  en  el  entorno  educativo,  se  realizó  articulación  con Instituciones  Educativas  Distritales  y  por  convenio,  estableciendo  compromisos  para  el  inicio  del  período  académico  de  doce (12)  niños, niñas  y  adolescentes,  definición  de  horarios  escolares,  socialización  e  implementación  de  protocolos  de  bioseguridad  para  la prevención de COVID 19, no se llevaron a cabo salidas pedagógicas para goce y disfrute de la ciudad, por causa del incremento de casos de COVID 19 en la ciudad (cuarto pico de la pandemia). 
La modalidad Centros Integrarte Atención Externa realiza articulaciones  en entorno educativo con la Casa de la Participación, Bibliotecas Virgilio Barco, Lagos de Timiza  y la Victoria ; Humedal el Salitre, Colegio Integrado de Fontibón, Casa de la igualdad de oportunidades, CDC Tunjuelito, CADIS, Universidad Nacional de Colombia - Escuela de Género: “Mujeres Imparables”, MinTIC - Proyecto iniciativas sociales, SUBRED INTEGRADA DE SERVICIOS DE SALUD SUROCCIDENTE, en el entorno cultural Escuela de Carabineros de Bogotá, Parques: San Luis, Atahualpa, La Serena, Villa Mayor y Cuidad Montes, Secretaria Distrital de Medio Ambiente  Coliseos Jazmín y Castilla y en entorno productivo con Plastiluchos, Plaza de mercado del 07 de agosto, Se continua con articulación con empresa MarPrint SAS para práctica en taller extramural en ambientes normalizados. Desarrollo Social Bosa Subdirección Local Laureles. 
En los Centros Integrarte atención interna es de resaltar las siguientes articulaciones para la inclusión de los participantes 
Educativo: Se realizó la matricula de las personas con discapacidad que para el 2022 realizarán procesos educativos en los colegios. 
Recreativo y Deportivo : No  se realizan  articulaciones  con  el IDRD para  la  apertura  de  espacios y  actividades  a  nivel  recreativo,  dado  que  se encuentran en proceso de contratación.  
Productivo: No se desarrollan eventos deportivos debido al cuarto pico por pandemia Covid-19.</t>
  </si>
  <si>
    <t>La modalidad Centros Crecer se realiza seguimiento a los participantes que se encuentran en contra jornada en el proceso de inclusión en entidades educativas públicas y privadas, en las cuales se logró identificar las barreras y los facilitadores. En el entorno recreativo se realiza en articulación con IDRD programa pausas saludables, logrando socializar a las y los participantes de forma virtual pausas saludables, fomentando la movilidad articular, el agarre de objetos, coordinación viso-manual a través de actividades manipulativas con objetos como bastón y esfero. Así mismo las unidades operativas avanzan en las articulaciones e implementación de acciones para la inclusión de los participantes en entornos deportivo, ocupacional y deportivo. 
En el marco de los procesos de inclusión liderados por el Centro Renacer en el entorno educativo, se realizó articulación con las Instituciones Educativas Distritales y por convenio, estableciendo compromisos para los procesos académico-escolares del primer semestre del año lectivo 2022; flexibilización curricular; ajustes razonables para las dinámicas de enseñanza-aprendizaje en el aula; participación en reuniones, talleres y asambleas de padres de familia;   en el entorno cultural, se realizó articulación con equipo de profesionales del Centro Cultural Sikuwayra - Localidad de Kennedy, así como la estructuración y programación de agenda de cooperación para la cualificación de talento humano en asuntos de discapacidad. 
En Centros Avanzar Se realizan encuentros locales y recreativos en las diferentes localidades obteniendo como resultado aumento de corresponsabilidad y conocimiento del entorno a nivel de recreación, deporte y cultural. Se realiza articulación con bibliotecas públicas obteniendo como resultado el conocimiento de espacios culturales nuevos, acercamiento a la lectura y apropiación del entorno. En el  entorno  educativo se realiza gestión  sobre  oferta  de  inclusión  del Centro Interactivo Maloka. 
En el período de reporte la modalidad Centros Integrarte Atención Externa, realiza procesos de articulación para la inclusión de las personas con discapacidad en los entornos: Educativo: Se inician las clases virtuales para el desarrollo de los diferentes ciclos. Se  realiza  contacto  con  CASA  DE  LA  IGUALDAD  Y  DE OPORTUNIDADES PARA LA MUJER- ANTONIO NARIÑO, en donde se encuentran adultos-as realizando validación educativa, se inicia proceso con el SENA para formación a nivel presencial y virtual con los  participantes junto con sus familias y/o cuidadoras, con  la inscripción de 69 adultos  en la plataforma Sofia Plus. Recreativo: Se  realizaron  actividades  recreativas  en  los  parques  de  San  Luis,  Benjamín  Herrera  y  Movistar  Arena. Desde las competencias motoras  se involucró a los referentes familiares y personas con discapacidad en actividad recreativa al aire libre en el  Parque  San  Cayetano,  se han logrado articular caminatas con el parque Entre Nubes para participantes y sus referentes, recorridos al Jardín Botánico. Productivo: Se mantiene el taller protegido con la vinculación de 11 participantes en actividades productivas de elaboración de Yogur Artesanal y en su comercialización. Paralelamente, 4 participantes se encuentran en el desarrollo de prácticas intramurales en los servicios de asistencia a cocina y al área de Servicios Generales y se realiza nuevamente articulación con el CADIS para determinar las ofertas educativas a las que se puede incluir a las personas con discapacidad durante este año. 
En los Centros Integrarte Atención Interna se realizó el debido proceso de matrícula de las personas que se encuentran en proceso de inclusión educativa, se da continuidad a la articulación con el IDRD, realizando actividades recreativas en la modalidad virtual, con el fin de prevenir posibles contagios por Covid-19,  en cuanto al entorno deportivo se  realizan  actividades  deportivas  virtuales  en  diferentes  disciplinas,  sesión  de  acondicionamiento  y  seguimiento  de  secuencias  de  movimientos  donde  se  fortalece  el  seguimiento  de instrucciones  y  se  promueve  la  autonomía  en  tiempos  de  ejecución,  así  mismo  se  fortalece  la  práctica  de  deporte  adaptado  en Futbol,  baloncesto,  atletismo,  boccia  con  ejercicios  específicos. En el entorno productivo se da continuidad con la preparación de alimentos calientes y productos de panificación que les  permite  el  manejo  de incentivos  a  los  participantes, manteniendo  las  habilidades  y  hábitos  ocupacionales  (tolerancia  de  la actividad, tiempo de trabajo, constancia, rendimiento, etc.), para la venta dentro del operador.</t>
  </si>
  <si>
    <t xml:space="preserve">En el periodo de reporte Centros Crecer realiza  articulaciones para promover la inclusión de los participantes, sus familias y cuidadores(as) en diferentes entornos, con entidades como: BATUTA, CENTRO DIA PALABRAS MAYORES, SUBRED CENTRO ORIENTE, ESAP, IDRD - ESCUELAS DE FORMACIÓN, JARDIN BOTANICO, BIBLIORED, BEST BUDDIES, FUNDACION FE, UNIVERSIDAD ANTONIO NARIÑO, TRANSMILENIO - GRUPO TRANSMICHIQUIS, ESCUELA COLOMBIANA DE REHABILITACIÓN, para un total de 66 articulaciones durante el trimestre. 
En Centros Avanzar se realiza seguimiento a la inclusión escolar de los participantes, a través de comunicación con referentes familiares como parte de su inclusión en el entorno educativo, en cuanto al entorno deportivo se establece la práctica recreativa y terapéutica en natación y se realiza, ejecución proyección-adaptación de  juegos  autóctonos  adaptados.  De  igual  manera  se  ejecutan  a  nivel  simulado,  mediante ejercicios  estáticos-dinámicos activos  asistidos,  talleres  predeportivos de estimulación motriz y juegos autóctonos adaptados. Se desarrollaron  actividades  lúdico  recreativas  y  desarrollo  de  habilidades  motrices  en  espacio  abierto como resultado de las articulaciones para la inclusión en entorno recreativo, para un total de 13 articulaciones. 
En centros integrarte atención externa se realizaron acciones de articulación para  favorecer los procesos  de  independencia,  participación  de  escenarios diversos, generando hábitos de lectura, desarrollo de actividades recreo-deportivas promoviendo la auto percepción física de los participantes y estimulando el aprovechamiento del tiempo libre, gracias al trabajo del equipo interdisciplinario se realizan 88 articulaciones durante el periodo 
Respecto a Centros Integrarte Atención Interna con  el  proceso  de  inclusión  educativa  en  los  colegios las personas con discapacidad logran vincularse de manera presencial al sistema Educativo, siguiendo los protocolos de bioseguridad para la prevención del COVID 19, en el entorno deportivo se realizan juegos en medio acuático con material didáctico construido con base en las necesidades de los participantes asistentes identificando diferentes habilidades gustos y pasiones con las experiencias ejecutadas, favoreciendo relaciones interpersonales, habilidades motrices y comunicación asertiva dentro del medio y se realizó gestión con entidades públicas para llevar a cabo actividades de forma presencial con las personas con discapacidad en diferentes escenarios culturales, par aun total de 54 articulaciones durante el periodo. 
El Centro Renacer realizó articulación con las Instituciones Educativas Distritales y por convenio, estableciendo compromisos para favorecer el retorno a la presencialidad y adaptación de algunos niños y niñas que completaron esquema de vacunación de COVID 19 , flexibilización curricular e implementación de estrategias pedagógicas colegio/hogar y fortalecimiento de los procesos académico-escolares, en cuanto al entorno recreativo participación en el componente de derechos humanos del circuito por la cultura como medio de fortalecimiento del tejido social en los territorios, para un total de 8 articulaciones por parte de la modalidad de atención. 
En resumen las modalidades de atención Centros Crecer, Avanzar, Integrarte Atención Interna y Atención Externa y Renacer realizaron 229 articulaciones para la inclusión de los participantes en diferentes entornos, con una efectividad del 100% en la gestión </t>
  </si>
  <si>
    <r>
      <t>En el mes de mayo s</t>
    </r>
    <r>
      <rPr>
        <sz val="9"/>
        <rFont val="Arial"/>
        <family val="2"/>
      </rPr>
      <t>e realizaron</t>
    </r>
    <r>
      <rPr>
        <sz val="9"/>
        <color theme="1"/>
        <rFont val="Arial"/>
        <family val="2"/>
      </rPr>
      <t xml:space="preserve"> diversas articulaciones para la inclusión de personas con discapacidad,  cuidadores-as en diferentes entornos como se desglosa a continuación: 
Centro Renacer: En el marco de los procesos de gestión de redes para favorecer la inclusión de los participantes de la modalidad, se logra articulación con el Colegio Gustavo Restrepo para la asignación de cupos escolares, la cual garantiza los procesos de inclusión en el entorno educativo. Además, se llevó a cabo la gestión con la IPS Proyectar salud para garantizar una jornada de vacunación, refuerzo por COVID- 19, lo anterior teniendo en cuenta que esto garantiza el cuidado y el bienestar de los participantes durante los procesos de participación e inclusión en diferentes entornos. Finalmente, se establece un convenio con la Feria Internacional del Libro de Bogotá, FILBO 2022, para la participación de los NNA en actividades literarias, lúdicas y culturales. Así mismo, se realizaron talleres pedagógicos para los niños, niñas y adolescentes, orientadas a promover la formación y fortalecimiento de habilidades en cultura ciudadana y habilidades sociales. para garantizar espacios de goce y disfrute de la ciudad.
Centros Integrarte atención interna: a través de la implementación de la línea de desarrollo de habilidades y capacidades en entorno y territorio, se dio  continuidad a la articulación con entidades que favorecen la inclusión de la población participante en los diferentes entornos, tales como: Colegio Integrado de Fontibón, Colegio Costa Rica. Universidad Minuto de Dios, FUMDIR, Institución Educativa Departamental República de Francia, Instituto Educativo Departamental Fidel Cano, Sena - seccional Chía, IDRD, Colegio campestre de Guilford, Policía Nacional de Tena Cundinamarca, IMRD del municipio de Chía, Secretaria Distrital de Medio Ambiente, Instituto municipal el deporte y la recreación de Sibaté, Alcaldía de San Francisco, Fundación social Vive Colombia FUNVIVES, Fundación Armonía diversa, Biblioteca Municipal de Chía,  y Biblioteca Julio Mario Santo Domingo, Teatro Experimental de Fontibón, CED Florentino González - Grupo MOHANNA, OUTDOOR CO - COPA TEQUENDAMA- ATLETISMO 16 KM TRAIL RUNNING Municipio Apulo -Cundinamarca, Empresa Deli, Alcaldía Municipal de Cachipay, Empresa Grupo Bimbo, Empresa Alpina, Comercializadora Chía Tradicional- Crean Helado y CADIS.
Centros Crecer: Como parte de las articulaciones realizadas con empresas públicas y privadas,  se destacan con: Maloka, Idartes (CREA), IDRD, Academias de artes marciales, Universidades (Antonio Nariño, Nacional, Inpahu, Santo Tomas), Jardín Botánico, Transmilenio, Secretaria de Ambiente, SENA, FIDES, Bibliored, Museo del Mar y Museo del Vidrio, entre otras.  De igual forma, se mantienen las articulaciones con el ámbito educativo para el seguimiento a los procesos de educación inclusiva.
Centros integrarte atención externa: a través de la implementación de acciones para el desarrollo de habilidades y capacidades en entorno y territorio, se dio  continuidad a la articulación con entidades que favorecen la inclusión de la población participante en los diferentes entornos, tales como: Colegio integrado de Fontibón, Colegio La Amistad, SENA, Colegio Andrés Bello, Estación de Policía Tequendama, Circuito juego polimotor - Parque El Triángulo. Parque Mundo Aventura, Biblioteca Pública del Deporte, Supermercados Colsubsidio, Batuta, IDARTES, Biblioteca Publica Virgilio Barco, Museo Banco de la República, Secretaria Distrital del Medio Ambiente, Mi mundo ideal, Potocine, IDRD, CREA, CDC Simón Bolívar, Bellavista, Bosa - Porvenir  y La Victoria, Transmilenio, Secretaria de salud subred integrada de servicios de salud suroccidente, Parque San Luis (artes marciales),  Parque Velódromo 1ª de Mayo, Subdirección Local De San Cristóbal,  Alcaldía de Ciudad Bolívar, Inclusión laboral con Secretaria de Integración Social, Agencia Pública de Empleo del SENA, Bimbo Colombia SA. La articulación con estas instituciones ha permitido el disfrute de los espacios públicos y la inclusión en diferentes entornos donde la población con discapacidad se hace visible.
Centros Avanzar: En esta modalidad se dio continuidad a la articulación con entidades que favorecen la inclusión de la población participante en los entornos educativos, recreativos, culturales y deportivos, tales como: Colegio Rafael Delgado Salguero IED, BIBLORED, CDC San Cristóbal, IDRD, Mundo Aventura, FUGA, CDC San Cristóbal, IDRD, JUMPA JUMP Centro Ecuestre, IDARTES, IDRD. La articulación con estas instituciones permite el disfrute de los espacios de ciudad y la inclusión en diferentes entornos donde la población se hace visible y permite la transformación de imaginarios.</t>
    </r>
  </si>
  <si>
    <t xml:space="preserve">7/06/2022.  No se generan observaciones respecto al análisis reportado para el seguimiento del indicador
Se recomienda actualizar el indicador de acuerdo a lo socializado en el comité de gestores </t>
  </si>
  <si>
    <t xml:space="preserve">7/07/2022: Se recomienda realizar el análisis de la actividad  en términos de porcentajes  y en la parte cuantitativa colocar lo ejecutado y lo programado.
11/07/2022.  No se generan más observaciones respecto al análisis reportado para el seguimiento del indicador
Se recomienda actualizar el indicador de acuerdo a lo socializado en el comité de gestores y en la carta de alertas. </t>
  </si>
  <si>
    <t xml:space="preserve">Desde Centros Crecer como parte de la implementación del modelo integral a familias se adelantaron 224 intervenciones con los cuidadores o referentes familiares, en donde se generaron seguimientos a las dinámicas familiares y a las condiciones habitacionales de los participantes y sus familias, así mismo se llevaron a cabo entrevistas en las cuales se realizó orientación de acuerdo con  las particularidades de cada grupo familiar, promoviendo al mismo tiempo el compromiso de las familias  frente a los procesos de corresponsabilidad en  los procesos de salud de los participantes, tratamientos farmacológicos, procesos de  autocuidado  e independencia  en  actividades de alimentación y vestido.
Durante el periodo el Centro Renacer realizó en acciones para la implementación del modelo de atención integral dirigidas a la garantía de establecimiento de derechos por medio del reforzamiento del vínculo afectivos, reconocimiento de roles, orientaciones frente al proceso, seguimiento a los compromisos de corresponsabilidad, entrevista a la familia para preparación al egreso y entrevista inicial a los referentes familiares para el beneficio de los niños, niñas y adolescentes.
Durante el mes de julio en Centros Avanzar se llevaron a cabo procesos de intervención con familia, en función de promover acciones de corresponsabilidad frente a los planes de intervención de los NNA, para el desarrollo de sus habilidades. De igual manera se fortalecen redes de apoyo en función de eliminar barreras de acceso para los NNA 
En los Centros Integrarte Atención Interna se fomentó en la red familiar la participación en las actividades del diario vivir de la persona con discapacidad con el fin de que apoyen de manera activa el proceso terapéutico de la persona con discapacidad, mantener espacios de corresponsabilidad del sistema familiar con el proceso integral de la persona con discapacidad encaminado al mejoramiento de su calidad de vida, además, realizar apoyo psicosocial al grupo familiar con el fin de mejorar las relaciones entre los miembros del núcleo familiar,  al igual que efectuar visitas domiciliarias e intervenciones en medio institucionales con otros miembros del sistema familiar, reforzar los lazos afectivos entre los referentes familiares y la persona con discapacidad. 
En Centros Integrarte Atención Externa se han llevado a cabo intervenciones individuales con familia orientadas a fortalecer el manejo de pautas de crianza al interior de los hogares y favorecer el aumento de los niveles de corresponsabilidad en los procesos de atención, mediante ejercicios de diálogo y reflexión permitiendo establecer acuerdos y compromisos. 
 </t>
  </si>
  <si>
    <r>
      <t xml:space="preserve">En el mes de agosto es de destacar que el Centro Renacer adelanta procesos de fortalecimiento de vínculos afectivos del grupo familiar y seguimiento a compromisos de corresponsabilidad en el proceso de restablecimiento de derechos e Intervención desde el área psicosocial con familias para la socialización de los procesos socio legales y seguimiento a la medida adoptada por Defensoría para garantizar los derechos de los participantes y se realiza atención a </t>
    </r>
    <r>
      <rPr>
        <i/>
        <sz val="9"/>
        <color theme="1"/>
        <rFont val="Arial"/>
        <family val="2"/>
      </rPr>
      <t>padrinos de corazón de la estrategia Referentes Afectivos</t>
    </r>
    <r>
      <rPr>
        <sz val="9"/>
        <color theme="1"/>
        <rFont val="Arial"/>
        <family val="2"/>
      </rPr>
      <t xml:space="preserve"> del ICBF de manera presencial en la institución, manejando los protocolos de bioseguridad con el fin de favorecer las relaciones y vínculos afectivos entre los niños, niñas y adolescentes con sus redes vinculares.
Desde Centros Crecer se enviaron guías de trabajo en casa orientados por los profesionales para su aplicación en el hogar, de acuerdo con las habilidades y necesidades de los niños niñas y adolescentes. Así mismo el área de Trabajo  Social  posibilitó  acciones encaminadas al fortalecimiento de la salud mental y bienestar  emocional  de  los  cuidadores,  a  través  de procesos  formativos  presenciales y virtuales en el "Curso conecta con tus emociones" liderado por la Secretaría de Salud. En cumplimiento a la  implementación del modelo integral de familias, se desarrollan  intervenciones  con  cuidadores  y referentes familiares, seguimientos a las dinámicas  familiares y a las  condiciones habitacionales de los participantes y sus familias, así mismo se llevan a cabo entrevistas para la atención oportuna y orientaciones de acuerdo con las particularidades de cada grupo familiar e intervenciones grupales con familia.
En Centros Avanzar se llevaron a cabo procesos de intervención con familia, en función de promover acciones de corresponsabilidad frente a los planes de intervención de los participantes, para el desarrollo de sus habilidades. De igual manera se fortalecen redes de apoyo en función de eliminar barreras de acceso, se promovió en las familias cuidadoras y cuidadores la importancia de contar con hábitos y rutinas relacionadas con la práctica del autocuidado en el entorno familiar.
En cuanto a Centros Integrarte Atención Externa se llevaron a cabo intervenciones individuales con familia orientadas a fortalecer el manejo de pautas de crianza al interior de los hogares y favorecer el aumento de los niveles de corresponsabilidad en los procesos de atención, mediante ejercicios de diálogo y reflexión permitiendo establecer acuerdos y compromisos y generar procesos de sensibilización con los referentes familiares, frente al trabajo en equipo con profesionales del servicio y el proceso individual de los participantes. Se realizan cuatro (4) grupos focales con el fin de abordar temáticas relacionadas con Pautas de Crianza, Taller Pedagógico con familias y cuidadores  sobre responsabilidad, Arte y literatura, Actividades de rumba y circuitos motores, entre otros.   
En Centros Integrarte Atención Interna se realizaron grupos focales, dando cumplimiento a las actividades formuladas para el mejoramiento de las dinámicas familiares y la corresponsabilidad dentro del proceso, en temáticas como: Proyecto de vida familiar, manejo de emociones, Afectividad – imaginarios de la discapacidad, Red de apoyo como escenario para el fortalecimiento de las habilidades socioemocionales, Proceso De Corresponsabilidad Familiar, entre otros. Adicionalmente se adelantaron actividades pedagógicas y formativas para mejorar la comunicación y la negociación entre los sistemas familiares y el Centro Integrarte, desarrollar actividad de acondicionamiento físico con los referentes familiares con el fin de sensibilizarlos y mostrarles los tipos de actividades que se pueden desarrollar con las personas con discapacidad, dar a conocer a referentes familiares y sociales el manual de convivencia, buzón de sugerencias entre otros canales de comunicación que permite procesos encaminados a la atención integral de las personas con discapacidad y sus familias. 
 </t>
    </r>
  </si>
  <si>
    <t xml:space="preserve">El Centro Renacer adelanta en el mes de reporte, se realiza atención a padrinos de corazón de la estrategia Referentes Afectivos del ICBF de manera presencial en la institución, favoreciendo las relaciones y vínculos afectivos entre los niños, niñas y adolescentes con sus redes vinculares, se adelantaron acciones para identificar responsabilidades frente a la atención de sus hijos a partir de la aceptación y re significación del diagnóstico de la persona con discapacidad, proceso de corresponsabilidad dentro del espacio institucional al realizar las visitas a sus hijos-as o referido.
En Centros Integrarte Atención Interna se destaca entre las acciones que se adelantan  el fortalecimiento de los vínculos afectivos familiares a través de salidas parciales y salidas a medio familiar, vistas programadas al Centro, mejorando la dinámica familiar, así como la relación entre los familiares y el equipo en la unidad operativa, se establecen acuerdos y compromisos que favorezcan vínculos afectivos y seguimiento a las acciones de corresponsabilidad familiar, también se ha logrado a partir de los grupos focales que las familias identifiquen las necesidades que presentan dentro de sus dinámicas familiares y la vinculación de redes secundarias para algunos participantes que no contaban con acompañamiento en su proceso. 
En Centros Integrarte Atención Externa los referentes familiares participan en jornada de apoyo, vivenciando la atención de manera directa y conociendo de primera mano la cotidianidad en los procesos de atención, desde el plan de atención grupal e individual  en la línea de acción, desarrollo de habilidades y capacidades individuales y familiares, además de compartir saberes particulares, que hacen parte en algunos casos de sus unidades productivas o emprendimientos familiares, se logra fortalecer las dinámicas familiares en torno a las pautas de crianza positiva, apropiación de espacios de diálogo y concertación, se avanza en la implementación del plan de estilos de vida saludable, logrando que los participantes fortalezcan sus hábitos alimentarios en casa, también con las visitas domiciliarias realizadas durante el periodo se ha logrado reconocer las dinámicas familiares, necesidades de intervención y así mismo identificar quien asume el rol de cuidador y su necesidad de ser apoyado por los demás integrantes del sistema familiar. 
Centros Avanzar en el mes de reporte logró concientizar a los referentes familiares frente a la implementación  de adecuados estilos y pautas de crianza con sus hijos, establecer contacto con referentes familiares de los participantes en pro de generar caracterización e identificación de aspectos relevantes en cuanto a la dieta y tipo de consistencia ingerida. 
En Centros Crecer se logró desarrollar junto a las familias abordaje en temáticas relacionadas a proyecto de vida de las personas con discapacidad, se logró incrementar la corresponsabilidad con respecto a la asistencia y la participación activa en los talleres convocados desde el equipo psicosocial. Logrando un 97% de cumplimiento en la meta establecida en el indicador luego del ajuste efectuado en el mes, a partir del análisis de su comportamiento durante la vigencia. Es así como en el periodo Centros Crecer, Avanzar, Integrarte Atención Interna, Integrarte Externa y Renacer adelantan un toral de 966 actividades con familias para fortalecer la corresponsabilidad con los procesos de atención de los participantes. </t>
  </si>
  <si>
    <t xml:space="preserve">7/10/2022: Se recomienda reportar la parte cuantitativa, debido a que el reporte es trimestral y se debe realizar sobre lo actualizó  y realizar el análisis en términos de porcentaje.
Por otro lado se recomienda subir la evidencias pertinentes.
11/10/2022.  No se generan más observaciones respecto al análisis reportado para el seguimiento del indicador
</t>
  </si>
  <si>
    <t xml:space="preserve">3. Transformar los servicios sociales de la SDIS con el fin de responder a los aspectos clave del Plan Distrital de Desarrollo como el Sistema Distrital de Cuidado, la Estrategia Territorial de Integración Social y el Ingreso Mínimo Garantizado.    </t>
  </si>
  <si>
    <t>PSS-7771-004</t>
  </si>
  <si>
    <t xml:space="preserve">Actividades realizadas con familias y cuidadores(as) para promover el desarrollo de capacidades y habilidades de las personas con discapacidad </t>
  </si>
  <si>
    <t>Medir el número de actividades que realiza por Centro Renacer, Centros Crecer, Centros Avanzar y Centros Integrarte Atención Interna y Atención Externa para el desarrollo de capacidades y habilidades  para familias y cuidadores(as) de las personas con discapacidad vinculadas a las servicios de atención</t>
  </si>
  <si>
    <t>Respuesta de las familias</t>
  </si>
  <si>
    <t xml:space="preserve">(Número de actividades desarrolladas con familias y cuidadores(as) en Centro Renacer, Centros Crecer, Centros Avanzar y Centros Integrarte Atención Interna y Atención Externa / Número de actividades programadas con familias y cuidadores(as) de las personas con discapacidad de Centro Renacer, Centros Crecer, Centros Avanzar y Centros Integrarte Atención Interna y Atención Externa) * 100% </t>
  </si>
  <si>
    <t>Actas de actividades desarrolladas, formatos diligenciados de intervenciones individuales y grupales</t>
  </si>
  <si>
    <t xml:space="preserve">Este indicador se calcula tomando el número de actividades reportadas en el informe cualitativo y cuantitativo como realizadas con las familias y cuidadores(as) de las personas con discapacidad en Centro Renacer, Centros Crecer, Centros Avanzar y Centros Integrarte Atención Interna y Atención Externa dividido entre la cantidad de actividades programadas con familias y cuidadores(as) de las personas con discapacidad en Centro Renacer, Centros Crecer, Centros Avanzar y Centros Integrarte Atención Interna y Atención Externa, de acuerdo con lo establecido en su plan de acción.
</t>
  </si>
  <si>
    <t>Informe cualitativo y cuantitativo</t>
  </si>
  <si>
    <t xml:space="preserve">En el periodo de reporte Centros Crecer realiza 483 actividades con familias y cuidadores(as), dentro de las cuales se destacan  la identificación de las redes de apoyo de las familias, acciones de autocuidado por parte del referente familiar, fomentar herramientas para la elaboración de duelo, se realizaron intervenciones para orientar frente a pautas de crianza positiva en el que se regulen normas, acuerdos y herramientas sin utilizar la violencia, en articulación con la Subdirección para la Juventud al proyecto 7753, se desarrolla taller dirigido a las familias sobre los derechos sexuales y reproductivos de personas con discapacidad.
En Centros Avanzar en el marco de la línea de acción para el desarrollo de habilidades y capacidades familiares, se implementa el Modelo de Atención Integral para las Familias a través de las intervenciones con las familias, logrando un total de 802 intervenciones, de las cuales se llevaron a cabo 342 mediante visitas domiciliarias, en función de fortalecer redes de apoyo familiares y comunitarias.
En Centros Integrarte de Atención Externa se adelantaron un total de 639 intervenciones individuales con familiares por todas las  áreas  y  en  el  marco  de  las  diferentes  competencias generando espacios conversacionales que permiten el seguimiento a la dinámica familiar, a través de estrategias pedagógicas y formativas para la adquisición de herramientas de afrontamiento ante  la  situación  de  crisis,  las  cuales  permitan  el  aprendizaje,  crecimiento  y  unión familiar. Como  herramienta  de  apoyo  se  utiliza  la  visita domiciliaria la cual permite ayudar a dar a conocer   la dinámica familiar de cada uno de los participantes por medio de una entrevista semi estructurada; la observación de relaciones familiares, vínculos afectivos, funcionamiento familiar y verificación de espacio habitacional y soporte económico, siendo este un insumo para la identificación de un diagnóstico social.
En Centros Integrarte de Atención Interna se realizaron 224 actividades con referentes familiares, con el fin de fortalecer la  vinculación  de  los  miembros  de  las  redes  familiares, búsqueda activa  de  referentes  familiares  de  aquellas  personas  con  discapacidad  que  se  encuentran  dentro  del  proceso de  atención,  fortaleciendo a través de las  actividades  pedagógicas y grupos focales en el afianzamiento del rol de cuidadores. 
En el marco del proceso administrativo de restablecimiento de derechos y función de la implementación del modelo de atención integral para las familias, a través del equipo psicosocial del Centro Renacer se llevaron a cabo diez 10 intervenciones con referentes familiares de tres (3) niños, niñas y adolescentes; se propiciaron tres (3) visitas domiciliarias para la verificación de condiciones habitacionales; se realizaron dos (2) entrevistas para la caracterización y valoración de habilidades y capacidades familiares; se llevó a cabo una  (1) sesión de intervención grupal con familia. 
Teniendo en cuenta lo anterior, se realizaron un total de 2158 actividades con familias de los participantes de las modalidades de atención Centros Crecer, Renacer, Avanzar, Integrarte Atención Interna y Atención Externa común porcentaje de cumplimiento del 90% respecto a lo programado para el periodo. </t>
  </si>
  <si>
    <t xml:space="preserve">Durante el periodo de reporte el Centro Renacer se realizaron acciones para la implementación del Modelo de Atención Integral para las Familias dirigidas a la garantía y restablecimiento de derechos, por medio del fortalecimiento del vínculo afectivo, orientaciones frente al proceso, seguimiento a los compromisos de corresponsabilidad y entrevista inicial a los referentes familiares en beneficio de los niños, niñas y adolescentes.
En Centros Crecer se realizó por parte del área de Trabajo  Social  la socialización  a  los  referentes  familiares  respecto  a  las  normas  dirigidas  a  la población con discapacidad particularmente la ley 1996 del 2019, a ley 1145 de 2007 y ley 1757 de 2015, con el objetivo de brindar herramientas  a  las  familias  para  que  conozcan  y  apropien  los  mecanismos  y  espacios  locales  de participación, a través de estrategias de formación con el fin de que logren defender y garantizar los derechos  de  los  participantes  y  todos  los  miembros  de  la  familia. Adicionalmente, se realizó encuentro de referentes, con el fin de temas relacionados con:  minutade alimentos, prevención  de  violencias,  prevención del consumo de spa y actividades de respiro.
En Centros Avanzar  se realizaron intervenciones individuales con familia dirigidas a promover  en  las  familias  cuidadoras y cuidadores acciones que beneficien la  salud  física  y  emocional  por  medio del ejercicio  físico, generar procesos de sensibilización con los referentes familiares frente al trabajo en equipo con relación a la realización y entrega de actividades de los  participantes y con ello mejorar los niveles de corresponsabilidad.
En cuanto a Centros Integrarte Atención Externa se socializó el Informe de vigilancia del estado nutricional a los referentes familiares o cuidadores  por finalización  del convenio, dando  a conocer  los  cambios  presentados  por  los  participantes  durante  la  vigencia, suministrando  recomendaciones  nutricionales y de actividad  física que  fueron  elaborados  por  los  profesionales  involucrados,  conforme  a  su  condición  para  contribuir  al  cumplimiento  de  los objetivos.
En Centros Integrarte Atención Interna se realizan con familias para promover el fortalecimiento de la autoestima en los referentes familiares, con el fin de fomentar el amor propio y mejorar la autoimagen, la prevención de los diferentes tipos de violencia de género, el acompañamiento de los referentes familiares en el proceso de atención institucional, enmarcado en vínculos emocionales funcionales que aporten a los procesos de independencia de la persona con discapacidad, entre otros. </t>
  </si>
  <si>
    <t xml:space="preserve">En el mes de mayo se desarrollaron espacios de fortalecimiento y socialización de temáticas que aportan a un proceso de empoderamiento de las familias, del mismo modo se generó atención y orientación  en donde se brindaron intervenciones de acuerdo con las  necesidades  de  sus  dinámicas  familiares  a  través  de  la realización de visitas domiciliarias  y entrevistas con el fin de empoderar a los referentes familiares  frente a los procesos que se manejan en el Centro Crecer, corresponsabilidad familiar, activación de rutas institucionales y familiares, seguimiento a las procesos  llevados en ICBF, por vulneración de derechos de niños, niñas y adolescentes, riesgo psicosocial y violencia intrafamiliar.
En Centros Avanzar se generaron espacios para fomentar el autocuidado y fortalecimiento de autoestima, como parte del reconocimiento frente a la importancia del cuidado y el desarrollo personal en sus procesos de vida, con las familias y cuidadores/as, promoción de procesos de introspección en los referentes familiares sobre el autocuidado físico y socioemocional que les permita la prevención de afectaciones y/o alteraciones en sus áreas de ajuste y el posterior padecimiento del Síndrome del cuidador y brindar herramientas que les permita a los referentes familiares desarrollar habilidades de adaptación al cambio dada la proyección de egreso del servicio por cumplimiento de la mayoría de edad, entre otros. 
En Centro Renacer como parte de la garantía y el restablecimiento de los derechos de los niños, niñas y adolescentes, se realizaron acciones para la implementación del modelo de atención integral dirigidas a la garantía de establecimiento de derechos por medio del reforzamiento del vínculo afectivos, orientaciones frente al proceso, seguimiento a los compromisos de corresponsabilidad y entrevista inicial a los referentes familiares, abordando temáticas como socialización de los procesos socio legales y seguimiento a la medida adoptada por Defensoría para garantizar los derechos de los participantes, fortalecimiento de vínculos afectivos de los padrinos de corazón y los niños, niñas y adolescentes con medida de adopción que se encuentran en esta estrategia. Así mismo, se realizó atención virtual y presencial con las familias de los niños, niñas y adolescentes que se encuentran con medida de vulneración, además de entrevistas, seguimiento e intervención con el fin de avanzar en el proceso y aportar técnicamente a la toma de decisión de medida frente a la entidad competente.
En Centros Integrarte se realizó lectura e identificación de temáticas de interés para las familias para la formulación del Plan de Intervención, se logró establecer acuerdos de participación con los diferentes referentes familiares identificados, incentivar las visitas propiciando un espacio beneficioso para los participantes, vinculación de referentes fraternales al proceso de institucionalización a través de acciones de búsqueda de redes de apoyo primaria que brinden ayuda emocional al principal referente.
</t>
  </si>
  <si>
    <t>7/07/2022: Se recomienda realizar el análisis de la actividad  en términos de porcentajes  y en la parte cuantitativa colocar lo ejecutado y lo programado.
11/07/2022.  No se generan más observaciones respecto al análisis reportado para el seguimiento del indicador
Se recomienda actualizar el indicador de acuerdo a lo socializado en el comité de gestores y en la carta de alertas y tener en cuenta la observación que se realiza al finalizar el análisis del indicador de revaluar la meta, por las causas mencionadas en dicho análisis.</t>
  </si>
  <si>
    <t>9/08/2022.  No se generan observaciones respecto al análisis reportado para el seguimiento del indicador.
Se recomienda actualizar el indicador de acuerdo a lo socializado en el comité de gestores y en las reuniones de retroalimentación SPI. "</t>
  </si>
  <si>
    <t xml:space="preserve">7/10/2022: Se recomienda reportar la parte cuantitativa, debido a que en la actualización el reporte quedó mensual  y  también realizar el análisis en términos de porcentaje.
11/10/2022.  No se generan más observaciones respecto al análisis reportado para el seguimiento del indicador
</t>
  </si>
  <si>
    <t>PSS-7771-005</t>
  </si>
  <si>
    <t xml:space="preserve">Solicitudes de personas con discapacidad y cuidadores(as) de personas con discapacidad atendidas por el Equipo de Atención Emergente. </t>
  </si>
  <si>
    <t xml:space="preserve">Medir las atenciones efectuadas por el Equipo de Atención Emergente a través de la solicitudes efectuadas a personas con discapacidad y cuidadores-as de personas con discapacidad,  atendidas  </t>
  </si>
  <si>
    <t>Contar con el talento humano para atender las solicitudes efectuadas al equipo de atención emergente por diferentes instancias</t>
  </si>
  <si>
    <t xml:space="preserve">(Número de solicitudes  de personas con discapacidad y cuidadores-as atendidas por el equipo Atención Emergente / Número de solicitudes recibidas  para atención por el equipo de Atención Emergente) * 100 </t>
  </si>
  <si>
    <t xml:space="preserve">Solicitudes recibidas 
Formatos del equipo de atención emergente 
</t>
  </si>
  <si>
    <t xml:space="preserve">Este indicador se calcula tomando el número de solicitudes de personas con discapacidad y cuidadores(as) atendidos(as) por el equipo de atención emergente durante el periodo de reporte, dividido entre el número de solicitudes recibidas de personas con discapacidad y cuidadores(as) para recibir atención por el equipo de atención emergente durante el periodo de reporte,  en coherencia con lo establecido en el plan de acción.
</t>
  </si>
  <si>
    <t xml:space="preserve">Informe cualitativo y cuantitativo 
Matriz de reporte </t>
  </si>
  <si>
    <t xml:space="preserve">7/10/2022.  Se recomienda que al informe que hace parte de las evidencias,   se le ajuste el mes, ya que aparece octubre y además  que diga quien aprueba.
11/10/2022.  No se generan más observaciones respecto al análisis reportado para el seguimiento del indicador
</t>
  </si>
  <si>
    <t>Sistema de gestión</t>
  </si>
  <si>
    <t>SG-002</t>
  </si>
  <si>
    <t>Circular 002 del 31/01/2022</t>
  </si>
  <si>
    <t>Plan de ajuste y sostenibilidad del Modelo Integrado de Planeación y Gestión (MIPG), implementado</t>
  </si>
  <si>
    <t>Medir el grado de implementación de las actividades definidas por las dependencias frente a la adecuación del Sistema de Gestión, bajo los requisitos del Modelo Integrado de Planeación y Gestión - MIPG.</t>
  </si>
  <si>
    <t>Ejecución de las actividades del plan de ajuste y sostenibilidad por parte de las dependencias responsables en los tiempos establecidos.</t>
  </si>
  <si>
    <t>(Avance promedio en las actividades ejecutadas en el periodo/ Porcentaje promedio programado para las actividades a ejecutar en el periodo)*100</t>
  </si>
  <si>
    <t>Matriz del Plan de ajuste y sostenibilidad del Modelo Integrado de Planeación y Gestión (MIPG) con seguimiento trimestral.</t>
  </si>
  <si>
    <t>Durante el mes de enero se realizó la publicación del Plan de ajuste y sostenibilidad del Modelo Integrado de Planeación y Gestión (MIPG) formulado para la vigencia 2022, el cual fue aprobado de manera anticipada en sesión del Comité Institucional de Gestión y Desempeño, llevada a cabo el 30 de diciembre de 2021. Adicionalmente, la versión final se socializó mediante correo electrónico dirigido a los líderes de las políticas de gestión y desempeño.
La aprobación se registró en el Acta N° 12 del Comité Institucional de Gestión y Desempeño del 30/12/2021.</t>
  </si>
  <si>
    <t>16/03/2022. No se generan observaciones o recomendaciones respecto al análisis presentado en el seguimiento al indicador de gestión.</t>
  </si>
  <si>
    <t>Durante el mes de febrero, desde la Subdirección de Diseño, Evaluación y Sistematización, se lideraron las actividades institucionales para el diligenciamiento del Formulario Único de Reporte y Avance de Gestión - FURAG, en el cual se reflejan los avances en la implementación del MIPG a partir de los resultados en el Plan de ajuste y sostenibilidad de la vigencia 2021. Así mismo, los resultados que se obtengan a partir de esta medición del desempeño de la vigencia 2021, permitirán fortalecer las actividades a desarrollar en la vigencia 2022, en el marco del plan formulado.</t>
  </si>
  <si>
    <t>Para el primer trimestre el promedio programado en las actividades a ejecutar dentro del Plan de Ajuste y Sostenibilidad MIPG, fue del 96%. En el mes de marzo se consolidó el primer seguimiento al Plan, el cual programó 15 metas de las cuales 12 se cumplieron al 100%; 1 al 32% y 2 se reportan al 0%, en este sentido, se obtiene un cumplimiento del 82% para el trimestre. 
Para los dos (2) productos que no reportaron avance, desde la Subdirección de Diseño, Evaluación y Sistematización se enviarán las alertas respectivas a las dependencias responsables, con el fin de asegurar su cumplimiento en los siguientes periodos.
Igualmente, para este seguimiento, se solicitaron las evidencias que reposan en la carpeta compartida para este fin.
Los resultados se consolidan en el mes de abril para su socialización y publicación.</t>
  </si>
  <si>
    <t>En el mes de Abril se consolidó el seguimiento al Plan de Ajuste y Sostenibilidad del primer trimestre de 2022, verificando las evidencias para el cumplimiento de las 15 actividades programadas para el primer trimestre.
En este mes la Dirección de Análisis y Diseño Estratégico emitió el memorando reportando las alertas de los dos (2) productos que no reportaron avance de la Subdirección de Diseño, Evaluación y Sistematización y un (1) producto de la  Subsecretaria que llegó a una ejecución del 32%; lo anterior con el fin de que los líderes de las políticas promuevan la mejora continua evaluando las causas que afectan su cumplimiento y en caso de presentarse desviaciones, realicen los ajustes y/o modificaciones que se requieran para asegurar el cumplimiento en los siguientes periodos.
Esta pendiente la socialización del seguimiento del Plan de Ajuste y Sostenibilidad del primer trimestre, en el Comité Institucional de Gestión y Desempeño.</t>
  </si>
  <si>
    <t>9/05/2022. No se generan observaciones o recomendaciones respecto al análisis presentado en el seguimiento al indicador de gestión</t>
  </si>
  <si>
    <r>
      <t xml:space="preserve">Durante el mes de mayo, la Subdirección de Diseño, Evaluación y Sistematización adelanto actividades para socializar los resultados del FURAG 2021, que dan cuenta de la gestión institucional a partir de la implementación de las políticas del Modelo Integrado de Planeación y Gestión, así como las recomendaciones con las cuales se definen  actividades para reducir las brechas en cada una de las políticas; lo anterior se constituye en insumos para formular posibles nuevos productos en el Plan de ajuste y sostenibilidad 2022.
Adicionalmente, el  20 de mayo se socializó el seguimiento del primer trimestre del Plan de ajuste y sostenibilidad en el Comité Institucional de Gestión y Desempeño y se publicó en la pagina web: </t>
    </r>
    <r>
      <rPr>
        <sz val="9"/>
        <rFont val="Arial"/>
        <family val="2"/>
      </rPr>
      <t>https://www.integracionsocial.gov.co/index.php/transparencia/transparencia-y-acceso-a-la-informacion-publica.</t>
    </r>
    <r>
      <rPr>
        <sz val="9"/>
        <color theme="1"/>
        <rFont val="Arial"/>
        <family val="2"/>
      </rPr>
      <t xml:space="preserve">
La Subdirección de Diseño, Evaluación y Sistematización, de manera permanente mantiene comunicación con las dependencias para orientar y asesorar en la implementación de los lineamientos de las políticas del MIPG y en el cumplimiento de las actividades programadas en el Plan.</t>
    </r>
  </si>
  <si>
    <r>
      <t xml:space="preserve">Para el segundo trimestre el promedio programado en las actividades a ejecutar dentro del Plan de Ajuste y Sostenibilidad MIPG, fue del 100%. En el mes de junio se consolidó el segundo seguimiento al Plan, el cual programó 29 metas de las cuales 26 se cumplieron al 100%; 1 al 93%, 1 al 68% y 1 al 50%. De tal manera, se obtiene un </t>
    </r>
    <r>
      <rPr>
        <sz val="9"/>
        <rFont val="Arial"/>
        <family val="2"/>
      </rPr>
      <t>promedio</t>
    </r>
    <r>
      <rPr>
        <sz val="9"/>
        <color theme="1"/>
        <rFont val="Arial"/>
        <family val="2"/>
      </rPr>
      <t xml:space="preserve"> de cumplimiento del 97% para el segundo trimestre.
Adicionalmente, para el segundo seguimiento se recibe reporte de cumplimiento al 100% de los dos productos que no presentaron avance en el primer trimestre (N° 7 y 14), por lo cual para efectos del presente indicador, la ejecución global supera lo programado ubicándose en un 109%.
Para los tres (3) productos con avances inferiores al 100%, desde la Subdirección de Diseño, Evaluación y Sistematización se enviarán las alertas respectivas a las dependencias responsables, con el fin de asegurar su cumplimiento en los siguientes periodos.
Los resultados se consolidan en el mes de julio para su socialización y publicación.
Como evidencia se entrega la matriz del Plan de ajuste y sostenibilidad del Modelo Integrado de Planeación y Gestión (MIPG) con el seguimiento del segundo trimestre 2022.</t>
    </r>
  </si>
  <si>
    <t>14/07/2022. No se generan observaciones o recomendaciones respecto al análisis presentado en el seguimiento al indicador de gestión</t>
  </si>
  <si>
    <r>
      <t xml:space="preserve">Durante el mes de julio, el equipo del Sistema de Gestión diseñó la estrategia de divulgación del Modelo Integral de Planeación y Gestión-MIPG, la cual esta siendo socializada semanalmente a todos los colaboradores de la entidad a través del </t>
    </r>
    <r>
      <rPr>
        <i/>
        <sz val="9"/>
        <color theme="1"/>
        <rFont val="Arial"/>
        <family val="2"/>
      </rPr>
      <t>Boletín interno de la SDIS</t>
    </r>
    <r>
      <rPr>
        <sz val="9"/>
        <color theme="1"/>
        <rFont val="Arial"/>
        <family val="2"/>
      </rPr>
      <t>, a fin de fortalecer y apropiar todos los conceptos del Modelo y avanzar en la implementación de las políticas de gestión y desempeño.
Igualmente, la Subdirección de Diseño, Evaluación y  Sistematización de manera permanente mantiene comunicación con las dependencias para orientar y asesorar en la implementación de los requisitos de las políticas del MIPG y en el cumplimiento de las actividades programadas en el Plan.</t>
    </r>
  </si>
  <si>
    <t>12/08/2022. No se generan observaciones o recomendaciones respecto al análisis presentado en el seguimiento al indicador de gestión</t>
  </si>
  <si>
    <r>
      <t xml:space="preserve">Durante el mes de Agosto, el equipo del Sistema de Gestión continúo coordinando la estrategia de divulgación del Modelo Integral de Planeación y Gestión-MIPG, para la elaboración de los videos, que se están socializando semanalmente a todos los colaboradores de la entidad a través del </t>
    </r>
    <r>
      <rPr>
        <i/>
        <sz val="9"/>
        <color theme="1"/>
        <rFont val="Arial"/>
        <family val="2"/>
      </rPr>
      <t>Boletín interno de la SDIS</t>
    </r>
    <r>
      <rPr>
        <sz val="9"/>
        <color theme="1"/>
        <rFont val="Arial"/>
        <family val="2"/>
      </rPr>
      <t>, a fin de fortalecer y apropiar todos los conceptos del Modelo y avanzar en la implementación de las políticas de gestión y desempeño.
De otra parte, se enviaron comunicados a los lideres de políticas MIPG, de los resultados obtenidos en los autodiagnósticos de: Talento humano, Gestión del conocimiento, Participación ciudadana, Gobierno digital, Servicio al ciudadano, Gestión documental, Integridad y Tramites. En los comunicados se solicitó a los líderes que se clasifiquen, a corto, mediano y largo plazo, las actividades que aun están pendientes de implementar de acuerdo con la capacidad institucional.
Igualmente, la Subdirección de Diseño, Evaluación y  Sistematización de manera permanente mantiene comunicación con las dependencias para orientar y asesorar en la implementación de los requisitos de las políticas del MIPG y en el cumplimiento de las actividades programadas en el Plan.</t>
    </r>
  </si>
  <si>
    <t>13/09/2022. No se generan observaciones o recomendaciones respecto al análisis presentado en el seguimiento al indicador de gestión</t>
  </si>
  <si>
    <r>
      <t>Para el tercer trimestre, se consolidó el Plan de ajuste y sostenibilidad con 19 metas programadas, de las cuales, la asociada al producto N° 7 report</t>
    </r>
    <r>
      <rPr>
        <sz val="9"/>
        <rFont val="Arial"/>
        <family val="2"/>
      </rPr>
      <t>ó el cumplimiento anticipado del 100% en el segundo trimestre. En este sentido, para el período reportado se tienen 18 productos, de los cuales tres (3) ya alcanzaron el cumplimiento del 100%</t>
    </r>
    <r>
      <rPr>
        <sz val="9"/>
        <color theme="1"/>
        <rFont val="Arial"/>
        <family val="2"/>
      </rPr>
      <t xml:space="preserve"> con respecto a lo programado para el 2022 y tres (3) no alcanzaron su cumplimiento al 100% (productos 1, 2 y 4 de la Política de Servicio al ciudadano a cargo de la Subsecretaria). Las 18 metas del tercer trimestre en promedio presentan una ejecución del 94%.
Adicionalmente, el producto 26 logró cumplimiento de lo programado para el año de manera anticipada (100%), por lo cual, para efectos del presente indicador el cumplimiento del periodo es del 97%.
Para los tres (3) productos con avances inferiores al 100%, desde la Subdirección de Diseño, Evaluación y Sistematización se enviarán las alertas respectivas a la dependencia responsable, con el fin de asegurar su cumplimiento para el cierre de la vigencia.
Durante el mes de Septiembre, el equipo del Sistema de Gestión continúo coordinando la estrategia de divulgación del Modelo Integral de Planeación y Gestión-MIPG, para la elaboración de los videos, que se están socializando semanalmente a todos los colaboradores de la entidad a través del Boletín interno de la SDIS, a fin de fortalecer y apropiar todos los conceptos del Modelo y avanzar en la implementación de las políticas de gestión y desempeño.
A finales del agosto se inicio la estrategia de divulgación con la publicación del video de la Secretaria del despacho invitando a los lideres de las políticas del Modelo Integrado de Planeación y Gestión-MIPG y servidores públicos a la implementación del MIPG, posteriormente se publicaron los videos de las políticas presentadas por los lideres de talento humano, planeación institucional, integridad, gestión presupuestal y eficiencia del gasto, compras y contratación.
Igualmente, la Subdirección de Diseño, Evaluación y  Sistematización de manera permanente mantiene comunicación con las dependencias para orientar y asesorar en la implementación de los requisitos de las políticas del MIPG y en el cumplimiento de las actividades programadas en el Plan.</t>
    </r>
  </si>
  <si>
    <t>TI-002</t>
  </si>
  <si>
    <t>Circular No. 029 del 26/10/2022</t>
  </si>
  <si>
    <t>Nivel de ejecución de los Proyectos y/o actividades de TI de la Subdirección de Investigación e Información.</t>
  </si>
  <si>
    <t>Mide el avance en la ejecución de los proyectos y/o actividades de TI de la entidad a cargo de la Subdirección de Investigación e Información.</t>
  </si>
  <si>
    <t>Implementación de los Proyectos y/o actividades de TI de la Subdirección de Investigación e Información.</t>
  </si>
  <si>
    <t>Número de proyectos y/o actividades ejecutados en el periodo / Número de proyectos y/o actividades programados en el periodo * 100</t>
  </si>
  <si>
    <t xml:space="preserve">
Matriz de seguimiento a las solicitudes de desarrollo o modificaciones de software. </t>
  </si>
  <si>
    <t>Para el cálculo del indicador se toma el número de proyectos y/o actividades que se ejecutaron en el periodo trimestral y se divide con respecto al número de los proyectos y/o actividades que se programaron en ese periodo determinado.
Nota: El avance por periodo se reporta de manera acumulada y se tomará la sumatoria de los cuatro trimestres.</t>
  </si>
  <si>
    <t xml:space="preserve">
Informes mensuales de solicitudes de desarrollo.</t>
  </si>
  <si>
    <t>Se presenta avance cualitativo de la ejecución del indicador. Durante el mes de Enero se planeó la implementación de 4 requerimientos los cuales finalizaron y se desplegaron en producción de acuerdo a lo planeado.
Listado de Temas
1) IOPS: Se corrige el error que hace que se envíen informes de supervisión varias veces, cuando el servidor se encuentra con cola alta
de procesamiento.
2) RAJ: Restauración de contraseñas de acceso a RAJ en la bases de datos de Producción Db_Login_Sdis.
3) CRP y CDP en el reporte de plan
anual de adquisiciones: Se corrige el error que hace que se muestren números decimales en los identificadores de CRP y CDP en el reporte de plan
anual de adquisiciones.
4) infancia BMT a BCS  SIRBE: Infancia BMT a BCS  SIRBE. Copiar la parametrización de las modalidades de infancia BMT a BCS</t>
  </si>
  <si>
    <t>14/03/2021 No se generan observaciones respecto al análisis presentado en el seguimiento al indicador de gestión. Se deja la siguiente recomendación: se debe adelantar todas las acciones pertinentes para dar cumplimiento a la meta propuesta.</t>
  </si>
  <si>
    <t>Se presenta avance cualitativo de la ejecución del indicador, durante el mes de febrero se planeó la implementación de 2 requerimientos los cuales finalizaron y se desplegaron en producción de acuerdo a lo planeado.
Listado de Temas
1) IOPS: Se implementa la opción de solicitar Unidad operativa al momento de crear un informe. Se migra el componente sincronizador IOPS/Seven desde el equipo 172.16.4.172 a la maquina IOPS producción.
2) TROPA SOCIAL: Se realizan actualización para habilitar una encuesta a varias subdirecciones en la plataforma web</t>
  </si>
  <si>
    <t>Se presenta avance cualitativo y cuantitativo de la ejecución del indicador, durante el mes de marzo se planeó la implementación de 3 requerimientos los cuales finalizaron y se desplegaron en producción de acuerdo a lo planeado.
En el 1 trimestre (enero a marzo) se implementaron 9 requerimientos, los cuales finalizaron en su totalidad según lo programado.</t>
  </si>
  <si>
    <t>19/04/2021 No se generan observaciones respecto al análisis presentado en el seguimiento al indicador de gestión. Se deja la siguiente recomendación: revisar la fuentes de datos y evidencia que sea acorde a lo que se está analizando en el indicador. Actualmente el indicador se encuentra en sobrecumplimiento, revisar la meta.</t>
  </si>
  <si>
    <t>Se presenta avance cualitativo de la ejecución del indicador, durante el mes de abril se planeó la implementación de 6 requerimientos los cuales finalizaron y se desplegaron en producción de acuerdo a lo planeado.
Listado de temas:
1.SIRBE: Cambio de versión EJECUTABLE sirbe para permitir ingreso de participantes en las nuevas modalidades. Se agotó el máximo del parámetro creado en el VB6 y no permite guardar personas en las nuevas modalidades.
2.SISTEMA DE SEGUIMIENTO NIÑO A NIÑO: Se requiere hacer el despliegue de la versión del Sistema de Información de Seguimiento Niño a Niño - SSNN, la cual incorpora ajustes y validaciones de acuerdo a los siguientes requerimientos:
- Información de niños duplicada.- Modificación de información cargada.- Evaluar cargue.- Evaluación y ajuste al módulo de seguridad.- Reconstrucción de todos los reportes.- Realizar un proceso de DataClean y DataQuality.
3.SIRBE:El equipo de calidad y soporte solicitan la restauración de información de actuaciones de dos personas (beneficiarios) que fueron borradas.
4.SISTEMA DE SEGUIMIENTO NIÑO A NIÑO: Se requiere hacer el despliegue de la versión del Sistema de Seguimiento Nominal - SSN, debido a una inconsistencia que se presenta en una consulta interna del Sistema de Información. La inconsistencia se debe a la no existencia del dato "usuario" en los cargues de información iniciales (2018), esta limitante hace que la consulta de personas en el sistema no devuelva datos. En este momento se ha realizado el ajuste y es vital hacer el despliegue para que los usuarios logren llegar a la información.
5.SIRBE:Se requiere hacer el despliegue de la versión del Sistema de Seguimiento Nominal - SSN, debido a inconsistencias detectadas por los usuarios en la operación diaria. Se realizaron las validaciones los ajustes y las pruebas por parte del equipo mostrando un comportamiento adecuado.
6.IOPS:Se añaden más campos en IOPS como filtro en la opción "Consultar Informes". Se corrige comportamiento que impedía mostrar botón de nuevas obligaciones en determinadas circunstancias. Se migra el componente sincronizador IOPS/Seven desde el equipo 172.16.4.172 a la maquina IOPS producción.</t>
  </si>
  <si>
    <t>10/05/2022 No se generan observaciones respecto al análisis presentado en el seguimiento al indicador de gestión. Se deja la siguiente recomendación: revisar el cumplimiento de la meta para el siguiente trimestre.</t>
  </si>
  <si>
    <t xml:space="preserve">Se presenta avance cualitativo de la ejecución del indicador, durante el mes de mayo se planeó la implementación de 10 requerimientos los cuales finalizaron y se desplegaron en producción de acuerdo a lo planeado.
Listado de temas:
1.AZDigital:Se requieren actualizar varios recursos de AZDigital para resolver el incidente en la búsqueda de usuarios en el módulo de radicación para los perfiles de usuario interno y coordinador de radicación y mejorar la generación del log de firma electrónica de AZsign.
2.RAJ:Restauración de contraseñas de acceso a RAJ.
3.SEVEN:Actualización del programa SCtContr en servidor de aplicaciones apus Seven ERP, por temas de versionamiento.
Actualización del programa SAfRater en servidor de aplicaciones apus Seven ERP, por temas de versionamiento. 
Actualización el programa rembolso de cajas menores.
4.IOPS:Se soluciona problema reportado de lentitud en obtención de informes.
5.AZDigital:Se requiere mejorar la creación de los logs por parte del gestor de firmas de AZsign.
6.SEVEN:Aplicar la política a nivel de servidor de dominio para todas las máquinas de la entidad por motivos de cambio del navegador Edge.
Actualización del  rpt  SCTLEGAL, ya que se eliminó la nota que señala: ""Documento firmado electrónicamente de acuerdo con la Ley 527 de 1999 y el Decreto 2364 de 2012"" por solicitud de la Subdirección de Contratación.
Actualización del  rpt  SPGSOCDP en servidor de reportes Andrómeda Seven ERP, ya que se ajustó la información y valores relacionados en el ele/pep por solicitud de la Subdirección financiera.
7.SISTEMA DE SEGUIMIENTO NOMINAL: Se requiere hacer el despliegue de la versión del Sistema de Seguimiento Nominal - SSN, debido a que la versión instalada en producción presenta inconsistencias y no es claro porque no responde como si lo hace la aplicación de pruebas. Por las diferencias se solicita que se realice un nuevo despliegue de la aplicación web, la aplicación api y los script's de base de datos.
8.IOPS:Se elimina dependencia IOPS/Seven para consulta de obligaciones.
9.FOCALIZACION:Modificación en el formulario de focalización en la sección de identificación
10.IOPS:Se añade el campo de fecha de presentado informe para pantalla de evaluación de informe supervisor y apoyo. Adicionalmente, se añadió la posibilidad de eliminar o desactivar en lote obligaciones por parte del usuario administrador. </t>
  </si>
  <si>
    <t>13/06/2022 No se generan observaciones respecto al análisis presentado en el seguimiento al indicador de gestión. Se deja la siguiente recomendación: tener en cuenta la recomendación que se deje en el reporte del mes de marzo, con respecto al sobrecumplimiento de la meta propuesta para está vigencia y las evidencias que sean acorde a lo que se está analizando.</t>
  </si>
  <si>
    <t>12/07/2022 No se generan observaciones respecto al análisis presentado en el seguimiento al indicador de gestión. Se deja la siguiente recomendación: tener en cuenta la recomendación que se dejó en el reporte del mes de marzo, con respecto al sobrecumplimiento de la meta propuesta (85%) para está vigencia, actualmente esta en 118% de cumplimiento. Igualmente, por favor revisar ortografía antes de enviar el reporte.</t>
  </si>
  <si>
    <t>Se presenta avance cualitativo de la ejecución del indicador, durante el mes de julio se planeó la implementación de 11 requerimientos los cuales finalizaron y se desplegaron en producción de acuerdo a lo planeado.
Listado de temas:
Mantenimiento de software(3 requerimientos)
1.Aplicacion kgngenmg : Se requiere la actualización programa kgngenmg y Base de Datos 
2.SEVEN: Se requiere la actualización del programa generación activos fijos por tercero responsable 
3.APOLO: Realizar el desmonte de los servidores de Apolo SRVAPPAPOLO servidor de producción y SRV-APOLO-PRB servidor de pruebas, en este proceso de deshabilitara almacenamiento, redes y procesamiento asociado.
Modificaciones de software (7 requerimientos) 
4.FOCALIZACION:Modificación de información de BD producción Focalización
5.Se solicita la modificación de información de BD producción Focalización (Eliminación y unificación de fichas)
6.Se solicita la modificación de información de BD producción Focalización (Eliminación y unificación de fichas)
7.Se solicita realizar el despliegue de ajustes de Focalización
8.SIRBE:Se solicita anclar la localidad de Bosa (7), al convenio ya creado para el proyecto 1098 Bogotá te nutre
9.Se requieren modificación del JOB para permisos extemporáneos a usuarios con contrato
10.TROPA SOCIAL: Se requieren que los usuarios solo puedan ver sus encuestas asignadas y no todas, además es necesario crear un usuario especial para validación de plataforma por Google play.
Implementación de nuevas funcionalidades (1 requerimiento)
11.PBX Issabel: Se requiere realizar pruebas de salidas e ingreso de llamadas estableciendo la señalización de la troncal SIP del operador ETB con la PBX de contingencia Issabel sin pasar por el Sesión Border Controller (SBC)
Activación funcionalidad en Sirbe para que no puedan ser ingresadas personas que no estén focalizadas.</t>
  </si>
  <si>
    <t>09/08/2022 No se generan observaciones respecto al análisis presentado en el seguimiento al indicador de gestión. Se deja la siguiente recomendación que se ha dejado desde marzo: con respecto al sobrecumplimiento de la meta propuesta (85%) para está vigencia, actualmente el indicador está en sobrecumplimiento (118%). Por favor revisar la necesidad de actualizar la meta para esta vigencia.</t>
  </si>
  <si>
    <t>Se presenta avance cualitativo de la ejecución del indicador, durante el mes de agosto se planeó la implementación de 8 requerimientos los cuales finalizaron y se desplegaron en producción de acuerdo a lo planeado.
Listado de temas:
Mantenimiento de software(3 requerimientos)
1.SEVEN: Se requiere la actualización el reporte SCtLegal.rpt
2.Aplicacion RAJ: Restauración de contraseñas de acceso a RAJ 
3.DB_Login_Sdis: Restauración de contraseñas de acceso a RAJ 
Modificaciones de software (5 requerimientos) 
4.SIRBE:Se requieren modificación del JOB para permisos extemporáneos a usuarios con contrato
5.FOCALIZACION:Modificación de información de BD producción Focalización y Eliminación y unificación de fichas
6.Modificación de información de BD producción Focalización
7.Modificación de información de BD producción Focalización y Trigger de Sirbe Producción
8.Modificación de información de BD producción Focalización y Trigger de Sirbe Producción"</t>
  </si>
  <si>
    <t>11/09/2022 No se generan observaciones respecto al análisis presentado en el seguimiento al indicador de gestión.</t>
  </si>
  <si>
    <t>11/10/2022 No se generan observaciones respecto al análisis presentado en el seguimiento al indicador de gestión.</t>
  </si>
  <si>
    <t>PROCESO SISTEMA DE GESTIÓN
FORMATO MAPA Y PLAN DE TRATAMIENTO DE RIESGOS</t>
  </si>
  <si>
    <t>Código:</t>
  </si>
  <si>
    <t>FOR-SG-013</t>
  </si>
  <si>
    <t>Versión:</t>
  </si>
  <si>
    <t>Fecha:</t>
  </si>
  <si>
    <t>Memo I2021039704 – 24/12/2021</t>
  </si>
  <si>
    <t>Página:</t>
  </si>
  <si>
    <t>1 de 2</t>
  </si>
  <si>
    <t>Mapa de riesgos de:</t>
  </si>
  <si>
    <t>Gestión</t>
  </si>
  <si>
    <t>SECCIÓN A. Identificación y análisis</t>
  </si>
  <si>
    <t>SECCIÓN B. Valoración y tratamiento</t>
  </si>
  <si>
    <t>SECCIÓN C. Monitoreo y revisión</t>
  </si>
  <si>
    <t>Proceso</t>
  </si>
  <si>
    <t>Objetivo del proceso</t>
  </si>
  <si>
    <t>Actividad del proceso</t>
  </si>
  <si>
    <t>Circular y fecha de oficialización</t>
  </si>
  <si>
    <t>Código</t>
  </si>
  <si>
    <t>Causa raíz</t>
  </si>
  <si>
    <t>Riesgo</t>
  </si>
  <si>
    <t>Área de impacto</t>
  </si>
  <si>
    <t>Clasificación</t>
  </si>
  <si>
    <t>Riesgo Inherente</t>
  </si>
  <si>
    <t>Actividad de control</t>
  </si>
  <si>
    <t>Tipo de actividad de control</t>
  </si>
  <si>
    <t>Forma de ejecución de la actividad de control</t>
  </si>
  <si>
    <t>Riesgo Residual</t>
  </si>
  <si>
    <t>Decisión del líder de proceso</t>
  </si>
  <si>
    <t>Plan de tratamiento</t>
  </si>
  <si>
    <t>Monitoreo primer trimestre / primer cuatrimestre</t>
  </si>
  <si>
    <t>Monitoreo segundo trimestre / segundo cuatrimestre</t>
  </si>
  <si>
    <t>Monitoreo tercer trimestre / tercer cuatrimestre</t>
  </si>
  <si>
    <t>Monitoreo cuarto trimestre</t>
  </si>
  <si>
    <t>Probabilidad</t>
  </si>
  <si>
    <t>Impacto</t>
  </si>
  <si>
    <t>Nivel</t>
  </si>
  <si>
    <t>Actividades a desarrollar</t>
  </si>
  <si>
    <t>Responsable</t>
  </si>
  <si>
    <t>Indicador o criterio de medición</t>
  </si>
  <si>
    <t>Meta</t>
  </si>
  <si>
    <t>Fecha de inicio</t>
  </si>
  <si>
    <t>Fecha de terminación</t>
  </si>
  <si>
    <t>Fecha</t>
  </si>
  <si>
    <t>Nivel de avance del periodo</t>
  </si>
  <si>
    <t>Descripción de avances y evidencias</t>
  </si>
  <si>
    <t>Riesgo materializado</t>
  </si>
  <si>
    <t>Observaciones por parte de la segunda línea de defensa</t>
  </si>
  <si>
    <t>Nivel de avance acumulado</t>
  </si>
  <si>
    <t>Recopilar, procesar y analizar la información que contribuya al cumplimiento de la misión de la entidad</t>
  </si>
  <si>
    <t>R-PE-001</t>
  </si>
  <si>
    <t>Debido a la entrega de información fuera de los tiempos establecidos por parte de las dependencias de la entidad, relacionada con el seguimiento al plan de acción de los proyectos de inversión</t>
  </si>
  <si>
    <t>Posibilidad de incumplimiento a los tiempos establecidos por el Distrito, en la entrega de los reportes de información y el seguimiento a metas SEGPLAN debido a la falta de información oportuna por parte de las dependencias</t>
  </si>
  <si>
    <t>Económica y reputacional</t>
  </si>
  <si>
    <t>De cumplimiento</t>
  </si>
  <si>
    <t>40% - Baja</t>
  </si>
  <si>
    <t>80% - Mayor</t>
  </si>
  <si>
    <t>Los profesionales del equipo de proyectos de la Subdirección de Diseño, Evaluación y Sistematización mensualmente realizan verificación del reporte oportuno al seguimiento del plan de acción de los proyectos de inversión, teniendo como referencia el comunicado interno (cronograma de entrega). Así mismo realizan acompañamiento y retroalimentación a través de reuniones con los gerentes de proyecto y/o equipo de proyecto, con el fin de informar fechas de entrega y las desviaciones en la ejecución del proyecto. 
En caso de no recibir la información dentro de los tiempos establecidos el analista que acompaña el proyecto de inversión, enviará alertas al equipo de proyecto, a través de correo electrónico, con el fin de contar con la información oportunamente.
Como evidencia se cuenta con memorando interno y acta de seguimiento o presentación a la implementación de los proyectos.</t>
  </si>
  <si>
    <t>Preventiva</t>
  </si>
  <si>
    <t>Manual</t>
  </si>
  <si>
    <t xml:space="preserve">Reducir </t>
  </si>
  <si>
    <t>Profesionales del equipo de proyectos de la Subdirección de Diseño, Evaluación y Sistematización</t>
  </si>
  <si>
    <t>(N° de seguimientos realizados  a los proyectos de inversión / N° de seguimientos programados)*100
I trim: 10% (reporte febrero)
II trim: 40% (reporte marzo, abril, mayo)
III trim: 70% (reporte junio, julio y agosto) 
IV trim: 100% (reporte septiembre, octubre y noviembre)</t>
  </si>
  <si>
    <t>Desde el equipo de seguimiento a proyectos se realizó el seguimiento correspondiente al informe SPI de 18 proyectos de inversión del  periodo enero a febrero de 2022, realizando la verificación de la información suministrada en los reportes, así como la retroalimentación a través de reuniones con los profesionales delegados de cada área técnica. Logrando con esto, contar con el reporte de metas a corte 28 de febrero.  
Como evidencia se anexan las 18 actas de retroalimentación de los seguimientos de los proyectos de inversión, el memorando de cronograma de entrega de SPI inicial, y el segundo memorando que ajusta cronograma para los periodos marzo a diciembre de 2022</t>
  </si>
  <si>
    <t>NO</t>
  </si>
  <si>
    <t>08/04/2022 Por favor verificar ya que no se evidencia el acta del proyecto 7565.
11/04/2022 No se generan observaciones o recomendaciones respecto a los avances y evidencias presentados en el monitoreo al riesgo de gestión.</t>
  </si>
  <si>
    <t>Desde el equipo de seguimiento a proyectos se realizó el seguimiento correspondiente al informe SPI de 18 proyectos de inversión en los periodos de enero marzo, de enero a abril y de enero a mayo de 2022, realizando la verificación de la información suministrada en los reportes, así como la retroalimentación a través de reuniones con los profesionales delegados de cada área técnica.
Como evidencia se anexan las 18 actas de retroalimentación de los seguimientos de los proyectos de inversión en cada uno de los meses antes mencionados, el memorando de cronograma de entrega de SPI inicial y el segundo memorando que ajusta cronograma para los periodos marzo a diciembre de 2022.</t>
  </si>
  <si>
    <t>8/07/2022 No se generan observaciones o recomendaciones respecto a los avances y evidencias presentados en el monitoreo al riesgo de gestión.</t>
  </si>
  <si>
    <t>Desde el equipo de seguimiento a proyectos se realizó el seguimiento correspondiente al informe SPI de 18 proyectos de inversión en los periodos de enero a junio, de enero a julio y de enero a agosto de 2022, realizando la verificación de la información suministrada en los reportes, así como la retroalimentación a través de reuniones con los profesionales delegados de cada área técnica.
Como evidencia se anexan las 18 actas de retroalimentación de los seguimientos de los proyectos de inversión en cada uno de los periodos de seguimiento mencionados.</t>
  </si>
  <si>
    <t>10/10/2022 Se recomienda verificar la completitud de las evidencias.
18/10/2022 No se generan observaciones o recomendaciones respecto a los avances y evidencias presentados en el monitoreo al riesgo de gestión.</t>
  </si>
  <si>
    <t>Verificar la viabilidad de precios de referencia y la coherencia de los documentos adjuntos</t>
  </si>
  <si>
    <t>R-PE-003</t>
  </si>
  <si>
    <t xml:space="preserve">Posibilidad de demoras en los procesos de contratación, debido a reprocesos en la revisión del estudio de mercado, a causa de que las dependencias remiten información que no cumple con los criterios del procedimiento </t>
  </si>
  <si>
    <t>Reputacional</t>
  </si>
  <si>
    <t>Ejecución y administración de procesos</t>
  </si>
  <si>
    <t>60% - Media</t>
  </si>
  <si>
    <t>40% - Menor</t>
  </si>
  <si>
    <t>Reducir</t>
  </si>
  <si>
    <t>Profesionales del equipo de costos de la Subdirección de Diseño, Evaluación y Sistematización</t>
  </si>
  <si>
    <t xml:space="preserve">El equipo de costos de la Subdirección de Diseño, Evaluación y Sistematización, proyectó respuesta a 21 de las 21 solicitudes realizadas por las dependencias para obtener concepto favorable de viabilidad a los precios de referencia correspondientes a estudios de mercado, recibidos entre el 01 de enero al 31 de marzo de 2022, lo que nos da un porcentaje de avance del 100%. 
Discriminado de la siguiente manera:
* En enero se tramitaron 2 de 2 solicitudes 
* En el mes de febrero se tramitaron 15 de 15 solicitudes radicadas.
* Finalmente en el mes de marzo se tramitaron 4 de las 4 solicitudes allegadas el corte.
Evidencias: memorandos de solicitud de viabilidad de precios </t>
  </si>
  <si>
    <t>08/04/2022 Se recomienda verificar las evidencias ya que no se identifican las solicitudes de viabilidad, de acuerdo con lo establecido en la actividad de control.
11/04/2022 No se generan observaciones o recomendaciones respecto a los avances y evidencias presentados en el monitoreo al riesgo de gestión.</t>
  </si>
  <si>
    <t xml:space="preserve">El equipo de costos de la Subdirección de Diseño, Evaluación y Sistematización, proyectó respuesta a 25 de las 25 solicitudes realizadas por las dependencias para obtener concepto favorable de viabilidad a los precios de referencia correspondientes a estudios de mercado, recibidos entre el 01 de abril al 30 de junio de 2022, lo que nos da un porcentaje de avance del 100%. 
Discriminado de la siguiente manera:
* En abril se tramitaron 5 de 5 solicitudes 
* En el mes de mayo se tramitaron 7 de 7 solicitudes radicadas.
* Finalmente en el mes de junio se tramitaron 13 de las 13 solicitudes allegadas el corte.
Evidencias: memorandos de solicitud de viabilidad de precios </t>
  </si>
  <si>
    <t>08/07/2022 Se recomienda verificar la cantidad de soportes del mes junio, se identifican más de acuerdo al avance reportado.
11/07/2022 No se generan observaciones o recomendaciones respecto a los avances y evidencias presentados en el monitoreo al riesgo de gestión.</t>
  </si>
  <si>
    <t xml:space="preserve">El equipo de costos de la Subdirección de Diseño, Evaluación y Sistematización, proyectó respuesta a 31 de las 31 solicitudes realizadas por las dependencias para obtener concepto favorable de viabilidad a los precios de referencia correspondientes a estudios de mercado, recibidos entre el 01 de julio al 30 de septiembre de 2022, lo que nos da un porcentaje de avance del 100%. 
Discriminado de la siguiente manera:
* En julio se tramitaron 11 de 11 solicitudes 
* En el mes de agosto se tramitaron 12 de 12 solicitudes radicadas.
* Finalmente en el mes de septiembre se tramitaron 8 de las 8 solicitudes allegadas el corte.
Evidencias: memorandos de solicitud de viabilidad de precios </t>
  </si>
  <si>
    <t xml:space="preserve">
10/10/2022 No se generan observaciones o recomendaciones respecto a los avances y evidencias presentados en el monitoreo al riesgo de gestión.</t>
  </si>
  <si>
    <t xml:space="preserve">Elaborar el documento técnico de focalización de la entidad, consolidar los anexos técnicos de los servicios sociales y sus modalidades, y actualizar el procedimiento de definición de criterios de focalización, priorización, ingreso, egreso, permanencia y restricciones de los servicios sociales </t>
  </si>
  <si>
    <t>R-PE-004</t>
  </si>
  <si>
    <t>Debido a errores en el diligenciamiento o no finalización  del registro de información  de potenciales beneficiarios en el aplicativo de  focalización</t>
  </si>
  <si>
    <t>Posibilidad de no validar los criterios de focalización y priorización de los ciudadanos que presentan información inconsistente, incompleta o no finalizada en la ficha dentro del aplicativo de focalización</t>
  </si>
  <si>
    <t>Usuarios, productos y prácticas</t>
  </si>
  <si>
    <t>60% - Moderado</t>
  </si>
  <si>
    <r>
      <t>Trimestralmente, los profesionales del equipo de focalización de la Dirección de Análisis y Diseño Estratégico, realizan una verificación de la consistencia de la información a partir de la replica de la base de datos del aplicativo de focalización y elaboran los memorandos  que contienen la  información de fichas no finalizadas (en edición) y fichas con errores de diligenciamiento  en dicho aplicativo, los cuales son enviados a cada una de las direcciones o subdirecciones responsables de los servicios objeto del procedimiento de focalización y priorización de potenciales beneficiarios de los servicios sociales de la SDIS (PCD-PE-016),</t>
    </r>
    <r>
      <rPr>
        <sz val="10"/>
        <rFont val="Arial"/>
        <family val="2"/>
      </rPr>
      <t xml:space="preserve"> para que se remita esta información a las subdirecciones locales y desde allí se proceda a la corrección de las inconsistencias de información reportadas. 
En caso de no recibir respuesta a los memorandos</t>
    </r>
    <r>
      <rPr>
        <sz val="10"/>
        <color rgb="FF00B050"/>
        <rFont val="Arial"/>
        <family val="2"/>
      </rPr>
      <t xml:space="preserve"> </t>
    </r>
    <r>
      <rPr>
        <sz val="10"/>
        <rFont val="Arial"/>
        <family val="2"/>
      </rPr>
      <t xml:space="preserve">se reitera la solicitud vía correo de acuerdo a los tiempos definidos en la comunicación inicial a cada una de las direcciones o subdirecciones responsables de los servicios objeto del procedimiento de focalización.
</t>
    </r>
    <r>
      <rPr>
        <sz val="10"/>
        <color rgb="FF00B050"/>
        <rFont val="Arial"/>
        <family val="2"/>
      </rPr>
      <t xml:space="preserve">
</t>
    </r>
    <r>
      <rPr>
        <sz val="10"/>
        <rFont val="Arial"/>
        <family val="2"/>
      </rPr>
      <t>Como evidencia se cuenta con los memorandos, correos si se requieren y con las bases de datos adjuntas de las inconsistencias reportadas.</t>
    </r>
  </si>
  <si>
    <t>Detectiva</t>
  </si>
  <si>
    <t>Automática</t>
  </si>
  <si>
    <r>
      <t>Trimestralmente, los profesionales del equipo de focalización de la Dirección de Análisis y Diseño Estratégico, realizan una verificación de la consistencia de la información a partir de la replica de la base de datos del aplicativo de focalización y elaboran los memorandos  que contienen la  información de fichas no finalizadas (en edición) y fichas con errores de diligenciamiento  en dicho aplicativo, los cuales son enviados a cada una de las direcciones o subdirecciones responsables de los servicios objeto del procedimiento de focalización y priorización de potenciales beneficiarios de los servicios sociales de la SDIS (PCD-PE-016)</t>
    </r>
    <r>
      <rPr>
        <b/>
        <sz val="10"/>
        <rFont val="Arial"/>
        <family val="2"/>
      </rPr>
      <t>,</t>
    </r>
    <r>
      <rPr>
        <sz val="10"/>
        <rFont val="Arial"/>
        <family val="2"/>
      </rPr>
      <t xml:space="preserve"> para que se remita esta información a las subdirecciones locales y desde allí se proceda a la corrección de las inconsistencias de información reportadas. 
En caso de no recibir respuesta a los memorandos se reitera la solicitud vía correo de acuerdo a los tiempos definidos en la comunicación inicial a cada una de las direcciones o subdirecciones responsables de los servicios objeto del procedimiento de focalización.
Como evidencia se cuenta con los memorandos, correos si se requieren y con las bases de datos adjuntas de las inconsistencias reportadas.</t>
    </r>
  </si>
  <si>
    <t>Profesionales del equipo de focalización de la Dirección de Análisis y Diseño Estratégico</t>
  </si>
  <si>
    <t>(Numero de dependencias con memorando con los errores identificados enviado / Total de dependencias responsables para las cuales se identifican errores)*100
Nota: debido a que la actividad se ejecuta a demanda, la meta para cada trimestre es del 100%.</t>
  </si>
  <si>
    <t>Con corte a 31 de marzo de 2022 se enviaron 6 memorandos a las dependencias para hacer entrega oficial de los 10 listados a los cuales se les identificaron las inconsistencias de la información en el aplicativo de focalización, incluyendo fichas en edición y fichas mal diligenciadas, así como los reportes de inconsistencias de información a otros servicios que no se encuentran parametrizados en el aplicativo. 
Como evidencia se anexan los 6 memorandos a las dependencias con el reporte de las inconsistencias y los 10 listados con las inconsistencias anexos</t>
  </si>
  <si>
    <t>08/04/2022 No se generan observaciones o recomendaciones respecto a los avances y evidencias presentados en el monitoreo al riesgo de gestión.</t>
  </si>
  <si>
    <t>Con corte a 30 de junio de 2022 se enviaron 6 memorandos a las dependencias para hacer entrega oficial de los 9 listados a los cuales se les identificaron las inconsistencias de la información en el aplicativo de focalización, incluyendo fichas en edición y fichas mal diligenciadas, así como los reportes de inconsistencias de información a otros servicios que no se encuentran parametrizados en el aplicativo. 
Como evidencia se anexan los 6 memorandos a las dependencias con el reporte de las inconsistencias y los 9 listados con las inconsistencias anexos</t>
  </si>
  <si>
    <t>Con corte a 30 de septiembre de 2022 se enviaron 6 memorandos a las dependencias para hacer entrega oficial de los 6 listados a los cuales se les identificaron las inconsistencias de la información en el aplicativo de focalización, incluyendo fichas en edición y fichas mal diligenciadas, así como los reportes de inconsistencias de información a otros servicios que no se encuentran parametrizados en el aplicativo. 
Como evidencia se anexan los 6 memorandos a las dependencias con el reporte de las inconsistencias y los 6 listados con las inconsistencias anexos</t>
  </si>
  <si>
    <t>Comunicación Estratégica</t>
  </si>
  <si>
    <t>Diseñar e implementar la estrategia de comunicación de la Secretaria de Integración Social a nivel interno y externo, con el fin de mantener informados a los grupos de interés y dar a conocer la gestión de la entidad.</t>
  </si>
  <si>
    <t>Establecer la estrategia de comunicación y sus respectivas directrices.</t>
  </si>
  <si>
    <t>Circular 007 de 28/02/2022</t>
  </si>
  <si>
    <t>R-CE-003</t>
  </si>
  <si>
    <t xml:space="preserve">Los insumos entregados por las áreas o procesos solicitantes de los servicios ofrecidos por la Oficina Asesora de Comunicaciones, pueden alterar el resultado del producto cuando no se entregan los insumos completos, a tiempo, o con la aprobación correspondiente. </t>
  </si>
  <si>
    <t>Posibilidad de afectación de la imagen institucional por Incumplimiento de la estrategia de comunicación interna y externa, la cual se encuentra alineada con la política de comunicaciones de la Entidad, debido a posibles desviaciones en la calidad y oportunidad  de la información suministrada por las dependencias, para la entrega de productos por parte de la Oficina Asesora de Comunicaciones.</t>
  </si>
  <si>
    <t xml:space="preserve">El profesional designado por el jefe de la Oficina Asesora de Comunicaciones realizará actividades de socialización mensuales a los referentes de comunicación territorial y de nivel central y al personal adscrito a la oficina, sobre la política y los lineamientos de comunicaciones de la entidad con el fin de asegurar la implementación de la estrategia de comunicación institucional, evitando así el uso inexacto por causa de desconocimiento de la misma. 
En caso de no realizarse socialización durante un mes, el profesional designado presentará en el siguiente periodo el contenido correspondiente al mes inmediatamente anterior, dejando evidencia de abordar los temas aplazados por exponer sobre política y lineamientos de comunicación a los referentes de comunicación territorial y de nivel central y al personal adscrito a la oficina Asesora de comunicaciones.  
Se aportarán como evidencias los PP de la presentación de los temas expuestos, actas y/o listados de asistencia o remisión de los contenidos vía correo electrónico.  </t>
  </si>
  <si>
    <t>Profesional Designado por el jefe de la Oficina Asesora de Comunicaciones</t>
  </si>
  <si>
    <t>(Número de socializaciones de la política y los lineamientos de comunicaciones de la entidad realizados / 11 socializaciones de la política y los lineamientos de comunicaciones de la entidad programadas) *100</t>
  </si>
  <si>
    <t xml:space="preserve">Durante el primer trimestre se realizó la solicitud a las direcciones, subdirecciones y oficinas asesoras la actualización o reporte de  enlaces de comunicación con el fin de establecer las personas asignadas para allegar a los respectivos buzones la socialización los lineamientos de comunicaciones.
Igualmente, se realizaron mesas de trabajo para la elaboración del plan de comunicaciones con base en los objetivos, líneas de acción e indicadores contenidos en la Política Institucional de Comunicaciones aprobada en 2021, finalmente presentado y aprobado el 31 de marzo de 2022. 
Mediante correo electrónico se realizó la socialización de la Política de comunicaciones en el mes de marzo.
</t>
  </si>
  <si>
    <t>18/04/2022
Se sugiere que el nivel de avance se reporte en los términos del indicador o criterio de medición, por lo cual el avance para el primer trimestre es del 9% que corresponde a 1 de las 11 socializaciones programadas.
20/04/2022
No se generan observaciones ni recomendaciones adicionales  para el periodo reportado.</t>
  </si>
  <si>
    <t>Durante el segundo trimestre se realizaron  socializaciones  a los referentes de comunicación territorial y de nivel central se realizaron igualmente seguimientos  al plan de comunicaciones al interior de la oficina para un total de tres (3) socializaciones, atendiendo así la periodicidad  del indicador con el fin de asegurar la implementación de la estrategia de comunicación institucional.</t>
  </si>
  <si>
    <t>14/07/2022
El análisis reportado corresponde al primer trimestre de la vigencia, por favor ajustar.
Se debe cargar el reporte, así como sus respectivas evidencias en la carpeta compartida.
18/07/2022
No se generan observaciones ni recomendaciones adicionales  para el periodo reportado.</t>
  </si>
  <si>
    <t xml:space="preserve">
Para  el periodo de julio a septiembre  se realizó la remisión por correo electrónico a los referentes  y enlaces de comunicación los contenidos  a reforzar   sobre el plan de comunicaciones y documentos que aportan en el desarrollo estratégico de las actividades  propias de la comunicación, igualmente al equipo interno de la OAC se les impartió información sobre  la necesidad de actualización y uso correcto  de los procedimientos  y formatos que se formalizarán por medio de los mismos en el marco del Sistema de Gestión en pro del cumplimiento del plan de comunicaciones; dando así cumplimiento a tres (3) acciones de socialización.
 </t>
  </si>
  <si>
    <t>12/10/2022
Si en el trimestre fueron ejecutadas 3 socializaciones el nivel de avance del periodo corresponde al 27%, por lo tanto se debe ajustar el dato presentado así como el nivel de avance acumulado.
Por favor ajustar las evidencias, deben ser tres archivos según la descripción de avances reportada; el documento plan de  comunicaciones no es un soporte de socialización por lo cual no se constituye como evidencia de avance de la acción de control.
12/10/2022
No se generan observaciones ni sugerencias adicionales para el periodo reportado.</t>
  </si>
  <si>
    <t xml:space="preserve"> Establecer la estrategia de comunicación y sus respectivas directrices.</t>
  </si>
  <si>
    <t>R-CE-004</t>
  </si>
  <si>
    <t xml:space="preserve">Falta de conocimiento y aplicación de los procedimientos establecidos por la entidad para el manejo de situaciones imprevistas o de crisis, que puedan afectar la imagen y la prestación de los servicios que brinda la Secretaría Distrital de Integración Social. </t>
  </si>
  <si>
    <t>Posibilidad de generar información imprecisa o negativa por desviaciones en el manejo de las comunicaciones oficiales durante situaciones de crisis, debido a la falta de conocimiento o la falta de aplicación de los lineamientos oficiales para abordar  medios de comunicación y grupos de interés.</t>
  </si>
  <si>
    <t xml:space="preserve">El profesional designado por el  jefe de la Oficina Asesora de Comunicaciones realizará socializaciones bimensuales al equipo directivo de la entidad y a los referentes de comunicación de nivel central y territorial sobre de los lineamientos establecidos en el Manual de Crisis para el manejo apropiado de los sucesos institucionales que puedan afectar la imagen de la Secretaría Distrital de Integración Social, a fin de que la Entidad pueda reaccionar correcta y oportunamente frente los medios de comunicación y grupos de interés ante una situación de información negativa o imprecisa.
En caso de no realizar  la socializaciones bimensuales, el profesional designado elaborará un contenido estratégico para ser enviado por correo institucional  al equipo directivo de la entidad y a los referentes de comunicación de nivel central y territorial otorgando toda la información necesaria para generar conocimiento alrededor del Manual de Crisis. 
Se aportarán como evidencias las presentaciones de los temas expuestos, actas y/o listados de asistencia o remisión de los contenidos vía correo electrónico.  </t>
  </si>
  <si>
    <t>20% - Muy baja</t>
  </si>
  <si>
    <r>
      <t xml:space="preserve">Profesional designado </t>
    </r>
    <r>
      <rPr>
        <sz val="10"/>
        <rFont val="Arial"/>
        <family val="2"/>
      </rPr>
      <t>por el jefe de la Oficina Asesora de Comunicaciones</t>
    </r>
  </si>
  <si>
    <t>(Número de socializaciones del manual de crisis realizadas/ 6 socializaciones del manual de crisis programadas) 100</t>
  </si>
  <si>
    <t xml:space="preserve">Durante el primer trimestre se realizó la solicitud a las direcciones, subdirecciones y oficinas asesoras la actualización o reporte enlaces de comunicación con el fin de establecer las personas asignadas para allegar a los respectivos buzones la socialización los lineamientos de comunicaciones.
Se realizó la planeación de seis sesiones para la socialización del Manual de Crisis y se remitió la primera Socialización mediante correo electrónico tanto a los directivos como a los enlaces de comunicación.
</t>
  </si>
  <si>
    <t>18/04/2022
Se sugiere que el nivel de avance se reporte en los términos del indicador o criterio de medición, por lo cual el avance para el primer trimestre es del 17% que corresponde a 1 de las 6 socializaciones programadas.
20/04/2022
No se generan observaciones ni recomendaciones adicionales  para el periodo reportado.</t>
  </si>
  <si>
    <t xml:space="preserve">
Durante el segundo  trimestre se realizó  la socialización del manual de crisis de acuerdo a la programación  para los meses de abril y junio (2 socializaciones), permitiendo así dar cumplimiento a las actividades  en un 34%.</t>
  </si>
  <si>
    <t>14/07/2022
Ajustar los porcentajes de avance reportados: el nivel de avance del período corresponde al 33% y del nivel de avance acumulado para el periodo seria del 50%.
Se debe cargar el reporte, así como sus respectivas evidencias en la carpeta compartida.
18/07/2022
No se generan observaciones ni recomendaciones adicionales  para el periodo reportado.</t>
  </si>
  <si>
    <t>Durante el tercer trimestre se realizó una (1) socialización correspondiente  a la  cuarta sesión de seis programadas sobre del manual de crisis. Esta se realizó en el mes de agosto, permitiendo así dar cumplimiento a las actividades   de socialización de la vigencia en un del 67% acumulado.</t>
  </si>
  <si>
    <t>12/10/2022
Por favor indicar en la descripción de avances el número de socializaciones realizadas y en ese sentido verificar y ajustar los porcentajes en los niveles de avance. Las evidencias deben corresponder al número de socializaciones de la manual de crisis ejecutadas en el periodo de reporte. 
12/10/2022
No se generan observaciones ni sugerencias adicionales para el periodo reportado.</t>
  </si>
  <si>
    <t>El reporte inoportuno o el no reporte  de alertas a la Oficina Asesora de Comunicaciones, frente a sucesos institucionales que puedan afectar la imagen positiva de la entidad.</t>
  </si>
  <si>
    <t>El profesional  designado por el  jefe de la Oficina Asesora de Comunicaciones realizará seguimientos a las noticias y publicaciones de los medios masivos de comunicación en  las cuales  la Secretaría  de Integración  Social es mencionada,  a fin de que la Entidad pueda reaccionar a tiempo y de manera adecuada frente los medios de comunicación y grupos de interés ante una situación de información negativa o imprecisa; El seguimiento realizado se presentará al equipo directivo de la entidad los cinco primeros días de cada mes, a través de un informe cuantitativo y cualitativo que será remitido  vía correo electrónico.
En caso que no se remita el informe  en los cinco primeros días de cada mes, éste debe presentarse antes del día quince del mes con el fin de garantizar que el equipo directivo esté enterado del impacto  tanto positivo como negativo generado mediante las publicaciones de los medios masivos de comunicación.
Como evidencia se allegará un  informe mensual de monitoreo de medios de comunicación y los correos electrónicos de remisión al Equipo directivo de la entidad.</t>
  </si>
  <si>
    <r>
      <t>Profesional</t>
    </r>
    <r>
      <rPr>
        <strike/>
        <sz val="10"/>
        <color rgb="FFFF0000"/>
        <rFont val="Arial"/>
        <family val="2"/>
      </rPr>
      <t xml:space="preserve"> </t>
    </r>
    <r>
      <rPr>
        <sz val="10"/>
        <rFont val="Arial"/>
        <family val="2"/>
      </rPr>
      <t>designado por el jefe de la Oficina Asesora de Comunicaciones</t>
    </r>
  </si>
  <si>
    <r>
      <t xml:space="preserve">(Número de informes de monitoreo de medios presentados al Equipo directivo </t>
    </r>
    <r>
      <rPr>
        <sz val="10"/>
        <rFont val="Arial"/>
        <family val="2"/>
      </rPr>
      <t xml:space="preserve">/ 11 informes de monitoreo de medios presentados al Equipo directivo </t>
    </r>
    <r>
      <rPr>
        <sz val="10"/>
        <rFont val="Arial"/>
        <family val="2"/>
      </rPr>
      <t>) 100</t>
    </r>
  </si>
  <si>
    <t xml:space="preserve"> Se realizó monitoreo de medios   durante los meses de enero, febrero y marzo los cuales  cual  arrojaron  que en el mes de enero  se mencionó los servicio que presta la SDIS mediante 77 noticias neutras, en febrero mediante 64  menciones neutras  y en marzo 64  así:  positivas  37 y neutras 32 , dicha información fue  remitida mediante presentaciones al correo electrónico a los directivos de la entidad.</t>
  </si>
  <si>
    <t>18/04/2022
Se sugiere que el nivel de avance se reporte en los términos del indicador o criterio de medición, por lo cual el avance para el primer trimestre es del 9% que corresponde a 1 de las 11 informes de monitoreos de medios presentados programados.
20/04/2022
No se generan observaciones ni recomendaciones adicionales  para el periodo reportado.</t>
  </si>
  <si>
    <t xml:space="preserve"> Respecto al monitoreo de medios, se remitió efectivamente al cuerpo directivo de la entidad mediante correo electrónico,  los  seguimientos  de los  meses de  abril, mayo y junio  oportunamente , es importante aclarar que para el primer trimestre  se reportó envío de los monitoreo  a los directivos , de los cuales  se puede evidenciar en remisión del mes de marzo, por lo tanto el cumplimiento del indicador para el primer trimestre  es del 27% programado, permitiendo un avance acumulado de 54%.</t>
  </si>
  <si>
    <t>14/07/2022
Ajustar los porcentajes de avance reportados: el nivel de avance del período corresponde al 27% y del nivel de avance acumulado para el periodo seria del 54% teniendo en cuenta que a la fecha de corte se han realizado 6 de los 11 informes programados. En ese sentido ajustar la descripción de avances del periodo.
Se debe cargar el reporte, así como sus respectivas evidencias en la carpeta compartida.
18/07/2022
No se generan observaciones ni recomendaciones adicionales  para el periodo reportado.</t>
  </si>
  <si>
    <t>Respecto al tercer trimestre se realizó monitoreo a los medios de comunicación durante los meses de julio, agosto y septiembre, donde fue mencionados los servicios de la Secretaría Distrital de Integración Social y se socializó los tres informes por correo electrónico al cuerpo directivo de la entidad por lo tanto el cumplimiento del indicador para el tercer trimestre es del 27% programado.</t>
  </si>
  <si>
    <t>12/10/2022
Si en el trimestre fueron socializados tres informes de monitoreo de medios, el nivel de avance del periodo corresponde a 27%. En ese sentido, se debe ajustar el dato reportado y el nivel de avance acumulado.
12/10/2022
No se generan observaciones ni sugerencias adicionales para el periodo reportado.</t>
  </si>
  <si>
    <t>Tecnologías de la Información</t>
  </si>
  <si>
    <t>Identificar, diseñar e implementar soluciones estratégicas, misionales y de apoyo, a través de Tecnologías de la Información y las Comunicaciones, acogiendo las mejores prácticas de TIC y la normatividad vigente, con el fin de coadyuvar al cumplimiento de los objetivos institucionales para la optimización de la operación, la consolidación de sistemas de información, la gestión del conocimiento y la toma de decisiones</t>
  </si>
  <si>
    <t xml:space="preserve">Gestionar los proyectos de Tecnologías de la Información y las Comunicaciones estipulados en el PETI. </t>
  </si>
  <si>
    <t>R-TI-001</t>
  </si>
  <si>
    <t xml:space="preserve"> 1.Debilidades en la planeación institucional en los requerimientos relacionados con tecnologías de la información.
</t>
  </si>
  <si>
    <t xml:space="preserve">Posibilidad de desarrollar y ejecutar proyectos que no estén asociados a las actividades y/o proyectos priorizados dentro del plan de trabajo de la Subdirección de Investigación e Información, debido a solicitudes o requerimientos inmediatos que responden a cambios coyunturales en las diferentes dependencias.
</t>
  </si>
  <si>
    <t>El profesional encargado de Gobierno Digital realiza planeación anual al PETI donde se consolida la información de los requerimientos de las dependencias, los cuales son contemplados en el cronograma realizado para el desarrollo y la ejecución de los Proyectos y/o actividades de TI priorizados a cargo de la Subdirección de Investigación e Información, al cual se le realizará seguimiento trimestral con el fin de presentar el avance o cambios realizados al mismo. En caso tal no sea realizado el seguimiento, el líder de soluciones tecnológicas programará mesa de trabajo para presentar los avances o cambios realizados en el PETI.
EVIDENCIA: Informe de seguimiento trimestral del PETI.</t>
  </si>
  <si>
    <t>Profesional de Gobierno Digital.</t>
  </si>
  <si>
    <t>(Número de seguimientos realizados al PETI. /Número de seguimientos programados al PETI)*100
Nota: 4 seguimientos.</t>
  </si>
  <si>
    <t>El profesional encargado de Gobierno Digital presenta el Informe de seguimiento al Plan Estratégico de Tecnologías de la Información PETI de las actividades 2022, el cual contiene el avance de iniciativas de transformación y de operación que plantean aspectos estratégicos que permiten apoyar la armonización de los procesos misionales y de tecnología, y a su vez, se muestran los valores de indicadores definidos en el PETI con corte a 31 de marzo de 2022.</t>
  </si>
  <si>
    <t>19/04/2021
No se generan observaciones respecto a los avances y evidencias presentados en el monitoreo al riesgo de gestión.</t>
  </si>
  <si>
    <t>El profesional encargado de Gobierno Digital presenta el Informe de seguimiento al Plan Estratégico de Tecnologías de la Información PETI de las actividades 2022, el cual contiene el avance de iniciativas de transformación y de operación que plantean aspectos estratégicos que permiten apoyar la armonización de los procesos misionales y de tecnología, y a su vez, se muestran los valores de indicadores definidos en el PETI con corte a 30 de junio de 2022.
Nota: en el primer monitoreo realizado, el avance registrado correspondió al periodo reportado, más no al avance con respecto a la meta para la vigencia. Por lo cual,  para el presente periodo se realiza el ajuste en los porcentajes de avance, diferenciando el cumplimiento del periodo y el avance acumulado.</t>
  </si>
  <si>
    <t>14/07/2021
No se generan observaciones respecto a los avances y evidencias presentados en el monitoreo al riesgo de gestión.</t>
  </si>
  <si>
    <t xml:space="preserve">El profesional encargado de Gobierno Digital presenta el Informe de seguimiento al Plan Estratégico de Tecnologías de la Información PETI de las actividades 2022, el cual contiene el avance de iniciativas de transformación y de operación que plantean aspectos estratégicos que permiten apoyar la armonización de los procesos misionales y de tecnología, y a su vez, se muestran los valores de indicadores definidos en el PETI con corte a 30 de septiembre de 2022.
</t>
  </si>
  <si>
    <t>14/10/2022
No se generan observaciones respecto a los avances y evidencias presentados en el monitoreo al riesgo de gestión.</t>
  </si>
  <si>
    <t>Gestion del conocimiento</t>
  </si>
  <si>
    <t>Implementar acciones que permitan la identificación, producción, el almacenamiento y la transferencia del conocimiento y la innovación, para fortalecer  la toma de decisiones, la mejora continua y la protección de la memoria institucional en la Secretaría Distrital de Integración Social.</t>
  </si>
  <si>
    <t>Realizar seguimiento y autocontrol al desempeño del proceso (Políticas de gestión y desempeño, planes, proyectos,  procedimientos, documentos asociados, indicadores y riesgos).</t>
  </si>
  <si>
    <t>R-GC-003</t>
  </si>
  <si>
    <t>No se implementan los mecanismos de seguimiento y control a la implementación del procedimiento de Transferencia o Intercambio de Información con terceros</t>
  </si>
  <si>
    <t>Posibilidad de que se incumplan las disposiciones legales en materia de proteccion de datos personales a través de la transferencia o intercambio de informacion con terceros sin el cumplimiento de los requisitos legales y técnicos, debido a la deficiencia en la implementación de los mecanismos de seguimiento en el cumplimiento del procedimiento Transferencia e intercambio de informacion</t>
  </si>
  <si>
    <t>Cada vez que se gestione un proceso de Transferencia o Intercambio de Información, el(la) responsable del Procedimiento de Transferencia o Intercambio de Información verifica el completo y correcto diligenciamiento del FOR-GC-075 Formato de Identificación de Procesos de Transferencia o Intercambio de Información con Terceros y emite su visto bueno, como paso previo a la suscripción del Acuerdo de Intercambio de Informacion con el tercero. En caso de no realizar la verificacion del Formato de Identificación previo a la suscripción del Acuerdo de Intercambio de Información, la verificación del Formato se realizará dentro de los dos (2)meses siguientes a la suscripción del Acuerdo de Intercambio de Información. Como evidencia se cuenta con el FOR-GC-075 Formato de Identificación de Procesos de Transferencia o Intercambio de Información con Terceros, con el visto bueno de la Dirección de Análisis y Diseño Estratégico.</t>
  </si>
  <si>
    <t xml:space="preserve">1. Recibir del área interesada el FOR-GC-075 Formato de Identificación de Procesos de Transferencia o Intercambio de Información con Terceros
2. Diligenciar en el Formato la información a cargo de la Subdireccion de Investigación e Información -SII y de la Dirección de Análisis y Diseño Estratégico -DADE
4. Verificar el correcto y completo diligenciamiento del Formato 
5. Otorgar el visto bueno al Formato </t>
  </si>
  <si>
    <t>Responsable del procedimiento de Transferencia o Intercambio de Información</t>
  </si>
  <si>
    <t>(Número de Formatos de Identificación de Transferencia o Intercambio de Información con Terceros con visto bueno de la DADE/ Número de procesos de transferencia o intercambio de información con terceros gestionados) * 100</t>
  </si>
  <si>
    <t>Durante el periodo reportado no se ha finalizado la gestión de los procesos de transferencia o intercambio de información que han sido solicitado por las dependencias interesadas, que permita el diligenciamiento completo y visto bueno del Formato de Identificacion de transferencia o intercambio de información con terceros.</t>
  </si>
  <si>
    <t>12/04/2022. No se generan observaciones por parte de la segunda línea de defensa, respecto a los avances y evidencias presentados en el monitoreo al riesgo de gestión.</t>
  </si>
  <si>
    <t>Durante el periodo entre el 1 de abril al 30 de junio de 2022 no se ha finalizado la gestión de los procesos de transferencia o intercambio de información que han sido solicitados por las dependencias interesadas, que permita el diligenciamiento completo y visto bueno del Formato de Identificación de transferencia o intercambio de información con terceros.  Se adjunta presentación con el estado a la fecha de los procesos de Acuerdos de Intercambio de Información.</t>
  </si>
  <si>
    <t>13/07/2022. No se generan observaciones por parte de la segunda línea de defensa, respecto a los avances y evidencias presentados en el monitoreo al riesgo de gestión.</t>
  </si>
  <si>
    <t>Durante el periodo entre el 1 de julio al 30 de septiembre de 2022 se suscribió el Acuerdo de Intercambio de Información con la Secretaría Distrital de la Mujer, del cual se diligenció el FOR-GC-075 Formato de Identificación de Procesos de Transferencia o Intercambio de Información con Terceros como paso previo a la suscripción del Acuerdo de Intercambio de Informacion con el tercero.</t>
  </si>
  <si>
    <t>12/10/2022. No se generan observaciones por parte de la segunda línea de defensa, respecto a los avances y evidencias presentados en el monitoreo al riesgo de gestión.</t>
  </si>
  <si>
    <t xml:space="preserve">Semestralmente, el(la) responsable del Procedimiento de Transferencia o Intercambio de Informacion consolida los FOR-GC-075 Formatos de Identificación de Procesos de Transferencia o Intercambio de Información con Terceros recibidos, identificando cuáles dieron cumplimiento a los requisitos técnicos y legales y generando alertas y recomendaciones para subsanar los procesos con deficiencias. En caso de no realizar semestralmente el análisis de los Formatos de Identificación, el(la) Gestor(a) del Proceso de Gestión del Conocimiento realiza el requerimiento al(a) responsable del procedimiento de Transferencia o Intercambio de Informacion para que lo realice de manera inmediata. Como evidencia se cuenta con el correo electrónico con el archivo con el análisis de los formatos de Identificacion y la generación de alertas y recomendaciones remitido al(a) Director(a) de Análisis y Diseño Estratégico y al(la) Gestor(a) del Proceso de Gestión del Conocimiento. </t>
  </si>
  <si>
    <t>1. Consolidar los Formatos de Identificación de Procesos de Transferencia o Intercambio de Información con Terceros recibidos en el semestre
2. Analizar el cumplimiento a los requisitos técnicos y legales de los formatos
3. Generar alertas y recomendaciones para subsanar los procesos de transferencia o intercambio de informacion con deficiencias
4.Remitir por correo electronico el documento consolidado al Director(a) de Análisis y Diseño Estratégico y al(a) gestor del proceso de Gestion del Conocimiento para aprobacion.
5. Remitir vía comunicacion interna a las dependencias responsables de los procesos de transferencia o intercambio de informacion las alertas y recomendaciones efectuadas para su implementacion.</t>
  </si>
  <si>
    <t xml:space="preserve">Número de documentos de análisis del cumplimiento de requisitos legales y tecnicos de los formatos de identificacion de procesos de transferencia o intercambio de información. </t>
  </si>
  <si>
    <t>Esta actividad de control no se encuentra programada para este reporte</t>
  </si>
  <si>
    <t>Durante el periodo 1 de enero a 30 de junio de 2022 no se ha finalizado la gestión de los procesos de transferencia o intercambio de información que han sido solicitado por las dependencias interesadas, que permita el diligenciamiento, aprobación, consolidación y análisis de los Formato de Identificación de transferencia o intercambio de información con terceros. Se adjunta presentación con el estado a la fecha de los procesos de Acuerdos de Intercambio de Información.
De esta manera, no se ha materializado el riesgo de gestión del proceso, por cuanto no se ha finalizado los procesos de transferencia o intercambio de información en curso. Adjunto modelo de Formato de identificación de acuerdo de intercambio de información que se diligenció para el caso de IDPAC, el cual no ha tenido retroalimentación del área técnica.</t>
  </si>
  <si>
    <t>N/A</t>
  </si>
  <si>
    <t>Esta actividad de control no se encuentra prevista para ser reportada en el tercer trimestre de 2022.</t>
  </si>
  <si>
    <t>80% - Alta</t>
  </si>
  <si>
    <t>Diseño e innovación de los servicios sociales</t>
  </si>
  <si>
    <t>Establecer las acciones que llevan  a crear o transformar  los servicios sociales de la Secretaría Distrital de Integración Social, en respuesta a los desafíos de las políticas públicas, las necesidades actuales y emergentes de las personas, familias y  comunidades, así como las realidades territoriales,  encaminadas a la garantía y protección de los derechos.</t>
  </si>
  <si>
    <t>Desarrollar las acciones establecidas por el lineamiento para la creación o actualización de los servicios sociales</t>
  </si>
  <si>
    <t>Circular 007 del 28/02/2022</t>
  </si>
  <si>
    <t>R-DIS-001</t>
  </si>
  <si>
    <t>No se tiene estandarizado el diseño de los servicios sociales de la entidad.</t>
  </si>
  <si>
    <t>Cada vez que las subdirecciones misionales que lideran los servicios sociales, crean o transforman un servicio social, el designado(a) por el respectivo Subdirector(a) realiza la presentación respectiva ante la mesa técnica operativa del consejo GIS, la cual verifica que los documentos se encuentren en coherencia con el plan de desarrollo, el proyecto de inversión y los objetivos estratégicos, debido a que estos permiten determinar las acciones orientadas a satisfacer las necesidades detectadas de la población vulnerable. Luego se presenta para su aprobación en el consejo GIS. En caso que el servicio no supere la aprobación en alguna de las instancias, se devuelve para su ajuste hasta lograr su aprobación con el cumplimiento de los requisitos. 
Como evidencia se cuenta con las actas de las instancias que realizan la respectiva revisión y aprobación.</t>
  </si>
  <si>
    <t>Evitar</t>
  </si>
  <si>
    <t>Designado por el subdirector (a) misional correspondiente</t>
  </si>
  <si>
    <t xml:space="preserve">( # de servicios aprobados en el Consejo GIS acumulados / # de servicios creados o transformados  revisados en la mesa técnica acumulados) * 100
</t>
  </si>
  <si>
    <t>Durante el primer trimestre del año 2022, no realizaron solicitudes por parte de las Subdirecciones Técnicas de la Secretaría Distrital de Integración Social a la Mesa Técnica GIS, la revisión de servicios a crear o transformar, por lo tanto no se adelarantaron acciones relacionadas con la actividad. 
* Es importante tener en cuenta que debido a que no se requirió ejecutar la actividad de control, se da cumplida por en un 100%, por cuanto no se afecta la probabilidad para una posible materialización del riesgo.</t>
  </si>
  <si>
    <t xml:space="preserve">08/04/2022: No se presentan observaciones al reporte y evidencias enviados. </t>
  </si>
  <si>
    <r>
      <t>Durante el segundo trimestre del año 2022, y de acuerdo con el memorando Int. de mayo de 2022 asunto " Periodo de transición para la transformación de los servicios sociales y reglas de transición con respecto a los beneficiarios". Se adelantaron (3) jornadas de la Mesa técnica de Gestión Integral Social - GIS, los días: 24 de mayo 2022, 14 de junio 2022 y 17 de junio 2022.
Durante cada una de las jornadas adelantadas, el líder y/o la gestora del proceso "Diseño e Innovación de los Servicios Sociales" realizó los aportes y recomendaciones requeridos con el fin de propender en mantener la naturaleza y objeto del servicio, modalidad o estrategia, para el fin que fueron creados "</t>
    </r>
    <r>
      <rPr>
        <i/>
        <sz val="10"/>
        <rFont val="Arial"/>
        <family val="2"/>
      </rPr>
      <t xml:space="preserve">atender necesidades de un grupo poblacional desde la realidad territorial </t>
    </r>
    <r>
      <rPr>
        <sz val="10"/>
        <rFont val="Arial"/>
        <family val="2"/>
      </rPr>
      <t xml:space="preserve">". Por lo tanto, los  ajustes a realizar no deben disminuir la atención y calidad de los servicios sociales.  
De ahí que, varias de las modalidades y estrategias a ajustar no se validaron y se solicitó al área técnica las modificaciones respectivas, como se evidencia en las actas anexas. </t>
    </r>
  </si>
  <si>
    <t xml:space="preserve">14/07/2022: No se presentan observaciones al reporte y evidencias enviados. </t>
  </si>
  <si>
    <r>
      <t xml:space="preserve">Durante el tercer trimestre del año 2022 se avanzó en el cumplimiento del memorando de mayo 2022 </t>
    </r>
    <r>
      <rPr>
        <i/>
        <sz val="10"/>
        <rFont val="Arial"/>
        <family val="2"/>
      </rPr>
      <t>"Periodo de transición para la transformación de los servicios sociales y reglas de transición con respecto a los beneficiarios"</t>
    </r>
    <r>
      <rPr>
        <sz val="10"/>
        <rFont val="Arial"/>
        <family val="2"/>
      </rPr>
      <t>, para lo cual se realizaron (5) Mesas Técnicas de Gestión Integral Social, los días: 06/07/2022, 13/07/2022, 21/07/2022, 27/07/2022 y 23/08/2022.
Como se evidencia en las actas de cada una de las mesas de trabajo, se realizó el análisis de los servicios sujetos de ajustar, correspondiente al cambio de criterios de ingreso, priorización y egreso de los servicios. 
Adicionalmente, se presentó la justificación de aquellas modalidades a suprimir o integrar dentro de un servicio. Durante este proceso la Subsecretaría ha generado inquietudes y recomendaciones frente al impacto de los cambios a realizarse y la justificación de los cambios en el marco de la evaluación de cada servicio presentada por las áreas técnicas.</t>
    </r>
  </si>
  <si>
    <t xml:space="preserve">04/10/2022: No se presentan observaciones al reporte y evidencias enviados. </t>
  </si>
  <si>
    <t>Formular estándares de calidad de los servicios sociales</t>
  </si>
  <si>
    <t>R-DIS-003</t>
  </si>
  <si>
    <t xml:space="preserve">Sólo 11 de los 32 servicios brindados en la entidad cuentan con estándares de calidad oficializados; y los servicios sociales que están estandarizados, tienen pendiente actualizaciones, que son necesarias para que los mismos cumplan con lineamientos de calidad. </t>
  </si>
  <si>
    <t>Posibilidad que los servicios sociales no cuenten con lineamientos de calidad, generando insatisfacción en la población atendida, debido a que la SDIS no cuenta con lineamientos y procedimientos actualizados acorde con los cambios normativos internos para la prestación de servicios con calidad y a que las Subdirecciones técnicas no realizan la implementación de los mismos.</t>
  </si>
  <si>
    <t>La asesora de Despacho asignada a la Subsecretaría en lo respectivo al diseño e innovación de los servicios sociales de la Secretaría Distrital de Integración Social, se encarga de liderar las actividades de acuerdo con un cronograma de actividades previamente establecido para la construcción de la Política de calidad de los servicios sociales de la SDIS. En caso que no se cree la Política de calidad, se dispondrá a la actualización del procedimiento para la formulación de los estándares de calidad de los servicios sociales. 
Como evidencia de esta actividad se cuenta con las actas de reunión, cronograma de actividades y al finalizar la vigencia la Política de calidad de los servicios sociales de la SDIS.</t>
  </si>
  <si>
    <t>Asesora de Despacho asignada a la Subsecretaría en lo respectivo al diseño e innovación de los servicios sociales de la SDIS</t>
  </si>
  <si>
    <t>(No. de actividades realizadas para la construcción de la Política de Calidad de los servicios sociales de la Secretaría Distrital de Integración Social en el periodo) / (No. de actividades programadas para la construcción de la Política de calidad de  los servicios sociales de la Secretaría Distrital de Integración Social en el periodo )*100</t>
  </si>
  <si>
    <t xml:space="preserve">
De acuerdo con el cronograma definido para la formulación de la Política de calidad de los servicios sociales de la SDIS, durante el primer trimestre se avanzó en el desarrollo de las siguientes actividades programadas: 
1. Identificación  de cada servicio junto con sus modalidades y estrategias, relacionando los documentos que orientan la prestación de los servicios sociales oficializados en el mapa de procesos.    
2. Identicación del estado normativo de los servicios sociales de la SDIS que por Resolución tienen establecidos estándares de calidad. 
3. Diseño de propuesta borrador de la Resolución de la Política de Calidad para los  servicios sociales de la SDIS .
Como evidencia se anexan los entregables de las actividades mencionadas anteriormente, que fueron definidas en el cronograma para la construcción de la Política de Calidad de los servicios sociales. </t>
  </si>
  <si>
    <t xml:space="preserve">De acuerdo con el cronograma definido para la formulación de la Política de calidad de los servicios de la SDIS, durante el segundo trimestre se avanzó en el desarrollo de las siguientes actividades programadas:
1. Socialización de la propuesta de Resolución dela Política de calidad de los servicios sociales de la SDIS. 
2. Recopilación de observaciones por parte de cada área.
3. Elaboración Resolución ajustada. 
Como evidencia se anexan los entregables de las actividades mencionadas que corresponde a las actividades programadas en el cronograma para la construcción de la Política de Calidad de los Servicios Sociales. </t>
  </si>
  <si>
    <t xml:space="preserve">De acuerdo con el cronograma definido para la formulación de la Política de calidad de los servicios de la SDIS, durante el tercer trimestre se avanzó en el desarrollo de las siguientes actividades: 
1. Actualización del procedimiento de estándares de calidad: a través de las reuniones realizadas se avanzó en la actualización de las fases y tiempos establecidos para la formulación, implementación y verificación de estándares de calidad. 
2. Elaboración del lineamiento para la implementación de la política de calidad de los servicios sociales: esta  actividad se ha venido  desarrollando a través de la escritura técnica, normativa y metodológica del documento una vez se finalice se avanzará en la  socialización para revisión de las diferentes áreas. 
3. Revisión de Resolución de la Política de Calidad por parte de diferentes áreas (Despacho, DADE): esta actividad dado al tramite requerido se ha dado curso a través de correos electrónicos del cual se adjunta la evidencia.  
Se adjuntan las evidencias relacionadas con las anteriores actividades. 
</t>
  </si>
  <si>
    <t xml:space="preserve">04/10/2022: Revisar las evidencias cargadas, ya que de acuerdo a la formulación de la actividad de control las mismas deben ser: actas de reunión, cronograma de actividades y al finalizar la vigencia la Política de calidad de los servicios sociales de la SDIS y no se evidencia nada de esto en lo cargado.
06/10/2022: No se presentan observaciones al reporte y evidencias enviados. </t>
  </si>
  <si>
    <t>Prestación de Servicios Sociales para la Inclusión Social</t>
  </si>
  <si>
    <t>Prestar servicios y atenciones sociales dirigidos a la población más vulnerable del Distrito, para contribuir a la inclusión social en desarrollo de las políticas públicas sociales.</t>
  </si>
  <si>
    <t>Realizar seguimiento y autocontrol al desempeño del proceso (Políticas de gestión y desempeño, planes, procedimientos, documentos asociados, indicadores y riesgos)</t>
  </si>
  <si>
    <t>R-PSS-002</t>
  </si>
  <si>
    <t>Debido a la ausencia de mecanismos de seguimiento  que midan la gestión propia del proceso</t>
  </si>
  <si>
    <t>Posibilidad de que se implementen de manera deficiente los mecanismos de seguimiento y autocontrol en el desarrollo de las etapas del proceso, derivada de la ausencia de una instancia donde se realice el seguimiento y control de la operativización y acompañamiento a los equipos de los servicios sociales.</t>
  </si>
  <si>
    <t>El(la) Gestor(a) del Proceso Prestación de Servicios Sociales para la Inclusión Social debe realizar mensualmente reunión del proceso con los gestores del Sistema de Gestión de las subdirecciones técnicas de Territorial, Poblacional, Nutrición y abastecimiento e Inclusión y Familias, para realizar seguimiento a las diferentes actividades del Proceso y determinar si hay debilidades o aspectos por mejorar. En caso de identificar retrasos o debilidades en las actividades del proceso, éstas se registrarán en el acta con el fin de establecer compromisos y fechas para su cumplimiento. De las reuniones quedará como registro un acta y su listado de asistencia.</t>
  </si>
  <si>
    <t>Gestor(a) del proceso Prestación de servicios sociales para la inclusión social</t>
  </si>
  <si>
    <t>(Número de reuniones de seguimiento realizadas / Una (1) reunión  mensual)*100
Meta: 11 reuniones</t>
  </si>
  <si>
    <t>11 reuniones correspondientes al 100%</t>
  </si>
  <si>
    <t xml:space="preserve">Se realizó reunión mensual ordinaria de la  Mesa de implementación del sistema de gestión de las dependencias misionales, en el cual se realiza un monitoreo permanente a las actividades del proceso.  Como evidencia se entrega:
Febrero
* Acta y asistencia Mesa SG Misional
* Presentación Mesa SG Misional
Marzo
* Acta y asistencia Mesa SG Misional
* Presentaciones Mesa SG Misional  
</t>
  </si>
  <si>
    <t>18/04/2022. No se generan observaciones por parte de la segunda línea de defensa, respecto a los avances  presentados en el primer monitoreo al riesgo de gestión.</t>
  </si>
  <si>
    <t>Se realizó reunión mensual ordinaria de la  Mesa de implementación del sistema de gestión de las dependencias misionales, en el cual se realiza un monitoreo permanente a las actividades del proceso.  Como evidencia se entrega:
Abril
* Acta y asistencia Mesa SG Misional
* Presentación Mesa SG Misional
Mayo
* Acta y asistencia Mesa SG Misional
* Presentaciones Mesa SG Misional.  
Junio
* Acta y asistencia Mesa SG Misional
* Presentaciones Mesa SG Misional.</t>
  </si>
  <si>
    <t>12/07/2022. No se generan observaciones por parte de la segunda línea de defensa, respecto a los avances  presentados en el segundo monitoreo al riesgo de gestión.</t>
  </si>
  <si>
    <t>Se realizó reunión mensual ordinaria de la  Mesa de implementación del sistema de gestión de las dependencias misionales, en el cual se realiza un monitoreo permanente a las actividades del proceso.  Como evidencia se entrega:
Julio
* Acta y asistencia Mesa SG Misional
* Presentación Mesa SG Misional
Agosto
* Acta y asistencia Mesa SG Misional
* Presentaciones Mesa SG Misional.  
Septiembre
* Acta y asistencia Mesa SG Misional
* Presentaciones Mesa SG Misional.</t>
  </si>
  <si>
    <t>12/10/2022. No se generan observaciones por parte de la segunda línea de defensa, respecto a los avances  presentados en el tercer monitoreo al riesgo de gestión.</t>
  </si>
  <si>
    <t>Realizar seguimiento a la operación de los servicios sociales</t>
  </si>
  <si>
    <t>R-PSS-003</t>
  </si>
  <si>
    <t>Debido a que el sistema de información existente no realiza procesamiento de datos y el mismo está sujeto a margen de error humano</t>
  </si>
  <si>
    <t>Posibilidad de que no se recolecten los datos de los participantes de los servicios sociales de manera oportuna, por la falta de lineamientos claros en la recolección, crítica y digitación de la información misional de los servicios sociales, derivada de una ausencia de conocimiento y apropiación de los procedimientos y protocolos relacionados al diligenciamiento y digitación de la información misional.</t>
  </si>
  <si>
    <t>100% - Muy alta</t>
  </si>
  <si>
    <t>Cuatrimestralmente el responsable de la Dirección Territorial, designado como administrador del Procedimiento Recolección, Crítica y Digitación (PCD-PSS-022) realiza un análisis de la calidad de la información bajo los criterios definidos por el Proceso Prestación de servicios sociales para la inclusión social, a partir del cual se realizarán las articulaciones pertinentes con la Subdirección Técnica misional para los ajustes requeridos. En caso de identificar dichos ajustes se hará seguimiento a su ejecución en el informe del siguiente cuatrimestre.  Como evidencia se cuenta con un Informe de Calidad de Información con los anexos correspondientes.</t>
  </si>
  <si>
    <t xml:space="preserve">Responsable procedimiento Recolección, Crítica y Digitación de la Dirección Territorial
</t>
  </si>
  <si>
    <t>(Número de informes de calidad de la información realizados / Número de informes de calidad de la información programados)*100</t>
  </si>
  <si>
    <t>3 informes de calidad de la información, correspondientes al 100%</t>
  </si>
  <si>
    <t>Esta actividad comienza a partir del mes de mayo de la presente vigencia</t>
  </si>
  <si>
    <t>18/04/2022. No se generan observaciones por parte de la segunda línea de defensa, respecto al primer monitoreo al riesgo de gestión.</t>
  </si>
  <si>
    <t>Se entrega resumen ejecutivo con la descripción de las evidencias entregadas. Se anexa informe de calidad de la información (seguimiento del procedimiento Recolección, Crítica y Digitación (PCD-PSS-022)) de las subdirecciones de: Gestión Integral Local; Identificación, Caracterización e Integración; Infancia, Juventud, Adultez, Vejez,  Abastecimiento, LGBTI , Discapacidad y las 16 subdirecciones locales</t>
  </si>
  <si>
    <t>12/07/2022. No se generan observaciones por parte de la segunda línea de defensa, respecto a los avances  presentados en el segundo monitoreo al riesgo de gestión.
No obstante, se generan las siguientes recomendaciones para tener en cuenta para el siguiente monitoreo:
1. Oficializar el Formato informe calidad de la información misional - Subdirecciones técnicas de nivel central,  y marcarlo como "Documento no controlado" entre tanto se siga usando en periodo de prueba. 
2. Precisar en el informe general de calidad del dato, que la información referida como "Dirección de Nutrición y Abastecimiento", corresponde solo a la Subdirección de Abastecimiento, pues el procedimiento no aplica para la Subdirección de Nutrición.</t>
  </si>
  <si>
    <t>Se entrega informe de calidad de la información (seguimiento del procedimiento Recolección, Crítica y Digitación (PCD-PSS-022)) de las subdirecciones de: Gestión Integral Local; Identificación, Caracterización e Integración; Infancia, Juventud, Adultez, Vejez, DNA - Abastecimiento, LGBTI , Discapacidad y las 16 subdirecciones locales, correspondiente al segundo cuatrimestre de la vigencia 2022.</t>
  </si>
  <si>
    <t>12/10/2022. No se generan observaciones por parte de la segunda línea de defensa, respecto a los avances  presentados en el tercer monitoreo al riesgo de gestión.
No obstante, se reitera la recomendación, respecto a la oficialización del Formato informe calidad de la información misional - Subdirecciones técnicas de nivel central,  y que el mismo se marque como "Documento no controlado" entre tanto se siga usando en periodo de prueba.</t>
  </si>
  <si>
    <t>Debido a la falta de claridad en el diligenciamiento y digitación de la información de las fichas SIRBE</t>
  </si>
  <si>
    <t>Anualmente, los gestores del sistema de gestión de las dependencias misionales, realizan una jornada de socialización del protocolo Formulación de la descripción del problema y concepto profesional (PTC-PSS-035), con el propósito de que los responsables de servicios sociales conozcan el paso a paso para el correcto diligenciamiento de estos campos en las fichas SIRBE. En caso de no hacerse dicha socialización el gestor SG enviará por correo electrónico a los responsables del servicio social, el protocolo para su conocimiento y apropiación. De las reuniones quedará como registro un acta y su listado de asistencia.</t>
  </si>
  <si>
    <t>Gestores(as) del sistema de gestión de las dependencias misionales</t>
  </si>
  <si>
    <t>(Número socializaciones  realizadas / Número de dependencias misionales del nivel central)*100
Nota: se realizará una  socialización por dependencia misional sin tener en cuenta a la Subdirección para la familia, en la cual no aplica el protocolo.</t>
  </si>
  <si>
    <t>10 socializaciones correspondientes al 100%</t>
  </si>
  <si>
    <t>Esta actividad comienza a partir del mes de abril de la presente vigencia.</t>
  </si>
  <si>
    <t>La subdirección para la adultez realiza socialización del protocolo formulación de la descripción del problema y concepto profesional (PTC-PSS-035). 
Se anexa acta y asistencia de la socialización de las siguientes dependencias:
1. Subdirección para la Adultez.</t>
  </si>
  <si>
    <t>Tres (3) subdirecciones realizaron la socialización del protocolo formulación de la descripción del problema y concepto profesional (PTC-PSS-035). 
Se anexa acta y asistencia de la socialización de las siguientes dependencias:
1. Subdirección para la infancia
2. Subdirección para la discapacidad
3. Subdirección para Asuntos LGBTI</t>
  </si>
  <si>
    <t>Atención a la Ciudadanía</t>
  </si>
  <si>
    <t>Establecer las directrices de interacción entre la entidad y la ciudadanía a través de canales efectivos de comunicación para la mejora continua en la atención brindada por los servidores, servidoras y contratistas de la Secretaría de Integración Social.</t>
  </si>
  <si>
    <t>Monitorear el trámite de los requerimientos ciudadanos y los criterios de calidad de las respuestas mediante revisión aleatoria en el Sistema distrital de quejas y soluciones</t>
  </si>
  <si>
    <t>Circular 015 del 20/05/2022</t>
  </si>
  <si>
    <t>R-ATC-001</t>
  </si>
  <si>
    <t>Desconocimiento y falta de apropiación del Manual de atención a la ciudadanía, procedimiento trámite de requerimientos en la Secretaría, canales de interacción y servicios sociales de la SDIS por parte de los integrantes del equipo SIAC, procesos y dependencias.</t>
  </si>
  <si>
    <t>Posibilidad de que la atención a la ciudadanía no se brinde bajo los criterios de calidez, amabilidad, oportunidad, efectividad, rapidez y confiabilidad, generando perdida de la confianza y disminución del nivel de satisfacción de la ciudadanía, debido al desconocimiento y falta de apropiación de la normativa vigente.</t>
  </si>
  <si>
    <t>.El profesional del componente de Fortalecimiento del Servicio del equipo del Servicio Integral de Atención a la Ciudadanía - SIAC, desarrolla 36 jornadas de sensibilización (talleres), estas se realizan mensualmente (según programación), dirigida a servidores, servidoras y contratistas de las subdirecciones locales y subdirecciones técnicas, con el propósito de socializar y generar apropiación sobre la cultura del servicio de atención a la ciudadanía. En el marco de estas jornadas se aplicará un pre test al inicio del taller y un pos test vía correo electrónico dentro del mes siguiente, como herramienta de valoración de las habilidades y apropiación de la cultura del servicio. En caso de no realizarse las jornadas de sensibilización se hace una reprogramación con las subdirecciones técnicas y subdirecciones locales.
Como evidencias se cuenta con listados de asistencia (formato controlado SDIS  o formularios web), correos electrónicos envío de pos test, resultados de pre y pos test, registro de formularios de seguimiento.</t>
  </si>
  <si>
    <t>Profesional del componente de Fortalecimiento del Servicio del Equipo del Servicio Integral de Atención a la Ciudadanía - SIAC</t>
  </si>
  <si>
    <r>
      <t xml:space="preserve">(# de jornadas de sensibilización realizadas, acumuladas / 36 de jornadas de sensibilización </t>
    </r>
    <r>
      <rPr>
        <sz val="10"/>
        <color theme="1"/>
        <rFont val="Arial"/>
        <family val="2"/>
      </rPr>
      <t>programadas en la vigencia</t>
    </r>
    <r>
      <rPr>
        <sz val="10"/>
        <rFont val="Arial"/>
        <family val="2"/>
      </rPr>
      <t>)* 100</t>
    </r>
  </si>
  <si>
    <t>Durante el período reportado el equipo del Servicio de Atención a la Ciudadanía (componente de fortalecimiento en cultura del servicio) actualizó el plan de sensibilización para la vigencia 2022, el cual  busca promover al interior de la Entidad  la atención ciudadana con calidez, respeto, oportunidad y efectividad, el  plan además incluye el cronograma para la implementación de las jornadas.
Evidencias: se anexa plan de sensibilización actualizado. 
Las jornadas de sensibilización se implementarán a partir del mes de junio del año en curso, atendiendo la nueva metodología definida por la Secretaría General para la presente vigencia, que consiste en adelantar jornadas de sensibilización a nivel distrital con servidores/as  y contratistas, lo que dificultará la aplicación de los pre-test y post-test instrumentos utilizados para la medición de la apropiación de conocimiento por parte del personal participante de la SDIS. Es por ello, que para el segundo seguimiento se realizará ajuste de esta actividad.   
Por todo lo anterior, el avance de la actividad se verá reflejado en el segundo semestre de la presente vigencia, sin que se presenten retrasos en este periodo, ya que se tenían programadas 2 jornadas de sensibilización para toda la vigencia, según programación de Secretaría General de la Alcaldía Mayor de Bogotá.</t>
  </si>
  <si>
    <t xml:space="preserve">En el segundo trimestre del año 2022 se realizaron 12 jornadas de sensibilización en cultura del servicio abordando la presentación del manual del servicio de la SDIS y de la Secretaría General, las características del servicio a la ciudadanía, atención con enfoque diferencial y transeccional. Se contó con la participación de colaboradores públicos de las Subdirecciones Locales de Engativá, Barrios Unidos, Teusaquillo, Usaquén, Fontibón, Kennedy, la Subdirección para la familia - Comisarías de familia, Subdirección para la Gestión y Desarrollo del Talento Humano - inducción a funcionarios nuevos, Subdirección para la Juventud - Casa de Juventud y Centros Forjar. 
Evidencias: en carpeta compartida se relaciona vínculo de acceso a carpeta evidencias jornadas de sensibilización, la cual contine subcarpetas por mes con las dependencias donde se realizaron los espacios (acta, listas de asistencia y registro fotográfico), correos de documentos de memoria compartidos a los participantes y resultados del test de sensibilización.  </t>
  </si>
  <si>
    <t xml:space="preserve">En el tercer trimestre del año 2022 se realizaron 13 jornadas de sensibilización en cultura del servicio, con un acumulado de 25 jornadas a la fecha de reporte, incluyendo temas relacionados con el manual del servicio de la SDIS y de la Secretaría General, características del servicio a la ciudadanía; y protocolos de atención con enfoque diferencial y transeccional.                                                                                                                             
Con la participación de 250 colaboradores públicos de las Subdirecciones Locales de  Puente Aranda - Antonio Nariño, Usme, Fontibón, Rafael Uribe, Suba, Ciudad Bolívar, Chapinero, Subdirección para la Familia - Comisarías de familia. Llegando  a un acumulado de 347 personas asistentes a jornadas de sensibilizaciones.
En carpeta compartida se encuentran  evidencias de las jornadas de sensibilización, con las subcarpetas por mes con las dependencias donde se realizaron las jornadas (acta, listas de asistencia), correos de documentos de memoria compartidos a los participantes y resultados del test de sensibilización.  </t>
  </si>
  <si>
    <t>10/10/2022:
Hace falta el listado de asistencia del 15 de septiembre de Ciudad Bolívar, y  revisar las evidencias cargadas ya que está cargado 3 veces el mismo archivo, de igual manera solo aparecen evidencias de 10 sensibilizaciones, y en el texto se indica que son 13, revisar.
14/10/2022: No se presentan observaciones al reporte y evidencias enviados. 
Link de acceso evaluación de controles:
https://sig.sdis.gov.co/index.php/es/atencion-a-la-ciudadania-riesgos</t>
  </si>
  <si>
    <t>El profesional del componente de Atención a la Ciudadanía, cada vez que ingresa un nuevo integrante al equipo del Servicio Integral de Atención a la Ciudadanía - SIAC, realiza una inducción que incluye el Manual de atención a la ciudadanía, el procedimiento para el  trámite de requerimientos ciudadanos en la Secretaría Distrital de Integración Social, los canales de interacción, servicios sociales, entre otros; con el propósito de garantizar su conocimiento e implementación en sus puestos de trabajo. Después de realizada la inducción se aplicará un cuestionario para verificar la apropiación de los temas vistos. En caso de identificar vacíos en algunos temas se remiten los resultados con documentos de apoyo para reforzar los contenidos.
Como evidencia se cuenta con actas de reunión y cuestionarios aplicados.</t>
  </si>
  <si>
    <t>Profesional del componente de Atención a la Ciudadanía del Equipo del Servicio Integral de Atención a la Ciudadanía - SIAC</t>
  </si>
  <si>
    <t># de inducciones realizadas acumuladas / # de inducciones a realizar acumuladas) * 100</t>
  </si>
  <si>
    <t xml:space="preserve">Durante el periodo reportado, ingresaron 4 personas (2 servidores públicos y 2 contratistas) al equipo SIAC con quienes se adelantaron  tres (3) espacios de inducción en modalidad presencial y virtual (a través de la herramienta Teams).                      
Para el caso de los contratistas su objeto contractual quedó definido de la siguiente manera: "Prestar servicios de apoyo a la gestión para el desarrollo de acciones y actividades requeridas al interior de la entidad encaminadas al cumplimiento de la política pública distrital de servicio a la ciudadanía, y de los lineamientos establecidos por parte del servicio integral de atención a la ciudadanía -SIAC en el marco de la estrategia territorial integral social".
Una vez culminado el proceso de inducción, se realizó la evaluación de apropiación de conocimientos sobre los diferentes temas abordados (Manual de Servicio a la Ciudadanía de la SDIS, Política Pública Distrital de Servicio  a la Ciudadanía, Portafolio de Servicios, entre otros, Resolución 0509 de 2021).
Evidencias: Tres (3) actas de inducción firmadas y cuatro (4) evaluaciones apropiación del conocimiento proceso de inducción cargadas en carpeta virtual. </t>
  </si>
  <si>
    <t xml:space="preserve">A corte del reporte se tiene un acumulado de 5 personas (2 servidores públicos  y 3 contratistas) que ingresaron al equipo SIAC. Durante el segundo trimestre  ingresó una (1) persona contratista con quien se adelantó una jornada de inducción.
Durante el periodo reportado se adelantó un espacio de inducción, con una contratista quien pasó a ser parte del equipo SIAC de nivel central, durante este espacio se abordaron los siguientes temas: 
1. Introducción a la SDIS: ¿Quiénes somos? ¿Qué hacemos? misión, visión y organigrama.
2. Presentación Servicio Integral de atención a la ciudadanía: Política pública de servicio a la ciudadanía, servicio integral de atención a la ciudadanía, presentación rutas de acceso a y manual de servicio a la ciudadanía SDIS, instructivos canales de interacción, procedimiento trámite de requerimientos ciudadanos en la SDIS, cartilla portafolio de servicios.
3. Socialización figura defensor de la ciudadanía SDIS.
4. Formato registro atención diaria no registrada en SIRBE.
5. Guía de trámites y servicios.  
6. Procedimiento para el trámite de requerimientos ciudadanos en la SDIS. 
7. Bogotá te escucha 
8. Informe de ejecución y cuenta de cobro IOPS y SECOPII. 
9. Espacio práctico y de evaluación Grace Reyes Mejía en punto SIAC Central.
Una vez culminado el proceso de inducción, se realizó la evaluación de apropiación de conocimientos sobre los diferentes temas abordados (Manual de Servicio a la Ciudadanía de la Secretaría General y SDIS, procedimiento para el trámite de requerimientos en la Secretaría Distrital de Integración Social, Sistema Distrital para la Gestión de Peticiones Ciudadanas, figura el defensor a la ciudanía SDIS entre otros).
Evidencias: Una (1) acta de inducción firmada y una (1) evaluación apropiación del conocimiento proceso de inducción cargadas en carpeta virtual. </t>
  </si>
  <si>
    <t xml:space="preserve">14/07/2022:  Ajustar redacción de tal manera que se especifique lo realizado con la única persona a la que se le dio inducción, ya que se enfocan es en las 4 de las cuales ya se habló en el trimestre anterior.
15/07/2022: No se presentan observaciones al reporte y evidencias enviados. </t>
  </si>
  <si>
    <t xml:space="preserve">
Durante el tercer trimestre  ingresó una (1) persona de carrera y una (1) persona contratista con quienes se adelantó de manera individual el espacio de inducción. Su ingreso se dio en diferentes fechas y se abordaron los siguientes temas:
1. Introducción a la SDIS: ¿Quiénes somos? ¿Qué hacemos? misión, visión y organigrama.
2. Presentación Servicio Integral de atención a la ciudadanía: Política pública de servicio a la ciudadanía, servicio integral de atención a la ciudadanía, presentación rutas de acceso a y manual de servicio a la ciudadanía SDIS, instructivos canales de interacción, procedimiento trámite de requerimientos ciudadanos en la SDIS, cartilla portafolio de servicios.
3. Socialización figura defensor de la ciudadanía SDIS.
4. Formato registro atención diaria no registrada en SIRBE.
5. Guía de trámites y servicios.  
6. Procedimiento para el trámite de requerimientos ciudadanos en la SDIS. 
7. Bogotá te escucha 
8. Informe de ejecución y cuenta de cobro IOPS y SECOPII. 
9. Espacio práctico y de evaluación Grace Reyes Mejía en punto SIAC Central.
Una vez culminado el proceso de inducción, se realizó la evaluación de apropiación de conocimientos sobre los diferentes temas abordados (Manual de Servicio a la Ciudadanía de la Secretaría General y SDIS, procedimiento para el trámite de requerimientos en la Secretaría Distrital de Integración Social, Sistema Distrital para la Gestión de Peticiones Ciudadanas, figura el defensor a la ciudanía SDIS entre otros).
Evidencias: Dos (2) actas de inducción firmadas y dos (2) evaluaciones de apropiación del conocimiento.</t>
  </si>
  <si>
    <t>10/10/2022: No se presentan observaciones al reporte y evidencias enviados. 
Link de acceso evaluación de controles:
https://sig.sdis.gov.co/index.php/es/atencion-a-la-ciudadania-riesgos</t>
  </si>
  <si>
    <t>El profesional del componente de Atención a la Ciudadanía anualmente, realiza una jornada de reinducción anualmente dirigida a servidores y contratistas que forman parte del equipo del Servicio Integral de Atención a la Ciudadanía - SIAC, con el fin de fortalecer el servicio de atención a la ciudadanía. Posteriormente se realiza la evaluación de la reinducción para determinar el nivel de apropiación de los conocimientos brindados a los participantes, en el caso de no presentarse un resultado satisfactorio se procede a realizar una retroalimentación con los temas que se requiere fortalecer.
Como evidencia se cuenta con listados de asistencia en formato controlado de la SDIS (FOR-GD-023) o formularios web, la evaluación de apropiación del conocimiento y correos electrónicos con la retroalimentación de la evaluación.</t>
  </si>
  <si>
    <t xml:space="preserve">Anualmente, se realiza jornada de reinducción por parte del equipo del Servicio Integral de Atención a la Ciudadanía - SIAC, dirigida a servidores y contratistas que forman parte del equipo, con el fin de fortalecer el servicio de atención a la ciudadanía. Posteriormente se realizará la evaluación de la reinducción para determinar el nivel de apropiación de los conocimientos brindados a los participantes, en el caso de no presentarse un resultado satisfactorio se procederá a realizar una retroalimentación con los temas que se requiere fortalecer. Como evidencia se cuenta con  listados de asistencia (formato controlado SDIS - o formularios web), evaluación de apropiación del conocimiento y correos electrónicos con la retroalimentación de la evaluación.
</t>
  </si>
  <si>
    <t>1 jornada de reinducción realizada</t>
  </si>
  <si>
    <t xml:space="preserve">La jornada de reinducción dirigida al equipo SIAC se encuentra programada para el mes de mayo 2022; para ello en el mes de abril se definirán los aspectos metodológicos para el desarrollo de la jornada. 
Evidencia: Plan de  sensibilización numeral 3.1.5 Cronograma. </t>
  </si>
  <si>
    <t xml:space="preserve">Durante el periodo reportado se realizaron dos (2) jornadas de inducción y reinducción dirigidas a cuarenta y dos (42) colaboradores del equipo SIAC y a veinte dos (22) designados por los Subdirectores Locales como apoyo para la atención ciudadana en puntos SIAC durante ausencias de estos, con el fin de  garantizar la atención continua, para lo cual se distribuyó el equipo en dos subgrupos, así: grupo 1 (mayo 20) y grupo 2 (mayo 26).    
Adicionalmente, se realizaron las siguientes actividades:
* Definición de temas y metodología de las jornadas de inducción y reinducción.  
* Desarrollo de las jornadas de inducción y reinducción acorde con los grupos organizados.
Evidencias: 
* Agenda de inducción y reinducción 
* Acta y listas de asistencia 
* Informes de resultados del nivel de apropiación (pre y los test) de los temas socializados durante las jornadas. </t>
  </si>
  <si>
    <t xml:space="preserve">14/07/2022: En cuanto a las evidencias, revisando los listados de asistencia, no coincide el número de colaboradores SIAC, con lo reportado (aparecen más personas), revisar.
15/07/2022: No se presentan observaciones al reporte y evidencias enviados. </t>
  </si>
  <si>
    <t xml:space="preserve">Para el periodo reportado no se presentan avances, ya que esta actividad se cumplió en su totalidad durante el segundo trimestre 2022. </t>
  </si>
  <si>
    <t xml:space="preserve">10/10/2022: No se presentan observaciones al reporte y evidencias enviados. </t>
  </si>
  <si>
    <t>El profesional del componente de Atención a la Ciudadanía, realiza anualmente 1 (una) visita de seguimiento y acompañamiento a los responsables de los 23 puntos de atención ubicados en las subdirecciones locales, subdirección ICI, centros de desarrollo comunitario, nivel central y Súper CADE Manitas, con el fin de identificar fortalezas y debilidades en la prestación del servicio de atención a la ciudadanía. Frente a las debilidades identificadas en las visitas, se realiza retroalimentación y se establecen compromisos de mejora a los cuales se les verifica el cumplimiento. 
Como evidencias se cuenta con el cronograma de visitas y actas de visitas.</t>
  </si>
  <si>
    <t>(# de visitas de seguimiento y acompañamiento realizadas acumuladas / # de visitas de seguimiento y acompañamiento programadas acumuladas) * 100
*Se anexa con el mapa, listado de puntos a visitar.</t>
  </si>
  <si>
    <t xml:space="preserve">Dando cumplimiento al cronograma de acompañamiento y seguimiento a puntos SIAC, durante el periodo reportado, se realizaron seis (6) visitas a los puntos SIAC ubicados en Chapinero, Engativá, Teusaquillo,  Mártires, Ciudad Bolívar y SuperCADE Manitas, con el fin de verificar aspectos relacionados con  la adecuada atención ciudadana,  identificación de fortalezas y dificultades en la prestación del servicio, cumplimiento en la implementación del protocolo de atención ciudadana, portafolio de servicios (Manual de servicio a la ciudadanía en la SDIS) y las demás actividades propias del servicio. 
Evidencias: 
*Actas visitas de acompañamiento y seguimiento.
*Cronograma visitas de acompañamiento y seguimiento puntos SIAC.  </t>
  </si>
  <si>
    <t xml:space="preserve">Al corte de reporte se tiene un acumulado de 11 visitas (de las 23 programadas), a los responsables de los puntos SIAC.
Durante el segundo trimestre se realizaron cinco (5) visitas a los responsables de los puntos SIAC, así:  SLIS Fontibón, SLIS Usaquén, CDC Porvenir, CDC Kennedy Britalia y SLIS Puente Aranda - Antonio Nariño.
Evidencias: 
*Actas de visitas de acompañamiento y seguimiento.
*Cronograma de acompañamiento y seguimiento puntos SIAC, el cual se ha ajustado conforme a la necesidad del servicio.  </t>
  </si>
  <si>
    <t xml:space="preserve">Durante el tercer trimestre se realizaron cinco (5) visitas a los responsables de los puntos SIAC, así:  SLIS Usaquén, SLIS Rafael Uribe, SLIS Usme - Sumapaz, SLIS Suba, SLIS Santafé - Candelaria.                                                                                                               Para un acumulado de 16 visitas a los responsables de los puntos SIAC.
Evidencias: 
*Actas de visitas de acompañamiento y seguimiento.
*Cronograma de acompañamiento y seguimiento puntos SIAC, el cual se ha ajustado conforme a la necesidad del servicio.  </t>
  </si>
  <si>
    <t>10/10/2022: Revisar porcentaje acumulado, debido a que no coincide si de 23 visitas llevan 16, no sería un avance de 65% sino de 69,6%. 
14/10/2022: No se presentan observaciones al reporte y evidencias enviados. 
Link de acceso evaluación de controles:
https://sig.sdis.gov.co/index.php/es/atencion-a-la-ciudadania-riesgos</t>
  </si>
  <si>
    <t>Aplicar encuestas de percepción sobre la atención brindada por el Servicio Integral de Atención a la Ciudadanía - SIAC</t>
  </si>
  <si>
    <t>R-ATC-002</t>
  </si>
  <si>
    <t>Los resultados de las encuestas de satisfacción y percepción no se socializan a todas las partes interesadas en estos.</t>
  </si>
  <si>
    <t>Posibilidad que desde el proceso no se promuevan mejoras a los servicios sociales según las necesidades de la ciudadanía afectando la percepción y satisfacción de la ciudadanía frente a los servicios, esto debido a la no socialización de los resultados de las encuestas.</t>
  </si>
  <si>
    <t>El profesional del componente de Fortalecimiento del Servicio trimestralmente solicita a la Oficina Asesora de Comunicaciones - OAC, la publicación en la página web de la entidad (menú Atención ciudadana), el reporte de los resultados de las encuestas de percepción y satisfacción implementadas por los responsables de los puntos de atención SIAC, con el fin de que las diferentes dependencias de la entidad consulten la información y desarrollen acciones de mejora si hay lugar a ello. En caso de no ser publicado se realiza seguimiento a la solicitud hasta que se efectúa la publicación. Adicionalmente, se envía un correo electrónico a los Subdirectores Locales indicando que ya se encuentra publicado el informe con el reporte de los resultados de las encuestas de percepción y satisfacción y luego se hace seguimiento por medio de correo electrónico solicitando a las dependencias den a conocer las acciones que se tomaron frente a las solicitudes que emitieron  los ciudadanos.
Como evidencia se cuenta con las solicitudes de publicación a la OAC, los informes publicados en la página web y los correos electrónicos solicitando las acciones que se tomaron frente a las solicitudes de los ciudadanos, si hay lugar a ello.</t>
  </si>
  <si>
    <t>(# de solicitudes atendidas acumuladas / # de solicitudes realizadas a la OAC acumuladas)*100</t>
  </si>
  <si>
    <t>Durante el período reportado, se envió a la Oficina Asesora de Comunicaciones, la solicitud de publicación del informe de gestión del SIAC, correspondiente al cuarto trimestre de 2021 (el informe de resultados de encuestas de satisfacción y percepción corresponde al anexo 8, del informe de gestión del SIAC). 
Evidencias. Soporte envío de correo de solicitud de publicación del informe de gestión del SIAC remitido a la OAC. Formato controlado, solicitud a la oficina Asesora de Comunicaciones (OAC).  Código: FOR-CE-003. Soporte de correo remitido a Directores y Subdirectores informando la publicación del informe de gestión del SIAC en la página web de la SDIS, además del envío del consolidado de recomendaciones realizadas por la ciudadanía en la encuesta de percepción y satisfacción,  implementada por los responsables de los puntos SIAC, frente a la atención recibida en los diferentes servicios de la entidad.  Formato solicitud remitido a la OAC -soporte envío de correo.</t>
  </si>
  <si>
    <t xml:space="preserve">Al corte de reporte se tiene un acumulado de 2 solicitudes de publicación a la Oficina Asesora de Comunicaciones, del informe de gestión del SIAC.
Durante el segundo trimestre, se envió a la Oficina Asesora de Comunicaciones, la solicitud de publicación del informe de gestión del SIAC, correspondiente al primer trimestre de 2022 (el informe de resultados de encuestas de satisfacción y percepción corresponde al anexo 7, del informe de gestión del SIAC).
Evidencia: Formato solicitud remitido a la OAC -soporte envío de correo.
Por otra parte, se envía información de publicación de informe de gestión SIAC, en página web de la SDIS, a Directores y Subdirectores Técnicos de la entidad, resaltando la consulta del informe de resultados de la encuesta, a fin de que se tomen las acciones de mejora a que haya lugar. 
Evidencia: Soporte de envío de correo electrónico.  </t>
  </si>
  <si>
    <t>Durante el tercer trimestre, se envió a la Oficina Asesora de Comunicaciones, una (1)  solicitud de publicación del informe de gestión del SIAC, correspondiente al segundo  trimestre de 2022 (el informe de resultados de encuestas de satisfacción y percepción corresponde al anexo 7, del informe de gestión del SIAC). Para  un acumulado de tres  (3) solicitudes de publicación a la Oficina Asesora de Comunicaciones, del informe de gestión del SIAC.
Evidencia: Formato solicitud remitido a la OAC -soporte envío de correo.
Por otra parte, mediante memorando firmado por el subsecretario se remite el informe de gestión SIAC segundo trimestre 2022 a la Dirección de Análisis y Diseño Estratégico -DADE a fin de que sea incorporado en la agenda del próximo Comité Institucional de Gestión y Desempeño.
Evidencia: Memorando informe de gestión SIAC segundo trimestre 2022., correo a la Dirección de Análisis y Diseño Estratégico -DADE</t>
  </si>
  <si>
    <t>Informar y direccionar a la ciudadanía acerca del funcionamiento de los servicios de la entidad o temas de su interés, a través de los canales de interacción dispuestos por la entidad</t>
  </si>
  <si>
    <t>R-ATC-003</t>
  </si>
  <si>
    <t>Desde las subdirecciones técnicas no se comunica de manera oportuna al proceso Atención a la ciudadanía, los cambios de los servicios sociales.</t>
  </si>
  <si>
    <t>Posibilidad de que la información de los servicios sociales no llegue a tiempo para ser divulgada a la ciudadanía afectando la confianza de la ciudadanía en la gestión institucional y generando desinformación por no contar con la información oportuna, debido a que las subdirecciones técnicas no comunican de manera oportuna los cambios en el funcionamiento de los servicios.</t>
  </si>
  <si>
    <t>El profesional del componente de Atención a la Ciudadanía mensualmente solicita mediante correo electrónico, a los delegados, con copia a los jefes de las dependencias, la información sobre las novedades presentadas en el funcionamiento de los servicios que brinda la entidad. 
En caso de que se evidencie algún cambio en el funcionamiento de los servicios, y este no haya sido reportado por parte de las dependencias, el SIAC solicitará confirmación de actualización de la información.
Como evidencia se cuenta con correo electrónico mensual de recordatorio y los correos electrónicos solicitando confirmación si hay lugar a ello.</t>
  </si>
  <si>
    <t>(# de correos con solicitud de novedades enviados acumulados/ # de correos de novedades programados acumulados) * 100</t>
  </si>
  <si>
    <t>Durante los meses de enero, febrero y marzo de 2022, el equipo SIAC envió solicitud a las dependencias de la SDIS, requiriendo la información relacionada con la prestación de los servicios sociales (en caso de actualización) con el fin de fortalecer permanentemente la ruta de información del SIAC y orientar con precisión y oportunidad a la ciudadanía. 
Evidencias: 
*Soporte 1: Correos de solicitud de información a las direcciones y subdirecciones técnicas (para los meses de enero, febrero y marzo), incluidas sus respuestas. 
Adicionalmente, los responsables de puntos SIAC continúan diariamente solicitando a los referentes de los servicios sociales de las Subdirecciones Locales, información relacionada con: información general de los servicios sociales, directorios de unidades operativas, ofertas de cursos, entre otros; la cual se carga en las carpetas disponibles en SharePoint.  
Evidencias:
*Soporte 2. Pantallazos de información cargada en SharePoint.</t>
  </si>
  <si>
    <t xml:space="preserve">Al corte del reporte se tiene un acumulado de 6 solicitudes de información a las dependencias (Direcciones y Subdirecciones Técnicas) con el fin de articular la entrega oportuna de la información de los servicios sociales en el marco de la ruta de información, de las cuales 3 se realizaron en el segundo trimestre 2022. 
Durante el segundo trimestre a través de correo electrónico y reunión con los delegados de la Dirección Territorial, se solicitó la información relacionada con la prestación de los servicios sociales (en caso de actualización) con el fin de fortalecer permanentemente la ruta de información del SIAC y orientar con precisión y oportunidad a la ciudadanía. 
Evidencias: 
*Soporte 1. Correos de solicitud de información a las direcciones y subdirecciones técnicas y acta de reunión con delegados de la Dirección Territorial como respuestas de algunas dependencias.   
Así mismo, con los delegados asignados (SUBICI y SUBGIL) se adelantó reunión virtual con el objeto de articular la entrega oportuna de la información. 
*Soporte 2.  Acta de articulación con los delegados asignados de la SICI y SGIL.
Adicionalmente, los responsables de puntos SIAC continúan diariamente solicitando a los referentes de los servicios sociales de las subdirecciones Locales, información relacionada con: fecha de entrega de bonos, apoyos económicos, oferta de cursos, entre otros; la cual se carga en las carpetas disponibles en SharePoint.  
Evidencia: 
*Soporte 3. Pantallazos de información cargada en SharePoint.  </t>
  </si>
  <si>
    <t>04/102022</t>
  </si>
  <si>
    <t xml:space="preserve">Al corte del reporte se tiene un acumulado de 8 solicitudes de información a las dependencias (Direcciones y Subdirecciones Técnicas) con el fin de articular la entrega oportuna de la información de los servicios sociales en el marco de la ruta de información, de las cuales 2 se realizaron en el tercer trimestre 2022. 
Durante el tercer trimestre a través de correo electrónico, se solicitó a la Dirección de Análisis y Diseño Estratégico-DADE-, información relacionada con bases de datos de los servicios de: Apoyos económicos para persona mayor (AE), comedores y cocinas populares, Bonos canjeables por alimentos para personas con discapacidad (PCD), Canasta Alimentaria y Bono canjeable por alimentos con el objeto de suministrarla oportunamente a la ciudadanía por medio de los canales de interacción (presencial, telefónico y virtual); igualmente, conforme a la ruta de información, se solicito a las Subdirecciones Técnicas el  cargue de  información actualizada,  con el propósito de ser trasmitida a través de los puntos SIAC oportunamente a la ciudadanía.                                                                                                    
Evidencias: 
*Soporte 1. Correos de solicitud de información a las Subdirecciones Técnicas y correo dirigido a las delegadas de la entrega de la información en la DADE.
Adicionalmente, los responsables de puntos SIAC continúan diariamente solicitando a los referentes de los servicios sociales de las subdirecciones Locales, información relacionada con: fecha de entrega de bonos, apoyos económicos, oferta de cursos, entre otros; la cual se carga en las carpetas disponibles en SharePoint. 
Evidencia: 
*Soporte 2. Pantallazos de información cargada en SharePoint. 
</t>
  </si>
  <si>
    <t>10/10/2022: El cumplimiento no puede ser del 100% toda vez que se debe realizar un solicitud mensual y están reportando que se realizaron 2 (deberían ser 3) revisar.
14/10/2022: No se presentan observaciones al reporte y evidencias enviados. 
Link de acceso evaluación de controles:
https://sig.sdis.gov.co/index.php/es/atencion-a-la-ciudadania-riesgos</t>
  </si>
  <si>
    <t>Gestión de Talento Humano</t>
  </si>
  <si>
    <t>Liderar y administrar el desarrollo integral del talento humano vinculado a la Secretaría Distrital de Integración Social - SDIS, propendiendo por el bienestar, salud y seguridad de los funcionarios, para el fortalecimiento institucional y el cumplimiento misional de la Entidad.</t>
  </si>
  <si>
    <t>Preparar y gestionar la liquidación de la nómina, seguridad social y 
parafiscales.</t>
  </si>
  <si>
    <t>R-TH-001</t>
  </si>
  <si>
    <t>Debido a que el software para la administración de personal no genera toda la información necesaria  para la liquidación de la nómina y prestaciones sociales y se realizan ajustes manuales de las novedades de nómina en el sistema</t>
  </si>
  <si>
    <t>Posibilidad que se  pueda generar una liquidación inexacta y/o no  oportuna de salarios,  prestaciones sociales, aportes  parafiscales y viáticos</t>
  </si>
  <si>
    <t>Económica</t>
  </si>
  <si>
    <r>
      <t xml:space="preserve">1.El colaborador designado del área funcional de Nómina de la Subdirección de Gestión y Desarrollo del Talento Humano, realiza mensualmente la pre nómina, en la cual se revisan las novedades aportadas desde el área funcional de Administración de personal. Se realiza una pre nómina por cada nómina oficial generada en el periodo, haciendo un  comparativo con los soportes de  novedades recibidos y verificando su conformidad con base en la normativa vigente. En caso de encontrar inconsistencias, estas se reportan al área funcional de Administración de personal quien tomará las acciones pertinentes, dependiendo del tipo de inconsistencia generada.  En caso de que el colaborador designado no realice la revisión mensual de la Pre nómina, el profesional responsable del área funcional de nómina deberá realizar dicha verificación.
</t>
    </r>
    <r>
      <rPr>
        <sz val="10"/>
        <color rgb="FFFF0000"/>
        <rFont val="Arial"/>
        <family val="2"/>
      </rPr>
      <t xml:space="preserve">
</t>
    </r>
    <r>
      <rPr>
        <sz val="10"/>
        <rFont val="Arial"/>
        <family val="2"/>
      </rPr>
      <t>Como evidencia se cuenta con los formatos de revisión de pre nómina FOR-TH-023 diligenciados y debidamente firmados por el referente de nómina y el técnico.</t>
    </r>
  </si>
  <si>
    <t>1.El colaborador designado del área funcional de Nómina de la Subdirección de Gestión y Desarrollo del Talento Humano, realiza mensualmente la pre nómina, en la cual se revisan las novedades aportadas desde el área funcional de Administración de personal. Se realiza una pre nómina por cada nómina oficial generada en el periodo, haciendo un  comparativo con los soportes de  novedades recibidos y verificando su conformidad con base en la normativa vigente. En caso de encontrar inconsistencias, estas se reportan al área funcional de Administración de personal quien tomará las acciones pertinentes, dependiendo del tipo de inconsistencia generada.  En caso de que el colaborador designado no realice la revisión mensual de la Pre nómina, el profesional responsable del área funcional de nómina deberá realizar dicha verificación.
Como evidencia se cuenta con los formatos de revisión de pre nómina FOR-TH-023 diligenciados y debidamente firmados por el referente de nómina y el técnico.</t>
  </si>
  <si>
    <t>Colaborador designado del área funcional de Nómina de la Subdirección de Gestión y Desarrollo de Talento Humano</t>
  </si>
  <si>
    <t>(Número de Formatos de Revisión de Pre nómina FOR-TH-023 diligenciados en el periodo/Número total de nóminas generadas en el periodo)*100</t>
  </si>
  <si>
    <t>Se realizaron mensualmente las pre nóminas, de acuerdo con el número total de nóminas oficiales generadas en el trimestre, así: 
1. En el mes de enero se elaboraron tres (3) nóminas: nómina normal del mes y dos nóminas adicionales acumuladas en diciembre de 2021, pero canceladas en enero 2022
2. En febrero se elaboraron dos (2) nóminas: nómina normal del mes y una (1) nómina adicional.
3. En marzo se elaboraron dos (2) nóminas: nómina normal y una (1) nómina adicional
Como evidencia se anexan siete (7) formatos FOR-TH-023 "Revisión Prenómina" diligenciados, para el trimestre enero a marzo de 2022, correspondientes a siete (7) nóminas generadas en el periodo.</t>
  </si>
  <si>
    <t>18/04/2022
No se generan observaciones frente al periodo reportado. 
Se sugiere que en adelante los formatos de revisión prenomina contengan la firma y no tan solo el nombre de quienes realizaron la revisión y validación de las nóminas generadas en el periodo.</t>
  </si>
  <si>
    <t>Se realizaron mensualmente las pre nóminas, de acuerdo con el número total de nóminas oficiales generadas en el trimestre, así: 
1. En el mes de abril se elaboraron dos (2) nóminas: nómina normal del mes y una (1) nómina adicional.
2. Mes de mayo se elaboraron dos (2) nóminas: nómina normal del mes y una nómina (1) adicional.
3. Mes de junio se elaboraron dos (2) nóminas: nómina normal del mes y una nómina (1) adicional.
Como evidencia se anexan seis (6) formatos FOR-TH-023 "Revisión Prenómina" diligenciados, para el trimestre abril a junio de 2022.</t>
  </si>
  <si>
    <t>13/07/2022
No se generan observaciones frente al periodo reportado. 
Se sugiere, al igual que en el monitoreo anterior, que en adelante los formatos de revisión prenómina contengan la firma (como está descrito en el diseño de la actividad de control) y no tan solo el nombre de quienes realizaron la revisión y validación de las nóminas generadas en el periodo.</t>
  </si>
  <si>
    <t>Se realizaron mensualmente las pre nóminas, de acuerdo con el número total de nóminas oficiales generadas en el trimestre, así: 
1. En el mes de julio se elaboraron dos (2) nóminas: nómina normal del mes y una (1) nómina adicional.
2. en el mes de agosto se elaboraron cuatro (4) nóminas: nómina normal del mes y tres (3) nóminas adicionales.
3. En el mes de septiembre se elaboraron dos (2) nóminas: nómina normal del mes y una nómina (1) adicional.
Como evidencia se anexan ocho (8) formatos FOR-TH-023 "Revisión Prenómina" diligenciados y firmados, para el trimestre julio - septiembre de 2022</t>
  </si>
  <si>
    <t xml:space="preserve">11/10/2022
No se generan observaciones ni sugerencias frente al periodo reportado. </t>
  </si>
  <si>
    <t>Gestionar las diferentes situaciones administrativas derivadas de la vinculación, permanencia y desvinculación del talento humano".</t>
  </si>
  <si>
    <t>R-TH-002</t>
  </si>
  <si>
    <t>Debido a que no se sigan los lineamientos, procedimientos e instructivos establecidos en el proceso de gestión documental, relacionados con las historias laborales</t>
  </si>
  <si>
    <t xml:space="preserve">Posibilidad que se pueda presentar la pérdida,  desactualización y filtración de información confidencial y reservada de la historia laboral de los servidores de la Entidad </t>
  </si>
  <si>
    <t>1.El colaborador del área funcional de Administración de Personal, designado por el (la) Subdirector(a) de Gestión y Desarrollo del Talento Humano, realizará cuatro revisiones durante la vigencia, de los préstamos realizados y registrados en el formato préstamo, consulta documental - Historias Laborales  (FOR-GD-012) y los comparará con la información de la comunicación oficial que contiene la relación  personas autorizadas para acceder a las mismas, dicha comparación será registrada en un acta, con el fin de realizar la validación de las personas que tuvieron acceso a las Historias Laborales y garantizar la integridad de los documentos. 
En caso de encontrar anomalías en las validaciones realizadas, se remitirá comunicación al responsable del archivo solicitando los respectivos correctivos a que haya lugar.
Como evidencia se cuenta con un acta de la revisión realizada y en caso de inconsistencia se adjuntará una comunicación al colaborador designado del archivo de gestión, por cada revisión realizada.</t>
  </si>
  <si>
    <t>Colaborador designado del área funcional de Administración de Personal por el (la) Subdirector(a) de Gestión y Desarrollo de Talento Humano</t>
  </si>
  <si>
    <t>(Número de Validaciones realizadas /4 Validaciones programadas)100</t>
  </si>
  <si>
    <t>Durante el primer trimestre de 2022 se revisaron los formatos préstamo y consulta documental – Historial Laborales (FOR GD-012), de los meses de enero, febrero y marzo, en los cuales se evidenció el registro correcto de la información tanto de consulta, como de préstamos de Historias Labores, como lo establece el procedimiento. Las consultas y/o préstamos, fueron realizados a personas autorizadas por la Subdirectora de Gestión y Desarrollo de Talento Humano.
Como evidencia se anexa un Acta de la revisión realizada.</t>
  </si>
  <si>
    <t xml:space="preserve">18/04/2022
No se generan observaciones ni sugerencias frente al periodo reportado. 
</t>
  </si>
  <si>
    <t>Durante el segundo trimestre de 2022 se revisaron los formatos préstamo y consulta documental – Historias Laborales (FOR GD-012), de los meses de abril, mayo y junio, en los cuales se evidenció el registro correcto de la información tanto de consulta, como de préstamos de Historias Laborales, según lo establece el procedimiento. Las consultas y/o préstamos, fueron realizados a las personas que previamente fueron autorizadas por la Subdirectora de Gestión y Desarrollo de Talento Humano.
Como evidencia se anexa copia del acta de la revisión realizada.</t>
  </si>
  <si>
    <t>13/07/2022
No se generan observaciones ni sugerencias frente al periodo reportado.</t>
  </si>
  <si>
    <t>Durante el tercer trimestre de 2022 se revisaron los formatos préstamo y consulta documental – Historias Laborales (FOR GD-012), de los meses de julio, agosto y septiembre, en los cuales se evidenció el registro correcto de la información tanto de consulta, como de préstamos de Historias Labores, según lo establece el procedimiento. Las consultas y/o préstamos, fueron realizados a personas autorizadas por la Subdirectora de Gestión y Desarrollo de Talento Humano.
Como evidencia se anexa copia del acta de la revisión realizada.</t>
  </si>
  <si>
    <t>11/10/2022
Como evidencia solo fue presentada el acta de revisión firmada. Los formatos de préstamo y consulta no se cargaron por favor cargar o ajustar la descripción del avance.
12/10/2022
No se generan observaciones ni sugerencias adicionales para el periodo reportado.</t>
  </si>
  <si>
    <t>Hacer seguimiento y evaluación a la implementación y desarrollo de los planes y programas del proceso</t>
  </si>
  <si>
    <t>R-TH-004</t>
  </si>
  <si>
    <t>Debido a la falta de divulgación por parte de la SDGTH y/o bajo interés de los colaboradores sobre las actividades programadas en los Planes de la Subdirección</t>
  </si>
  <si>
    <t>Posibilidad que se pueda registrar una baja participación de los colaboradores de la SDIS en las actividades programadas en los Planes y Programas de la SGDTH para la vigencia</t>
  </si>
  <si>
    <t>El colaborador designado por el(la) Subdirector(a) de Gestión y Desarrollo de Talento Humano diseñará de manera digital  un boletín mensual que tiene por objetivo informar, motivar y promover la participación de los colaboradores de la entidad, en las actividades programadas en los planes y programas de la SGDTH durante la vigencia, en especial: Plan de Bienestar e Incentivos, Plan de Capacitación y Plan de SST.
En caso de no diseñar y emitir el boletín en el mes, este deberá realizarse máximo en el mes siguiente.
Como evidencia se cuenta con un boletín de talento humano mensual, emitido a los colaboradores de la entidad para mejorar la participación.</t>
  </si>
  <si>
    <t>El colaborador designado por el(la) Subdirector(a) de Gestión y Desarrollo de Talento Humano diseñará de manera digital un boletín mensual que tiene por objetivo informar, motivar y promover la participación de los colaboradores de la entidad, en las actividades programadas en los planes y programas de la SGDTH durante la vigencia, en especial: Plan de Bienestar e Incentivos, Plan de Capacitación y Plan de SST.
En caso de no diseñar y emitir el boletín en el mes, este deberá realizarse máximo en el mes siguiente.
Como evidencia se cuenta con un boletín de talento humano mensual, emitido a los colaboradores de la entidad para mejorar la participación.</t>
  </si>
  <si>
    <t>Colaborador designado de la Subdirección de Gestión y Desarrollo de Talento Humano</t>
  </si>
  <si>
    <t>(No de boletines divulgados mensualmente / 10 boletines programados) * 100</t>
  </si>
  <si>
    <t>Durante el primer trimestre de 2022 se realizó el diseño y divulgación masiva vía mailing por Comunicación Interna el 10 de marzo de 2022, de un (1) boletín digital, donde se consolidaron las actividades que se ejecutarían en el mes de marzo de 2022, informando el nombre de la actividad, modalidad de ejecución, beneficiarios y beneficiarias (funcionarios(as) y/o contratistas), link de conexión o inscripción según corresponda.
El boletín consolidó la información correspondiente a las áreas funcionales de Bienestar Social e Incentivos, Seguridad y Salud en el Trabajo y Capacitación y los planes que desde su competencia se ejecutan en el marco de promover e incentivar la participación de los colaboradores y colaboradoras de la SDIS aportando a su bienestar laboral integral.
Con relación al  área(s) que no presenten programación de actividades para el mes a reportar, se incluirán los resultados de las acciones implementadas tipo noticia o informativo.
Como evidencia se adjunta un (1) Boletín en PDF correspondiente a marzo/2022</t>
  </si>
  <si>
    <t>Para las acciones programadas en el segundo trimestre de 2022 se realizó la proyección de contenido de los Boletines Mensuales de las áreas funcionales de Bienestar, Seguridad y Salud en el Trabajo y Capacitación, con el objetivo trazado en la promoción de la participación de servidores/as y colaboradores/as en las actividades que se formulan en el marco de los Planes Institucionales.
En este sentido, posterior a la consolidación y revisión de actividades por área, así como determinación de medios de inscripción o conexión, según la modalidad de implementación  de cada una (presencial/virtual), se diseñó y envió masivamente por mailing el Boletín Digital en los tiempos oportunos, garantizando su difusión:
* Boletín Digital Abril 2022:  Envío el 12 de abril de 2022
* Boletín Digital Mayo 2022:  Envío el 2 de mayo de 2022
* Boletín Digital Junio 2022:  Envío el 03 de junio de 2022
Como evidencia se adjuntan los tres (3) Boletines en PDF.</t>
  </si>
  <si>
    <t xml:space="preserve">En el tercer trimestre de 2022, en coordinación con las áreas funcionales de Bienestar Social e Incentivos, Capacitación y Seguridad y Salud en el Trabajo se proyecta el boletín de actividades para los meses de julio, agosto y septiembre, con el fin de promover la participación de servidores(a) y contratistas de la Secretaría Distrital de Integración Social en las diferentes actividades que hacen parte de los Planes Institucionales que tienen por objetivo su bienestar integral.
En este sentido, se proyectan las actividades con la información necesaria para garantizar oportunidad de inscripción o participación (modalidad, día, hora, acceso), las cuales son divulgadas de forma masiva a través de correo electrónico por Comunicación Interna, quienes apoyan el proceso de diseño del Boletín Digital.
Los boletines digitales del trimestre a informar son:
* Boletín Digital Julio 2022:  Envío el 7 de julio de 2022
* Boletín Digital Agosto 2022:  Envío el 2 de agosto de 2022
* Boletín Digital Septiembre 2022:  Envío el 15 de septiembre de 2022
Como evidencia se adjuntan los tres (3) Boletines en PDF.
Nota: Adicionalmente, para generar un mayor impacto y recordación de las actividades relacionadas, estás mismas se divulgan masivamente en el Boletín Interno SDIS que circula con una periodicidad semanal.
</t>
  </si>
  <si>
    <t>11/10/2022
El boletín del mes de septiembre fue remitido el 15 de septiembre y no el 16 de acuerdo con la evidencia entregada, por favor ajustar.
12/10/2022
No se generan observaciones ni sugerencias adicionales para el periodo reportado.</t>
  </si>
  <si>
    <t>R-TH-005</t>
  </si>
  <si>
    <t>Debido a falta de controles en el procedimiento de afiliación y desafiliación de los servidores al Sistema General de Seguridad Social en Salud - SGSSS</t>
  </si>
  <si>
    <t>Posibilidad que no se realice la afiliación o desafiliación oportuna de un servidor al Sistema General de Seguridad Social en Salud - SGSSS</t>
  </si>
  <si>
    <t>1. El colaborador designado por el(la) Subdirector(a) de Gestión y Desarrollo de Talento Humano, una vez al mes verifica  el listado de personas posesionadas y/o desvinculadas enviado desde el área funcional de Administración de Personal, para determinar que  las personas hayan sido afiliadas y/o desafiliadas a la EPS, AFP y CCF según corresponda, de igual manera se debe adelantar una revisión específica frente a la afiliación a la Caja de Compensación Familiar de los Servidores Públicos que se encuentran en periodo de prueba y que vienen del nivel central de la administración distrital.
En caso  que se detecte que no se realizó la  afiliación y/o desafiliación, se realiza el envío de correo electrónico del listado de personal activo  a cada una de las empresas administradoras para verificar el estado de afiliación y si es el caso realizar los ajustes correspondientes.
Como evidencia se presenta una base de datos cruzada, que corresponde al listado de servidores que ingresan o se retiran de la entidad, versus las afiliaciones o desafiliaciones realizadas en el periodo.</t>
  </si>
  <si>
    <t>(No de verificaciones realizadas a la afiliación o desvinculación a la EPS y AFP / 11 verificaciones programadas) * 100</t>
  </si>
  <si>
    <t>Mensualmente el responsable en el área de nómina, verifica el listado de personas posesionadas y/o desvinculadas, de acuerdo con el listado y soportes suministrados por el área de administración de personal. 
Se anexa base de datos cruzada, que corresponde al listado de servidores que ingresaron (ver Hoja Ingresos) y los servidores que se retiraron (ver Hoja Retiros), de la entidad , versus las afiliaciones o desafiliaciones realizadas correspondientes a los meses de febrero y marzo/2022</t>
  </si>
  <si>
    <t>18/04/2022
Ajustar el dato cuantitativo reportado toda vez que como se soporta con la evidencia fueron realizadas 2 verificaciones de las 11 programadas, lo cual corresponde al 18% de avance.
Se sugiere ajustar la evidencia de manera que contenga el resultado de la verificación realizada por el área de nómina.
20/04/2022
No se generan observaciones ni recomendaciones adicionales frente al periodo reportado.</t>
  </si>
  <si>
    <t>Mensualmente el responsable en el área de nómina, continúa con la verificación del listado de personas posesionadas y/o desvinculadas, de acuerdo con el listado y soportes suministrados por el área funcional de administración de personal. 
Se anexa base de datos cruzada, que corresponde al listado de servidores que ingresaron (ver Hoja Ingresos) y los servidores que se retiraron (ver Hoja Retiros), de la entidad, versus las afiliaciones o desafiliaciones realizadas correspondientes a los meses de abril, mayo y junio de 2022</t>
  </si>
  <si>
    <t xml:space="preserve">13/07/2022
No se generan observaciones frente al periodo reportado. </t>
  </si>
  <si>
    <t>Mensualmente el responsable en el área de nómina, continúa con la verificación del listado de personas posesionadas y/o desvinculadas, de acuerdo con el listado y soportes suministrados por el área funcional de administración de personal. 
Se anexa base de datos cruzada, que corresponde al listado de servidores que ingresaron (ver Hoja Ingresos) y los servidores que se retiraron (ver Hoja Retiros), de la entidad, versus las afiliaciones o desafiliaciones realizadas correspondientes a los meses de julio, agosto y septiembre de 2022</t>
  </si>
  <si>
    <t>2. El colaborador designado por el(la) Subdirector(a) de Gestión y Desarrollo de Talento Humano, recibe el listado de las personas que se van a posesionar, por parte del área funcional de Administración de personal y se realiza la afiliación a la ARL el día antes a la posesión.  
En caso de que no se realice la afiliación no podría posesionarse en el cargo.  
En caso  que se detecte que no se realizó la  afiliación y/o desafiliación, se realiza el envío de correo electrónico del listado de personal activo a la empresa administradora para verificar el estado de afiliación y si es el caso realizar los ajustes correspondientes.
Como evidencia se presenta una base de datos cruzada, que corresponde al listado de servidores que ingresan o se retiran de la entidad, versus las afiliaciones o desafiliaciones realizadas en el periodo.</t>
  </si>
  <si>
    <t>(No de verificaciones realizadas a la afiliación o desvinculación a la ARL / 11 verificaciones programadas) * 100</t>
  </si>
  <si>
    <t>Mensualmente el responsable en el área de nómina, verifica el listado de personas posesionadas y/o desvinculadas, de cuerdo con el listado y soportes suministrados por el área de administración de personal. 
Se anexa base de datos cruzada, que corresponde al listado de servidores que ingresaron (ver Hoja ingresos) y los servidores que se retiraron (ver Hoja Retiros), de la entidad , versus las afiliaciones o desafiliaciones realizadas correspondientes a los meses de febrero y marzo/2022</t>
  </si>
  <si>
    <t>18/04/2022
Ajustar el dato cuantitativo reportado toda vez que como se soporta con la evidencia fueron realizadas 2 verificaciones de las 11 programadas, lo cual corresponde al 18% de avance.
Se sugiere ajustar la evidencia de manera que contenga el resultado de la verificación realizada por el área de nómina.
20/04/2022
No se generan observaciones ni recomendaciones adicionales frente al periodo reportado.</t>
  </si>
  <si>
    <t>Mensualmente el responsable en el área de nómina, continúa con la verificación del listado de personas posesionadas y/o desvinculadas, deacuerdo con el listado y soportes suministrados por el área de administración de personal. 
Se anexa base de datos cruzada, que corresponde al listado de servidores que ingresaron (ver Hoja Ingresos) y los servidores que se retiraron (ver Hoja Retiros), de la entidad, versus las afiliaciones o desafiliaciones realizadas correspondientes a los meses de abril, mayo y junio /2022</t>
  </si>
  <si>
    <t>Gestión de Soporte y Mantenimiento Tecnológico</t>
  </si>
  <si>
    <t>Gestionar la continuidad del negocio mediante el soporte y mantenimiento  de las Tecnologías de la Información y las Comunicaciones, acogiendo las mejores prácticas de TIC, los lineamientos y directrices internos y la normativa vigente con el fin de coadyuvar el cumplimiento de objeticos y requerimientos institucionales asociados a los sistemas de información.</t>
  </si>
  <si>
    <t>Gestionar los cambios, incidentes y problemas asociados a los servicios de las tecnologías de la información.</t>
  </si>
  <si>
    <t>R-SMT-002</t>
  </si>
  <si>
    <t>1. Debido a deficiencias en la implementación de planes de mantenimiento preventivo de la infraestructura y servicios tecnológicos.</t>
  </si>
  <si>
    <t>Posibilidad de que existan deficiencias en la gestión de los incidentes o requerimientos tecnológicos.</t>
  </si>
  <si>
    <t>Fallas tecnológicas</t>
  </si>
  <si>
    <t>El Líder de Infraestructura trimestralmente debe realizar seguimiento y monitoreo al estado de la infraestructura y servicios tecnológicos de la Entidad administrados por la Subdirección de Investigación e Información, con el objetivo de garantizar los servicios tecnológicos para la correcta disponibilidad de los mismos. En caso de presentarse alguna inconsistencia en la ejecución de seguimiento y monitoreo, se deberá analizar y proceder con las acciones respectivas para dar solución a lo presentado. La evidencia debe ser un informe que el líder de Infraestructura deberá hacer trimestralmente del resultado del seguimiento y monitoreo al estado de la infraestructura y servicios tecnológicos.</t>
  </si>
  <si>
    <t>Líder de Infraestructura</t>
  </si>
  <si>
    <t>(Seguimientos y monitoreos realizados al estado de la infraestructura y servicios tecnológicos de la Entidad administrados por la Subdirección de Investigación e Información /  Seguimientos y monitoreos programados al estado de la infraestructura y servicios tecnológicos de la Entidad administrados por la Subdirección de Investigación e Información )* 100
Nota: 4 seguimientos.</t>
  </si>
  <si>
    <t>El líder de infraestructura presenta el primer informe del resultado del seguimiento y monitoreo trimestral al estado de la infraestructura y servicios tecnológicos de la Entidad administrados por la Subdirección de Investigación e información, donde se evidencia que en los servicios de base de datos se han aplicado las mejores prácticas para una administración eficiente y como resultado se confirma que se ha mantenido una disponibilidad por encima de 99% en   servidores, almacenamiento, telefonía, canales de comunicación, ofimática, licenciamiento, redes LAN, base de datos y seguridad perimetral, por otro lado, se evidencian los mantenimientos que fueron realizados durando el periodo reportado y los incidentes presentados. A su vez, se realizaron continuas visitas a Unidades Operativas con canal MPLS, lo que permite identificar y dar solución a requerimientos a nivel de red y de infraestructura en general.</t>
  </si>
  <si>
    <t>19/04/2021 No se generan observaciones respecto a los avances y evidencias presentados en el monitoreo al riesgo de gestión.</t>
  </si>
  <si>
    <t>El líder de infraestructura presenta el segundo informe del resultado del seguimiento y monitoreo trimestral al estado de la infraestructura y servicios tecnológicos de la Entidad administrados por la Subdirección de Investigación e información, donde se evidencia que en los servicios de base de datos se han aplicado las mejores prácticas para una administración eficiente y como resultado se confirma que se ha mantenido una disponibilidad por encima de 99% en   servidores, almacenamiento, telefonía, canales de comunicación, ofimática, licenciamiento, redes LAN, base de datos y seguridad perimetral, por otro lado, se evidencian los mantenimientos que fueron realizados durando el periodo reportado y los incidentes presentados. A su vez, se realizaron continuas visitas a Unidades Operativas con canal MPLS, lo que permite identificar y dar solución a requerimientos a nivel de red y de infraestructura en general.</t>
  </si>
  <si>
    <t>El líder de infraestructura presenta el tercer informe del resultado del seguimiento y monitoreo trimestral al estado de la infraestructura y servicios tecnológicos de la Entidad administrados por la Subdirección de Investigación e información, donde se evidencia que en los servicios de base de datos se han aplicado las mejores prácticas para una administración eficiente y como resultado se confirma que se ha mantenido una disponibilidad del 100% en servidores, almacenamiento, telefonía, canales de comunicación, ofimática, licenciamiento, redes LAN, base de datos y seguridad perimetral, por otro lado, se evidencian los mantenimientos que fueron realizados durando el periodo reportado y los incidentes presentados. A su vez, se realizaron continuas visitas a Unidades Operativas con canal MPLS, lo que permite identificar y dar solución a requerimientos a nivel de red y de infraestructura en general.</t>
  </si>
  <si>
    <t xml:space="preserve">2. Debido a debilidades en la apropiación del punto único de contacto para la atención de la mesa de servicio. </t>
  </si>
  <si>
    <t>El líder de mesa de servicios de manera trimestral realiza seguimiento a las estrategias de divulgación y apropiación del punto único de contacto y los canales de la mesa de servicio, con el fin de evitar la perdida del punto único de contacto. En caso de encontrar alguna inconsistencia en las divulgaciones, procede a analizar y solicitar la corrección. La evidencia debe ser un informe del seguimiento que se hace trimestralmente a las estrategias de divulgación.</t>
  </si>
  <si>
    <t>Líder de mesa de servicios</t>
  </si>
  <si>
    <t>(Seguimientos realizados a las estrategias de divulgación y apropiación del punto único de contacto y los canales de la mesa de servicio /  Seguimientos programados a las estrategias de divulgación y apropiación del punto único de contacto y los canales de la mesa de servicio)* 100
Nota: 4 seguimientos.</t>
  </si>
  <si>
    <t>El líder de mesa de servicios presenta el primer informe del seguimiento que se hace trimestralmente a las estrategias de divulgación  y apropiación del punto único de contacto y los canales de la mesa de servicio, en el cual se relacionan las acciones dirigidas al fortalecimiento de los canales de atención de la Mesa de Servicios y todas aquellas encaminadas a la disminución de solicitudes de productos y servicios relacionados con TI a través de dichos canales, desde donde se puede realizar una medición del nivel de efectividad de las estrategias realizadas durante este periodo y de ser necesario tener un punto de partida para emprender mejoras que apunten a la calidad de la oferta de servicios desde la Subdirección de Investigación e Información.</t>
  </si>
  <si>
    <t>El líder de mesa de servicios presenta el segundo informe del seguimiento que se hace trimestralmente a las estrategias de divulgación  y apropiación del punto único de contacto y los canales de la mesa de servicio, en el cual se relacionan las acciones dirigidas al fortalecimiento de los canales de atención de la Mesa de Servicios y todas aquellas encaminadas a la disminución de solicitudes de productos y servicios relacionados con TI a través de dichos canales, desde donde se puede realizar una medición del nivel de efectividad de las estrategias realizadas durante este periodo y de ser necesario tener un punto de partida para emprender mejoras que apunten a la calidad de la oferta de servicios desde la Subdirección de Investigación e Información.</t>
  </si>
  <si>
    <t>El líder de mesa de servicios presenta el tercer informe del seguimiento que se hace trimestralmente a las estrategias de divulgación  y apropiación del punto único de contacto y los canales de la mesa de servicio, en el cual se relacionan las acciones dirigidas al fortalecimiento de los canales de atención de la Mesa de Servicios y todas aquellas encaminadas a la disminución de solicitudes de productos y servicios relacionados con TI a través de dichos canales, desde donde se puede realizar una medición del nivel de efectividad de las estrategias realizadas durante este periodo y de ser necesario tener un punto de partida para emprender mejoras que apunten a la calidad de la oferta de servicios desde la Subdirección de Investigación e Información.</t>
  </si>
  <si>
    <t xml:space="preserve">Gestión contractual </t>
  </si>
  <si>
    <t>El proceso de Gestión contractual adelanta las actividades de contratación requeridas por la entidad previstas en el plan de adquisiciones, que permitan contar con bienes, servicios y obras de manera efectiva, oportuna y cumpliendo la normatividad vigente de cada modalidad contractual, para  el cumplimiento de la misión de la entidad.</t>
  </si>
  <si>
    <t>Formular plan acción institucional del proceso</t>
  </si>
  <si>
    <t>R-GEC-001</t>
  </si>
  <si>
    <t xml:space="preserve">Demoras por parte de las dependencias de la entidad para iniciar el trámite a la liquidación de contratos o convenios </t>
  </si>
  <si>
    <t>Posibilidad de incumplimiento de los términos legales o pactados para la liquidación de los contratos o convenios de la entidad, debido a que las dependencias no inician a tiempo la gestión para liquidar los contrato y/o convenios en los tiempos estipulados o establecidos en cada uno de ellos</t>
  </si>
  <si>
    <r>
      <t>El líder del equipo de liquidaciones de la Subdirección de Contratación, remite al inicio de cada mes alertas a los supervisores de contratos a través de correo electrónico, con el fin</t>
    </r>
    <r>
      <rPr>
        <b/>
        <sz val="10"/>
        <rFont val="Arial"/>
        <family val="2"/>
      </rPr>
      <t xml:space="preserve"> </t>
    </r>
    <r>
      <rPr>
        <sz val="10"/>
        <rFont val="Arial"/>
        <family val="2"/>
      </rPr>
      <t>de recordar la obligación de tramitar la liquidación dentro de los términos establecidos. 
En caso que se identifique alguna demora de los supervisores se envían memorandos a los ordenadores de gasto. 
Como evidencia de esta actividad queda los correos remitidos.</t>
    </r>
  </si>
  <si>
    <t>Líder del equipo de liquidaciones Subdirección de Contratación</t>
  </si>
  <si>
    <t xml:space="preserve"> (No. de alertas de liquidaciones remitidas en el periodo / No. de alertas de liquidaciones programadas en el período) * 100</t>
  </si>
  <si>
    <t>El grupo de liquidaciones envía tres correos y memorandos de alertas mensuales dirigidos a los ordenadores del gasto y a los supervisores de la sede central y de las localidades, se les alerta a que presenten las liquidaciones de los contratos que supervisan dentro del termino estipulado en los respectivos contratos. Con estas acciones se busca liberar, pagar y recuperar recursos como evitar que la entidad pierda competencia para liquidar. Se anexa soportes de los correos enviados.</t>
  </si>
  <si>
    <t>20/04/2022 Se tiene la siguiente observación: por favor especificar las alertas que fueron remitidas en el periodo y cuantas alertas fueron programadas en el período.
20/04/2022 No se generan ninguna otra observación o recomendación respecto a los avances y evidencias presentados en el monitoreo al riesgo de gestión.</t>
  </si>
  <si>
    <t xml:space="preserve">El grupo de liquidaciones realizó una jornada el 16 de mayo de 2022, de asunto: "Socialización manual de terminación, liquidaciones de contratos y convenios" dirigidos a los ordenadores del gasto y a los supervisores de la sede central y de las localidades, se genera alerta para presentación de  liquidaciones de los contratos que supervisan dentro del termino estipulado en los respectivos contratos. Con estas acciones se busca liberar, pagar y recuperar recursos como evitar que la entidad pierda competencia para liquidar.
Nota: en el primer monitoreo realizado, el avance registrado correspondió al avance respecto a la meta para la vigencia. </t>
  </si>
  <si>
    <t>14/07/2022 No se generan observaciones o recomendaciones respecto a los avances y evidencias presentados en el monitoreo al riesgo de gestión.</t>
  </si>
  <si>
    <t>Desde el equipo de liquidaciones, se enviaron correos de alerta a los ordenadores del gasto y supervisores durante los meses de julio, agosto y septiembre. Así mismo, se remitieron memorandos indicando los tiempos para radicar la solicitud de liquidación al grupo de liquidaciones de la Subdirección de Contratación. Así:
* Julio: 1 memorando 05/07/2022
* Agosto: 1 memorando 11/08/2022, 1 correo electrónico 12/08/2022
* Septiembre: 30 correos electrónicos 15/09/2022, 1 memorando 14/09/2022.
Dando cumplimiento a las alertas no enviadas en el mes de junio.</t>
  </si>
  <si>
    <t>14/09/2022 No se generan observaciones o recomendaciones respecto a los avances y evidencias presentados en el monitoreo al riesgo de gestión.</t>
  </si>
  <si>
    <t>Identificar los lineamientos y requisitos legales a utilizar según los procesos contractuales que se manejen en la entidad</t>
  </si>
  <si>
    <t>R-GEC-002</t>
  </si>
  <si>
    <t xml:space="preserve">Deficiencia en el cargue de la información derivada de la ejecución del proceso contractual, durante el ejercicio de la supervisión y/o interventoría </t>
  </si>
  <si>
    <t>Posibilidad de ejercer una indebida supervisión en los contratos o convenios, debido a que las áreas técnicas no realizan el cargue de la información contractual en cada uno de los expedientes que soportan la ejecución de los procesos de la entidad</t>
  </si>
  <si>
    <t xml:space="preserve">El líder del proceso de Gestión Contractual socializa semestralmente con los diferentes supervisores o apoyos a la supervisiones,  las directrices y lineamientos oficiales y vigentes referente a la contratación institucional, documentación de los expedientes, así como los posibles incumplimientos cuando a ello hubiere lugar, según lo evidenciado en la supervisión, con el propósito de se realice un adecuado cargue de información contractual.
En caso de no poder hacer la socialización se enviará memorando con los documentos a cargar en la supervisión contractual.
Como evidencia se cuenta con registro de las socializaciones realizadas (presentaciones, actas, listados de asistencias, entre otras) o memorando remitidos. </t>
  </si>
  <si>
    <t xml:space="preserve">El líder del proceso de Gestión Contractual socializa semestralmente con los diferentes supervisores o apoyos a la supervisiones, las directrices y lineamientos oficiales y vigentes referente a la contratación institucional, documentación de los expedientes, así como los posibles incumplimientos cuando a ello hubiere lugar, según lo evidenciado en la supervisión, con el propósito que se realice un adecuado cargue de información contractual.
En caso de no poder hacer la socialización se enviará memorando con los documentos a cargar en la supervisión contractual.
Como evidencia se cuenta con registro de las socializaciones realizadas (presentaciones, actas, listados de asistencias, entre otras) o memorando remitidos. </t>
  </si>
  <si>
    <r>
      <t xml:space="preserve">Líder del proceso 
</t>
    </r>
    <r>
      <rPr>
        <strike/>
        <sz val="10"/>
        <rFont val="Arial"/>
        <family val="2"/>
      </rPr>
      <t xml:space="preserve">
</t>
    </r>
  </si>
  <si>
    <t>(Número de socializaciones ejecutadas en el periodo / Número de socializaciones programadas en el periodo)*100</t>
  </si>
  <si>
    <t>La Subdirección de Contratación en articulación con la Dirección Poblacional, realizo la socialización de Buenas Prácticas de Supervisión a persona jurídica. Esta se llevo a cabo el día 24 de marzo y contó con la participación de 67 colaboradores de la Dirección Poblacional.</t>
  </si>
  <si>
    <t>20/04/2022 No se generan observaciones o recomendaciones respecto a los avances y evidencias presentados en el monitoreo al riesgo de gestión.</t>
  </si>
  <si>
    <t>La Subdirección de Contratación en articulación con la Dirección Poblacional, realizó dos jornadas de socialización de buenas prácticas de supervisión de contratos de persona jurídica. La socialización  se dividió en bloques por temas: el 11 de mayo, contó con participación de 60 colaboradores y el 17 de mayo contó con la participación de 210 colaboradores de la Entidad.
Teniendo en cuenta que la meta es una por semestre y ya se había reportado el avance acumulado continua en un 50%, correspondiente al primer semestre 2022.</t>
  </si>
  <si>
    <t>Desde la Subdirección de Contratación, se lideró la realización de una jornada de socialización de Instructivo de supervisión y apoyo a la supervisión, llevada a cabo el 28 de septiembre de 2022. 
Se presenta como evidencia listado de asistencia con link de la grabación.</t>
  </si>
  <si>
    <t>R-GEC-003</t>
  </si>
  <si>
    <t>Desconocimiento por parte de las dependencias de los procedimientos establecidos para el control de riesgos asociados a la contratación</t>
  </si>
  <si>
    <t>Posibilidad de no incluir los riesgos de los procesos contractuales en la matriz de riesgos previsibles inherentes a la compra o contratación de bienes y/o servicios de supervisión, ya que estos pueden generar efectos adversos y de distinta magnitud en el logro de los objetivos del proceso contractual</t>
  </si>
  <si>
    <t>Cada vez que las dependencias inician un proceso de contratación, remiten la solicitud del aval de la respectiva matriz de riesgos previsibles inherentes a la compra o contratación de bienes y/o servicios, a los profesionales designados en la Subdirección de Contratación de acuerdo con lo definido en el "Procedimiento Administración de riesgos previsibles inherentes a la compra o contratación de bienes o servicios (PCD-GEC-007)", quienes revisan y avalan que los ordenadores de gasto hayan realizado un análisis de los posibles eventos que se puedan presentar en desarrollo de las actividades contratadas, con el propósito de identificar riesgos inherentes a la contratación y realizar el buen ejercicio de la supervisión.
En caso que las áreas radiquen un proceso sin la matriz de riesgos avalada, se procede con la devolución de la misma para que se surta con este trámite.
Como evidencia se cuenta con los correos electrónicos de aval y una matriz de consolidado trimestral con la relación de solicitudes y avales generados.</t>
  </si>
  <si>
    <t>Profesional designado en la Subdirección de Contratación</t>
  </si>
  <si>
    <r>
      <t xml:space="preserve">
</t>
    </r>
    <r>
      <rPr>
        <sz val="10"/>
        <color theme="1"/>
        <rFont val="Arial"/>
        <family val="2"/>
      </rPr>
      <t>(N° de matrices avaladas en el periodo / N° de solicitudes de matrices recibidas</t>
    </r>
    <r>
      <rPr>
        <sz val="10"/>
        <rFont val="Arial"/>
        <family val="2"/>
      </rPr>
      <t xml:space="preserve"> en el periodo) *100%
</t>
    </r>
    <r>
      <rPr>
        <sz val="10"/>
        <color theme="1"/>
        <rFont val="Arial"/>
        <family val="2"/>
      </rPr>
      <t>Nota: debido a que la actividad se ejecuta a demanda, la meta para cada trimestre es del 100%</t>
    </r>
    <r>
      <rPr>
        <sz val="10"/>
        <color rgb="FF7030A0"/>
        <rFont val="Arial"/>
        <family val="2"/>
      </rPr>
      <t>.</t>
    </r>
  </si>
  <si>
    <t>La Subdirección de contratación en el primer trimestre realizó el  aval de dos matrices de riesgo de servicios especializados,  de acuerdo con la radicado por la Subdirección administrativa y financiera.</t>
  </si>
  <si>
    <t>La Subdirección de Contratación en el segundo trimestre 2022, realizó el aval de trece matrices de riesgo de servicios, como parte de la revisión integral a los procesos contractuales.</t>
  </si>
  <si>
    <t>Durante el tercer trimestre (julio agosto y septiembre) del 2022, se radicaron a la Subdirección de Contratación de un total de 100 procesos iniciales, de los cuales 94 han surtido el trámite completo, es decir se les realizo el correspondiente control de legalidad, lo que significa una revisión integral de todos los documentos del proceso, entre los cuales se encuentra la matriz de riesgo, es de anotar, que los 96 trámites fueron estudiados y aprobados por el comité de contratación y posteriormente la subdirección de contratación efectuó su trámite final en la plataforma de SECOP II, así las cosas, se tiene como resultado un 94% de matrices revisadas en el marco del control de legalidad.
Nota: La Subdirección de Contratación actualmente adelanta una revisión integral a la solicitud de contratación y no únicamente a la matriz de riesgos. Dando un control de legalidad y no aprobación a la matriz de riesgos, por lo tanto se identificó la necesidad de actualizar el riesgo.</t>
  </si>
  <si>
    <t>14/09/2022 No se generan observaciones respecto a los avances y evidencias presentados en el monitoreo al riesgo de gestión. Se deja la siguiente recomendación: realizar las gestiones pertinentes para la actualización del riesgo, en coherencia en lo establecido en el procedimiento Administración de riesgos previsibles inherentes a la compra o contratación de bienes o servicios PCD-GEC-007.</t>
  </si>
  <si>
    <t>Gestión Financiera</t>
  </si>
  <si>
    <t xml:space="preserve">Gestionar las acciones presupuestales, financieras y contables, garantizando el suministro de bienes y servicios necesarios para dar cumplimiento al objeto social de la entidad. </t>
  </si>
  <si>
    <t>Realizar los tramites relacionados con los certificados de disponibilidad y registro presupuestal</t>
  </si>
  <si>
    <t>R-GF-003</t>
  </si>
  <si>
    <t>Incorporación de manera individual o masiva de las transacciones presupuestales en dos sistemas de información (Secretaría Distrital de Integración Social - Secretaría Distrital de Hacienda).</t>
  </si>
  <si>
    <t>Posibilidad de afectación incorrecta del presupuesto de la SDIS por un mal registro o ausencia de registro de las transacciones presupuestales en los diferentes sistemas de información, generando diferencia en la información presupuestal reportada.</t>
  </si>
  <si>
    <t>Financiero</t>
  </si>
  <si>
    <r>
      <t>Cuando se requiere realizar un cargue masivo de información de CDP´s y CRP´s en el sistema SEVEN debido a la demanda de información a registrar, el profesional del grupo de presupuesto</t>
    </r>
    <r>
      <rPr>
        <sz val="10"/>
        <color theme="4"/>
        <rFont val="Arial"/>
        <family val="2"/>
      </rPr>
      <t xml:space="preserve"> </t>
    </r>
    <r>
      <rPr>
        <sz val="10"/>
        <rFont val="Arial"/>
        <family val="2"/>
      </rPr>
      <t>designado por el Subdirector Administrativo y Financiero, descarga reportes de CDP´s y CRP´s del sistema BogDATA y reportes de solicitudes de CDP´s y de CRP´s del sistema SEVEN, además de verificar la información de los documentos (CDP´s: se valida N° radicado, valor, proyecto, concepto de gasto y fuente de financiación y para los CRP´s: valor, concepto de gasto y fuente de financiación) con el propósito de identificar posibles errores. En caso que se identifiquen errores, se realiza la corrección inmediata con el fin de tener la misma información presupuestal en los aplicativos BogDATA y SEVEN.
Como evidencia se cuenta con los reportes de BogDATA y SEVEN, el archivo en excel final para cargue masivo en SEVEN, y el archivo en excel (el cual es diligenciado en el drive) con la trazabilidad de las correcciones.</t>
    </r>
  </si>
  <si>
    <t>Profesional del grupo de presupuesto designado por el Subdirector Administrativo y Financiero</t>
  </si>
  <si>
    <t>(# de cargues masivos verificados acumulados / # total de cargues masivos realizados acumulados)*100</t>
  </si>
  <si>
    <t>Para el 1er trimestre el área de presupuesto ha realizado 33 cargues de CDPS masivos, que corresponden a 21 en el mes de enero, 5 en el mes de febrero y 7  para el mes de marzo, los cuales fueron validados en los aplicativos de BogData y Seven, verificando que la información haya quedado incorporada en su totalidad en las herramientas financieras.</t>
  </si>
  <si>
    <t>Para el 2do trimestre el área de presupuesto ha realizado 30 cargues de CDPS masivos, que corresponden a 5 en el mes de abril, 8 en el mes de mayo y 17 para el mes de junio, los cuales fueron validados en los aplicativos de BogData y Seven, verificando que la información haya quedado incorporada en su totalidad en las herramientas financieras.</t>
  </si>
  <si>
    <t>Para el 3er trimestre el área de presupuesto ha realizado 17 cargues de CDPS masivos, que corresponden a 5 en el mes de julio, 4 en el mes de agosto y 8 para el mes de septiembre, los cuales fueron validados en los aplicativos de BogData y Seven, verificando que la información haya quedado incorporada en su totalidad en las herramientas financieras.</t>
  </si>
  <si>
    <t xml:space="preserve">07/10/2022: No se presentan observaciones al reporte y evidencias enviados. </t>
  </si>
  <si>
    <t>Registro incorrecto o ausencia de registro de las transacciones presupuestales en los diferentes sistemas de información.</t>
  </si>
  <si>
    <t>Diariamente, el profesional del grupo de financiera designado por el Subdirector Administrativo y Financiero confronta la información cargada en los aplicativos SEVEN y BogDATA con la documentación de CDP´s y CRP´s (solicitudes, CDP´s y CRP´s del sistema BogDATA, documentación contractual) con el propósito de identificar posibles errores. En caso que se identifiquen errores, se realiza la corrección inmediata con el fin de tener la misma información presupuestal en los aplicativos BogDATA y SEVEN. 
Como evidencia se cuenta con un archivo en excel (el cual es diligenciado en el drive) donde se registra la trazabilidad de los resultados de las revisiones de cada día.</t>
  </si>
  <si>
    <t>Profesional del grupo de financiera designado por el Subdirector Administrativo y Financiero</t>
  </si>
  <si>
    <t xml:space="preserve">(# de documentos (CDP´s y CRP´s) revisados en el trimestre / # de documentos (CDP´s y CRP´s) tramitados de forma manual en el trimestre) * 100 </t>
  </si>
  <si>
    <t>Para el 1er trimestre el área de presupuesto tramitó 8.184 documentos (CDPS y CRPS), discriminados así: en el mes de enero 3.261, febrero 2.493 y marzo 2.430, los cuales fueron revisados en su totalidad y cuyos resultados se encuentran en las evidencias adjuntas.</t>
  </si>
  <si>
    <t>Para el 2do trimestre el área de presupuesto tramitó 4.360 documentos (CDPS y CRPS), discriminados así: en el mes de abril 1.616, mayo 1.668 y junio 1.076, los cuales fueron revisados en su totalidad y cuyos resultados se encuentran en las evidencias adjuntas.</t>
  </si>
  <si>
    <t>Para el 3er trimestre el área de presupuesto tramitó 8.510 documentos (CDPS y CRPS), discriminados así: en el mes de julio 2.728, agosto 3.642 y septiembre 2.140, los cuales fueron revisados en su totalidad y cuyos resultados se encuentran en las evidencias adjuntas.</t>
  </si>
  <si>
    <t>Mensualmente, el profesional del grupo de Financiera designado por el Subdirector Administrativo y Financiero, realiza conciliación entre los sistemas de información SEVEN y BOGDATA, con el fin de identificar diferencias presupuestales. En caso que se encuentren diferencias se realiza la corrección en el aplicativo a que haya lugar. 
Como evidencia se cuenta con un archivo en excel donde se registran las conciliaciones realizadas y los resultados de estas.</t>
  </si>
  <si>
    <t>(# de conciliaciones elaboradas en el trimestre / # de conciliaciones programadas, en el trimestre) * 100</t>
  </si>
  <si>
    <t>Para el 1er trimestre el área de presupuesto ha realizado los cierres mensuales de CRPS y CDPS, cuyas diferencias han sido conciliadas y ajustadas oportunamente con el área correspondiente.
De las 6 conciliaciones programadas en el trimestre, estas fueron realizadas en su totalidad, cuyos resultados se encuentran en las evidencias adjuntas.</t>
  </si>
  <si>
    <t>Para el 2do trimestre el área de presupuesto ha realizado los cierres mensuales de CRPS y CDPS, cuyas diferencias han sido conciliadas y ajustadas oportunamente con el área correspondiente.
De las 6 conciliaciones programadas en el trimestre, estas fueron realizadas en su totalidad, cuyos resultados se encuentran en las evidencias adjuntas.</t>
  </si>
  <si>
    <t>Para el 3er trimestre el área de presupuesto ha realizado los cierres mensuales de CRPS y CDPS, cuyas diferencias han sido conciliadas y ajustadas oportunamente con el área correspondiente.
De las 6 conciliaciones programadas en el trimestre, estas fueron realizadas en su totalidad, cuyos resultados se encuentran en las evidencias adjuntas.</t>
  </si>
  <si>
    <t>Conciliar saldos de estados financieros con las áreas generadoras de información</t>
  </si>
  <si>
    <t>R-GF-004</t>
  </si>
  <si>
    <t>Reportes de información extemporáneos o inconsistentes por parte de las dependencias generadoras de información contable</t>
  </si>
  <si>
    <t xml:space="preserve">Posibilidad de presentación de Estados Financieros de la entidad no razonables y/o inoportunos debido al registro incorrecto o ausencia de registro de los hechos económicos, transacciones y operaciones en los estados financieros, generando así información errada frente a los hechos reales de la entidad. </t>
  </si>
  <si>
    <r>
      <t>El(la) contador(a) de la SDIS</t>
    </r>
    <r>
      <rPr>
        <strike/>
        <sz val="10"/>
        <rFont val="Arial"/>
        <family val="2"/>
      </rPr>
      <t xml:space="preserve"> </t>
    </r>
    <r>
      <rPr>
        <sz val="10"/>
        <rFont val="Arial"/>
        <family val="2"/>
      </rPr>
      <t xml:space="preserve"> mensualmente lidera la realización de las conciliaciones de información reportada por las dependencias de la entidad frente a los registros contables, con el propósito de identificar similitudes, inconsistencias y/o diferencias para unificar la información entre las áreas. En caso de encontrarse diferencias y con base en los soportes se realizan los ajustes en los estados financieros o en los reportes de las áreas generadoras de información contable. 
Como evidencia queda el registro de las conciliaciones suscritas por las partes en un archivo de excel. </t>
    </r>
  </si>
  <si>
    <t xml:space="preserve">
Contador(a) de la SDIS</t>
  </si>
  <si>
    <t>(# de conciliaciones elaboradas en el trimestre / # de conciliaciones programadas para el trimestre) * 100</t>
  </si>
  <si>
    <t xml:space="preserve">Para el 1er trimestre el área de contabilidad ha programado la elaboración de 38 conciliaciones de las cuales se logró efectuar 35 debido a que: 
- Las 3 restantes no fue posible realizarlas teniendo en cuenta que las áreas generadoras  no realizaron el correspondiente reporte. 
Es por ello que desde la Asesoría de recursos Financieros se envía mensualmente de manera personalizada (subdirector área responsable) correo recordatorio de la información que deben reportar y sus respectivos plazos. </t>
  </si>
  <si>
    <t xml:space="preserve">Para el 2do trimestre el área de contabilidad ha programado la elaboración de 44 conciliaciones de las cuales se logró efectuar 43 debido a que: 
- Una no fue posible realizarla teniendo en cuenta que el área generadora no realizó el correspondiente reporte. 
Es por ello que desde la Asesoría de recursos Financieros se envía mensualmente de manera personalizada (subdirector área responsable) correo recordatorio de la información que deben reportar y sus respectivos plazos. </t>
  </si>
  <si>
    <t xml:space="preserve">Para el 3er trimestre el área de contabilidad ha programado la elaboración de 46 conciliaciones de las cuales se logró efectuar 44 debido a que: 
Las 2 restantes no fue posible realizarlas teniendo en cuenta que las áreas generadoras no realizaron el correspondiente reporte. 
Es por ello que desde la Asesoría de recursos Financieros se envía mensualmente de manera personalizada (subdirector área responsable) correo recordatorio de la información que deben reportar y sus respectivos plazos. </t>
  </si>
  <si>
    <t>Definir los lineamientos y atender las necesidades de intervención de infraestructura a través de las modalidades de  construcción, modificación, ampliación, reforzamiento estructural  y/o mantenimiento de los equipamientos o predios administrados por la Secretaría Distrital de Integración Social, para la prestación de los servicios sociales.</t>
  </si>
  <si>
    <t>Formular plan acción institucional del proceso y proyecto de inversión</t>
  </si>
  <si>
    <t>R-GIF-001</t>
  </si>
  <si>
    <t>Posible incumplimiento en la ejecución de reservas constituidas para la vigencia.</t>
  </si>
  <si>
    <t>Posibilidad de afectación económica del proyecto de inversión, debido al castigo presupuestal por incumplimiento de la ejecución de las reservas constituidas en la vigencia fiscal y aumento de los pasivos exigibles con respecto al periodo fiscal inmediatamente anterior.</t>
  </si>
  <si>
    <t>La coordinación del área administrativa y financiera de la Subdirección de Plantas Físicas elabora y presenta bimestralmente el estado de la ejecución presupuestal del proyecto de inversión a cargo. Este informe debe ser socializado en reunión de coordinadores de la Subdirección, con el fin de que se analice y tomen decisiones que permitan generar acciones que minimicen la posibilidad de no ejecución de las reservas constituidas y aumentar los pasivos exigibles con respecto a los constituidos en la vigencia inmediatamente anterior. Las fuentes de información utilizadas son los reportes del sistema financiero de la entidad.
En caso de no socializar el informe en el periodo por no presentarse reuniones, se socializará en la siguiente reunión de coordinadores de la Subdirección, dejando como evidencia el acta de reunión o presentación de información.</t>
  </si>
  <si>
    <t>Coordinación Administrativa y Financiera de la Subdirección de Plantas Físicas</t>
  </si>
  <si>
    <t>(# informes presentados / # de informes programados) * 100</t>
  </si>
  <si>
    <t xml:space="preserve">La Subdirección de Plantas Físicas, programó y ejecutó una reunión de presentación del informe de avance físico y presupuestal del primer bimestre del año 2022 (enero - febrero) a través de reunión realizada a la Dirección Corporativa con el subdirector y los coordinadores de la Subdirección de Plantas Físicas, así como también se elaboró informe de gestión del proyecto con corte del mes de enero de 2022.
Evidencias:
Informe con corte 11 de febrero en documento power point.
Informe de gestión del proyecto de inversión en enero 2022.
Convocatoria presentación metas del proyecto 7565 _ Febrero 2022
</t>
  </si>
  <si>
    <t>11/04/2022 Se recomienda verificar el avance y evidencias reportadas, ya que según la actividad de control los informes se presentan bimestralmente (cada 2 meses), así mismo, se esta presentando una gestión que se realizó posterior al trimestre de monitoreo (1/01 a 31/03).
20/04/2022 Se recalca la recomendación de presentar avances y evidencias que se realicen dentro del tiempo de monitoreo (31/03/2022). Adicionalmente, se recomienda verificar la actividad de control establecida, ya que se indica que se deben elaborar y presentar bimestralmente el estado de la ejecución presupuestal del proyecto de inversión y este debe ser socializado en reunión de coordinadores de la Subdirección, pero se adjuntan como evidencia soportes trimestrales y de la gestión realizada en la vigencia 2021. Dado lo anterior se recomienda verificar el nivel de avance reportado.
21/04/2022 No se generan observaciones o recomendaciones respecto a los avances y evidencias presentados en el monitoreo al riesgo de gestión.</t>
  </si>
  <si>
    <t>La Subdirección de Plantas Físicas, durante el trimestre programó y ejecutó una (1) reunión de socialización del avance físico y presupuestal con corte al mes de mayo de 2022, realizada con el subdirector y los coordinadores de la Subdirección de Plantas Físicas, en donde se adelantó la revisión integral del estado de avance de ejecución presupuestal del proyecto de inversión 7565 en lo corrido de la vigencia 2022 (vigencia, reservas y pasivos), de la cual se adjunta evidencia, dando así cumplimiento a lo establecido en la acción de control.
Es necesario mencionar que, las reuniones programadas se han realizado de conformidad con lo programado durante la vigencia, en virtud de las dinámicas y situaciones presentadas en la Subdirección de Plantas Físicas, sin perjuicio de incumplimiento de la actividad de control establecida.
Evidencias:
Informe ejecución de proyecto de inversión con corte a 30 de mayo 2022 en documento power point.
Acta de reunión realizada el 21 de junio de 2022, correspondiente al avance de ejecución del proyecto con corte del mes de mayo 2022.</t>
  </si>
  <si>
    <r>
      <t xml:space="preserve">11/07/2022 Se recomienda verificar el avance reportado, debido a que según la formulación se debe </t>
    </r>
    <r>
      <rPr>
        <i/>
        <sz val="10"/>
        <rFont val="Arial"/>
        <family val="2"/>
      </rPr>
      <t>elaborar y presentar bimestralmente el estado de la ejecución presupuestal del proyecto de inversión a cargo,</t>
    </r>
    <r>
      <rPr>
        <sz val="10"/>
        <rFont val="Arial"/>
        <family val="2"/>
      </rPr>
      <t xml:space="preserve"> por lo que a la fecha se deberían haber ejecutado 3 y se reportan 2, tanto en la descripción como en las evidencias.
12/07/2022 De acuerdo a lo indicado por el proceso, se recomienda indicar en el avance la justificación del porque no se han realizado las socializaciones con la periodicidad definida en la actividad de control, así mismo indicar en que momento se elaboró y presentó el estado de la ejecución presupuestal del proyecto de inversión, de lo gestionado entre febrero (a partir del 11), marzo, abril y junio.
13/07/2022 No se generan observaciones o recomendaciones adicionales, respecto a los avances y evidencias presentados en el monitoreo al riesgo de gestión.</t>
    </r>
  </si>
  <si>
    <t>La Subdirección de Plantas Físicas, durante el trimestre programó y ejecutó una (1) reunión de socialización del avance físico y presupuestal con corte al mes de julio, agosto de 2022, realizada con la subdirectora y los coordinadores de la Subdirección de Plantas Físicas, en donde se adelantó la revisión integral del estado de avance de ejecución presupuestal del proyecto de inversión 7565 en lo corrido de la vigencia 2022 (vigencia, reservas y pasivos), de la cual se adjunta evidencia, dando así cumplimiento a lo establecido en la acción de control.
Evidencias:
Informe ejecución de proyecto de inversión con corte a julio, agosto 2022 en documento power point.
Acta de reunión realizada con corte julio, agosto de 2022, correspondiente al avance de ejecución del proyecto de inversión.</t>
  </si>
  <si>
    <t>18/10/2022 No se generan observaciones o recomendaciones  respecto a los avances y evidencias presentados en el monitoreo al riesgo de gestión.</t>
  </si>
  <si>
    <t>Realizar la priorización y programación de las intervenciones de mantenimiento, que requieran los equipamientos administrados por la SDIS.</t>
  </si>
  <si>
    <t>R-GIF-002</t>
  </si>
  <si>
    <t>Recursos insuficientes para la realización de mantenimiento preventivos y correctivos a los equipamientos administrados por la SDIS.</t>
  </si>
  <si>
    <t>Posibilidad de afectación económica y reputacional por el incumplimiento de los estándares de infraestructura, debido a baja asignación de recursos para la intervención en modalidad de mantenimiento preventivo y correctivo de los equipamientos administrados por la SDIS.</t>
  </si>
  <si>
    <t>La coordinación del área de optimización de infraestructura/mantenimiento de la Subdirección de Plantas Físicas adelanta la priorización de intervenciones de mantenimiento para las unidades operativas administradas por la SDIS según necesidad presentada por las áreas misionales o técnicas de la Entidad y los recursos asignados para cada vigencia. Para organizar las intervenciones, elabora un cronograma con el fin de no generar afectaciones en la prestación del servicio en la unidad operativa a intervenir, ésta actividad se realiza hasta cubrir todas las unidades operativas.
Evidencia: un cronograma.
En caso de presentarse desviaciones o incumplimientos para la realización de intervenciones se debe realizar la actualización de dicho cronograma e informar a la Subdirección Local de la unidad operativa a través de correo electrónico de la nueva fecha de intervención, dejando como evidencia cronograma ajustado y/o correo electrónico enviado.</t>
  </si>
  <si>
    <t>Coordinación de Optimización de Infraestructura de la Subdirección de Plantas Físicas</t>
  </si>
  <si>
    <t>1 cronograma</t>
  </si>
  <si>
    <t>Se elaboró cronograma de intervenciones para las unidades operativas priorizadas en la atención de mantenimiento de infraestructura para el primer trimestre del año 2022.
Evidencia:
Cronograma de mantenimiento primer trimestre del año 2022.</t>
  </si>
  <si>
    <t>11/04/2022 Se recomienda diligenciar completamente los formatos relacionados (firmas).
20/04/2022 No se generan observaciones o recomendaciones respecto a los avances y evidencias presentados en el monitoreo al riesgo de gestión.</t>
  </si>
  <si>
    <t>Se elaboró y ejecutó el cronograma de intervención para los 31 equipamientos administrados por la SDIS priorizados para el segundo trimestre del año 2022, en modalidad de intervención en mantenimiento preventivo y correctivo de infraestructura.
Evidencia:
Cronograma de intervenciones de mantenimiento por localidades, correspondiente al segundo trimestre del año 2022, el cual contiene información de fecha de intervención, actividades y profesional a cargo</t>
  </si>
  <si>
    <t>11/07/2022 Se recomienda ser más explícitos en la descripción del avance, por ejemplo: indicar si el cronograma se ha implementado a cabalidad, cuantas intervenciones se programaron, cuantas se realizaron, entre otras, esto en concordancia con las observaciones realizadas al diseño de control, durante el cierre del I trimestre.
13/07/2022 No se generan observaciones o recomendaciones adicionales, respecto a los avances y evidencias presentados en el monitoreo al riesgo de gestión.</t>
  </si>
  <si>
    <t>Se elaboró y ejecutó el cronograma de intervención para 42 equipamientos administrados por la SDIS priorizados para el tercer trimestre del año 2022, en modalidad de intervención en mantenimiento preventivo y correctivo de infraestructura.
Evidencia:
Cronograma de intervenciones de mantenimiento por localidades, correspondiente al tercer trimestre del año 2022, el cual contiene información de fecha de intervención, actividades y profesional a cargo</t>
  </si>
  <si>
    <t>Gestión Ambiental</t>
  </si>
  <si>
    <t>Promover la protección y conservación del ambiente, brindando las herramientas y el apoyo necesario para la planificación, implementación, seguimiento, control y reporte de la gestión ambiental institucional, aportando al mejoramiento continuo del desempeño ambiental de los procesos y servicios sociales de la Secretaria Distrital de Integración Social - SDIS, en cumplimiento de la normativa ambiental vigente.</t>
  </si>
  <si>
    <t>Realizar la verificación del cumplimiento de los lineamientos ambientales en cada unidad operativa bajo el plan de intervención ambiental.</t>
  </si>
  <si>
    <t>R-GA-001</t>
  </si>
  <si>
    <t>Falta de conocimiento y apropiación en la gestión y manejo de los residuos aprovechables en la SDIS.</t>
  </si>
  <si>
    <t>Posibilidad de que no se reciclen los residuos aprovechables en el desarrollo misional de la entidad por la mala disposición de los mismos en los contenedores dispuestos para la separación en la fuente.</t>
  </si>
  <si>
    <t>Ambiental</t>
  </si>
  <si>
    <t xml:space="preserve">1. Anualmente, los gestores ambientales y referentes ambientales técnicos, realizan seguimiento a la implementación del Plan de acción interno para el aprovechamiento eficiente de los residuos sólidos - PAIPAERS en las unidades operativas mediante la metodología de intervención ambiental de la entidad, con el propósito de socializar los lineamientos ambientales, valorar la implementación del lineamiento y, en caso de identificar una desviación, subsanar los posibles incumplimientos y consolidar las necesidades que apliquen. Como evidencia se tiene el acta de intervención, informe de intervención y lista de asistencia de intervención. </t>
  </si>
  <si>
    <t>Gestores ambientales locales - Referentes ambientales técnicos.</t>
  </si>
  <si>
    <t>(Número de unidades operativas con seguimiento a la implementación del PAIPAERS bajo intervención ambiental / Número de unidades operativas de la entidad programadas por año) * 100</t>
  </si>
  <si>
    <t>100% de unidades operativas intervenidas de acuerdo con la programación por año</t>
  </si>
  <si>
    <t>Se remite las 184 actas de intervención ambiental con sus respectivas listas de asistencia de las 727 programadas en el 2022, donde se puede evidenciar el seguimiento al cumplimiento e implementación del PAIPAERS. Estas intervenciones se adelantaron de la siguiente manera: 64 unidades operativas visitadas en el mes de febrero y 120 en el mes de marzo.</t>
  </si>
  <si>
    <t>22/04/2022. No se generan observaciones por parte de la segunda línea de defensa, respecto a los avances y evidencias presentados en el monitoreo al riesgo de gestión.</t>
  </si>
  <si>
    <t>Se remiten para este trimestre las 383 actas de intervención ambiental desarrolladas con sus respectivas listas de asistencia. Sumadas a las 184 del anterior trimestre, se tienen 567 de las 728 programadas en el 2022, en las cuales se puede evidenciar el seguimiento al cumplimiento e implementación del PAIPAERS. Las intervenciones de este trimestre se adelantaron de la siguiente manera: 136 unidades operativas visitadas en el mes de abril, 143 en el mes de mayo y 104 en el mes de junio.</t>
  </si>
  <si>
    <t>19/07/2022. No se generan observaciones por parte de la segunda línea de defensa, respecto a los avances y evidencias presentados en el monitoreo al riesgo de gestión.</t>
  </si>
  <si>
    <t>Se remiten para este trimestre las 94 actas de intervención ambiental desarrolladas con sus respectivas listas de asistencia. Sumadas a las 567 de los anteriores trimestres, se tiene un total de 661 intervenciones desarrolladas, de las 661 programadas a las unidades activas a la fecha. En estas visitas se pudo evidenciar el seguimiento al cumplimiento e implementación del PAIPAERS. Las intervenciones de este trimestre se adelantaron de la siguiente manera:  36 unidades operativas visitadas en el mes de julio, 48 en el mes de agosto y 10 en el mes de septiembre.</t>
  </si>
  <si>
    <t>10/10/2022. No se generan observaciones por parte de la segunda línea de defensa, respecto a los avances y evidencias presentados en el monitoreo al riesgo de gestión.</t>
  </si>
  <si>
    <t>2.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el manejo integral de los residuos aprovechables en los contratos que les aplique. Como evidencia queda el correo electrónico con la trazabilidad de la solicitud y respuesta.
En caso de que no se realice la inclusión de las cláusulas ambientales, el área solicitante reitera la solicitud hasta que el responsable del área de gestión ambiental genere la respuesta.</t>
  </si>
  <si>
    <t>Líder del programa de consumo sostenible del PIGA.</t>
  </si>
  <si>
    <t>(Número de contratos con cláusulas ambientales / Número de contratos remitidos al área de gestión ambiental) * 100</t>
  </si>
  <si>
    <t>100% de contratos con cláusulas ambientales remitidos al área ambiental</t>
  </si>
  <si>
    <t>Se remite la matriz de inclusión de cláusulas ambientales del primer trimestre del año, donde se informa por mes las cláusulas incluidas en los 13 procesos precontractuales, de conformidad con las 13 solicitudes realizadas al equipo de gestión ambiental. Adicionalmente, se remiten cada uno de los correos electrónicos de solicitud y respuesta de la inclusión de las cláusulas ambientales y los anexos técnicos y/o estudios previos. Es importante resaltar que las cláusulas ambientales incluidas para los soportes de este riesgo, aplican para el manejo integral de los residuos aprovechables en los diferentes procesos precontractuales.
Es importante resaltar que a la fecha de corte se dio respuesta al 100% de solicitudes de inclusión de cláusulas ambientales.</t>
  </si>
  <si>
    <t>Se remite la matriz de inclusión de cláusulas ambientales del segundo trimestre del año, en la cual se informa por mes las cláusulas incluidas en los procesos precontractuales, de conformidad con las solicitudes realizadas al equipo de gestión ambiental. Adicionalmente, se remiten cada uno de los correos electrónicos de solicitud y respuesta de la inclusión de las cláusulas ambientales y los anexos técnicos y/o estudios previos. Es importante resaltar que las cláusulas ambientales incluidas como soportes de la ejecución del control de este riesgo, aplican para el manejo integral de los residuos aprovechables en los diferentes procesos precontractuales.
Es importante resaltar que a la fecha de reporte se le ha dado respuesta al 100% de solicitudes de inclusión de cláusulas ambientales.</t>
  </si>
  <si>
    <t>Se remite la matriz de inclusión de cláusulas ambientales del tercer trimestre del año, en la cual se informa por mes las cláusulas incluidas en los procesos precontractuales, de conformidad con las solicitudes realizadas al equipo de gestión ambiental. Adicionalmente, se remiten cada uno de los correos electrónicos de solicitud y respuesta de la inclusión de las cláusulas ambientales y los anexos técnicos y/o estudios previos. Es importante resaltar que las cláusulas ambientales incluidas como soportes de la ejecución del control de este riesgo, aplican para el manejo integral de los residuos aprovechables en los diferentes procesos precontractuales.
Es importante resaltar que a la fecha de reporte se le ha dado respuesta al 100% de solicitudes de inclusión de cláusulas ambientales.</t>
  </si>
  <si>
    <t>R-GA-002</t>
  </si>
  <si>
    <t>No se remiten al equipo de gestión ambiental las solicitudes de inclusión de cláusulas ambientales.</t>
  </si>
  <si>
    <t>Posibilidad de que se aumente la generación de residuos no aprovechables en el desarrollo misional de la entidad por la no inclusión e implementación de cláusulas ambientales.</t>
  </si>
  <si>
    <t>20% - Leve</t>
  </si>
  <si>
    <t>1.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la sustitución, cambio y/o uso de material reciclable por no aprovechable en los contratos que les aplique. Como evidencia queda el correo electrónico con la trazabilidad de la solicitud y respuesta. En caso de  que no se realice la inclusión de las cláusulas ambientales, el área solicitante reitera la solicitud hasta que el responsable del área de gestión ambiental genere la respuesta.</t>
  </si>
  <si>
    <t>100% de contratos con cláusulas ambientales, remitidos al área ambiental</t>
  </si>
  <si>
    <t>Se remite la matriz de inclusión de cláusulas ambientales del primer trimestre del año, donde se informa por mes las cláusulas incluidas en los 13 procesos precontractuales, de conformidad con las 13 solicitudes realizadas al equipo de gestión ambiental. Adicionalmente, se remite cada uno de los correos electrónicos de solicitud y respuesta de la inclusión de las cláusulas ambientales y los anexos técnicos y/o estudios previos. Es importante resaltar que las cláusulas ambientales incluidas para los soportes de este riesgo, aplica para la sustitución, cambio y/o uso de material reciclable por no aprovechable en los diferentes procesos precontractuales.
Es importante resaltar que a la fecha de corte se dio respuesta al 100% de solicitudes de inclusión de cláusulas ambientales.</t>
  </si>
  <si>
    <t>Se remite la matriz de inclusión de cláusulas ambientales del segundo trimestre del año, en la cual se informa por mes las cláusulas incluidas en los procesos precontractuales, de conformidad con las solicitudes realizadas al equipo de gestión ambiental. Adicionalmente, se remiten cada uno de los correos electrónicos de solicitud y respuesta de la inclusión de las cláusulas ambientales y los anexos técnicos y/o estudios previos. Es importante resaltar que las cláusulas ambientales incluidas como soportes de la ejecución del control de este riesgo, aplican para la sustitución, cambio y/o uso de material reciclable por no aprovechable en los diferentes procesos precontractuales.
Es importante resaltar que a la fecha de reporte se le ha dado respuesta al 100% de solicitudes de inclusión de cláusulas ambientales.</t>
  </si>
  <si>
    <t>Se remite la matriz de inclusión de cláusulas ambientales del tercer trimestre del año, en la cual se informa por mes las cláusulas incluidas en los procesos precontractuales, de conformidad con las solicitudes realizadas al equipo de gestión ambiental. Adicionalmente, se remiten cada uno de los correos electrónicos de solicitud y respuesta de la inclusión de las cláusulas ambientales y los anexos técnicos y/o estudios previos. Es importante resaltar que las cláusulas ambientales incluidas como soportes de la ejecución del control de este riesgo, aplican para la sustitución, cambio y/o uso de material reciclable por no aprovechable en los diferentes procesos precontractuales.
Es importante resaltar que a la fecha de reporte se le ha dado respuesta al 100% de solicitudes de inclusión de cláusulas ambientales.</t>
  </si>
  <si>
    <t>2. Anualmente la líder del programa de consumo sostenible informa a las dependencia de la entidad a través de un mecanismo de comunicación, las directrices para la inclusión e implementación de cláusulas ambientales relacionadas con la potencialización del uso de materiales aprovechables. Como evidencia se cuenta con el registro de la comunicación envidada.
En caso de que no se remita la comunicación, se generan recordatorios de la inclusión de cláusulas en la reuniones de mesas ambientales.</t>
  </si>
  <si>
    <t>2. Anualmente la líder del programa de consumo sostenible informa a las dependencias de la entidad, a través de un mecanismo de comunicación, las directrices para la inclusión e implementación de cláusulas ambientales relacionadas con la potencialización del uso de materiales aprovechables. Como evidencia se cuenta con el registro de la comunicación envidada.
En caso de que no se remita la comunicación, se generan recordatorios de la inclusión de cláusulas en la reuniones de mesas ambientales.</t>
  </si>
  <si>
    <t>Comunicación enviada</t>
  </si>
  <si>
    <t>Una (1) comunicación enviada</t>
  </si>
  <si>
    <t>Se remite el memorando interno por el cual desde la Dirección Corporativa se comunica a las diferentes dependencias el proceso para la inclusión de obligaciones ambientales bajo la implementación del manual de compras verdes.
Es importante resaltar que se estableció como mecanismo de comunicación para la vigencia, el envío de tres productos: un memorando, una pieza informativa por correo masivo y el envío de un video.</t>
  </si>
  <si>
    <t>Las dos actividades restantes se adelantarán en el segundo semestre del año.</t>
  </si>
  <si>
    <t>Las dos actividades restantes se adelantarán en el cuarto trimestre del año.</t>
  </si>
  <si>
    <t>R-GA-003</t>
  </si>
  <si>
    <t>Falta de conocimiento y apropiación en la gestión y manejo de los residuos peligrosos, hospitalarios, especiales (colchones, llantas y/o escombros) en la SDIS.</t>
  </si>
  <si>
    <t>Posibilidad de que se lleve a cabo una inadecuada disposición de los residuos peligrosos, hospitalarios, especiales (colchones, llantas y/o escombros) por la no implementación de los lineamientos ambientales institucionales.</t>
  </si>
  <si>
    <t xml:space="preserve">1. Anualmente, los gestores ambientales y referentes ambientales técnicos, realizan seguimiento a la implementación del Plan de gestión integral de residuos peligrosos - PGIRP, Plan de gestión integral de residuos hospitalarios y similares - PGIRH, la generación y manejo de residuos especiales en las unidades operativas mediante la metodología de intervención ambiental de la entidad, con el propósito de socializar los lineamientos ambientales, valorar la implementación del lineamiento y en caso de identificar una desviación, subsanar los posibles incumplimientos y consolidar las necesidades que apliquen. Como evidencia se tiene el acta de intervención, informe de intervención y lista de asistencia de intervención. </t>
  </si>
  <si>
    <t>(Número de unidades operativas con seguimiento a la implementación del PGIRP, PGIRH y residuos especiales bajo intervención ambiental / Número de unidades operativas de la entidad programadas por año) * 100</t>
  </si>
  <si>
    <t>Se remite las 184 actas de intervención ambiental con sus respectivas listas de asistencia de las 727 programadas en el 2022, donde se puede evidenciar el seguimiento al cumplimiento e implementación del Plan de gestión integral de residuos peligrosos -PGIRP, Plan de gestión integral de residuos hospitalarios y similares -PGIRH, la generación y manejo de residuos especiales. Estas intervenciones se adelantaron de la siguiente manera: 64 unidades operativas visitadas en el mes de febrero y 120 en el mes de marzo.</t>
  </si>
  <si>
    <t>Se remiten para este trimestre las 383 actas de intervención ambiental desarrolladas con sus respectivas listas de asistencia. Sumadas a las 184 del anterior trimestre se tienen 567 de las 728 programadas en el 2022, en las cuales se puede evidenciar el seguimiento al cumplimiento e implementación del  Plan de gestión integral de residuos peligrosos -PGIRP, Plan de gestión integral de residuos hospitalarios y similares -PGIRH, la generación y manejo de residuos especiales. Las intervenciones de este trimestre se adelantaron de la siguiente manera: 136 unidades operativas visitadas en el mes de abril, 143 en el mes de mayo y 104 en el mes de junio.</t>
  </si>
  <si>
    <t>Se remiten para este trimestre las 94 actas de intervención ambiental desarrolladas con sus respectivas listas de asistencia. Sumadas a las 567 de los anteriores trimestres, se tiene un total de 661 intervenciones desarrolladas, de las 661 programadas a las unidades activas a la fecha. En estas visitas se pudo evidenciar el seguimiento al cumplimiento e implementación del  Plan de gestión integral de residuos peligrosos -PGIRP, Plan de gestión integral de residuos hospitalarios y similares -PGIRH, la generación y manejo de residuos especiales. Las intervenciones de este trimestre se adelantaron de la siguiente manera:  36 unidades operativas visitadas en el mes de julio, 48 en el mes de agosto y 10 en el mes de septiembre.</t>
  </si>
  <si>
    <t>2.Cada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el manejo integral de los residuos hospitalarios, peligrosos y especiales a los contratos que les aplique. Como evidencia queda el correo electrónico con la trazabilidad de la solicitud y respuesta. 
En caso que no se realice la inclusión de las cláusulas ambientales, el área solicitante reitera la solicitud hasta que el responsable del área de gestión ambiental genere la respuesta.</t>
  </si>
  <si>
    <t>(Número de contratos con cláusulas ambientales / Número de contratos remitidos al área de gestión ambiental que aplique) * 100</t>
  </si>
  <si>
    <t>100% de contratos con cláusulas ambientales, remitidos al área ambiental que aplique</t>
  </si>
  <si>
    <t>Se remite la matriz de inclusión de cláusulas ambientales del primer trimestre del año, donde se informa por mes las cláusulas incluidas a los 10 procesos precontractuales, de conformidad con las 10 solicitudes realizadas al equipo de gestión ambiental. Adicionalmente se remite cada uno de los correos electrónicos de solicitud y respuesta de la inclusión de las cláusulas ambientales y los anexos técnicos y/o estudios previos. Es importante resaltar que las cláusulas ambientales incluidas para los soportes de este riesgo, aplican para el manejo integral de los residuos hospitalarios, peligrosos y especiales en los diferentes procesos precontractuales.
Es importante resaltar que a la fecha de corte se dio respuesta al 100% de solicitudes de inclusión de cláusulas ambientales.</t>
  </si>
  <si>
    <t>Se remite la matriz de inclusión de cláusulas ambientales del segundo trimestre del año, en la cual se informa por mes las cláusulas incluidas en los procesos precontractuales, de conformidad con las solicitudes realizadas al equipo de gestión ambiental. Adicionalmente, se remiten cada uno de los correos electrónicos de solicitud y respuesta de la inclusión de las cláusulas ambientales y los anexos técnicos y/o estudios previos. Es importante resaltar que las cláusulas ambientales incluidas como soportes de la ejecución del control de este riesgo aplican para el manejo integral de los residuos hospitalarios, peligrosos y especiales en los diferentes procesos precontractuales.
Es importante resaltar que a la fecha de reporte se le ha dado respuesta al 100% de solicitudes de inclusión de cláusulas ambientales.</t>
  </si>
  <si>
    <t>Se remite la matriz de inclusión de cláusulas ambientales del tercer trimestre del año, en la cual se informa por mes las cláusulas incluidas en los procesos precontractuales, de conformidad con las solicitudes realizadas al equipo de gestión ambiental. Adicionalmente, se remiten cada uno de los correos electrónicos de solicitud y respuesta de la inclusión de las cláusulas ambientales y los anexos técnicos y/o estudios previos. Es importante resaltar que las cláusulas ambientales incluidas como soportes de la ejecución del control de este riesgo aplican para el manejo integral de los residuos hospitalarios, peligrosos y especiales en los diferentes procesos precontractuales.
Es importante resaltar que a la fecha de reporte se le ha dado respuesta al 100% de solicitudes de inclusión de cláusulas ambientales.</t>
  </si>
  <si>
    <t>3. Semestralmente el líder del programa de Gestión Integral Residuos del área ambiental realiza un seguimiento a la implementación del instructivo RCD y del instructivo de manejo y disposición de colchones y colchonetas, con el propósito de valorar la implementación y gestión integral de estos residuos al interior de la entidad. Como evidencia se tiene dos matrices en Excel consolidando la información de implementación. En caso de que no se realice el seguimiento, se adelantará la verificación del cumplimento bajo las herramienta Storm User y aplicativo web de la Secretaría Distrital de Ambiente.</t>
  </si>
  <si>
    <t>Líder del programa de Gestión Integral Residuos del PIGA.</t>
  </si>
  <si>
    <t>Seguimientos realizados a la implementación de los Instructivos de RCD, colchones y colchonetas</t>
  </si>
  <si>
    <t>Dos (2) seguimientos realizados</t>
  </si>
  <si>
    <t>Las matrices del primer seguimiento de la implementación a la gestión, manejo y disposición de colchones y colchonetas y al Instructivos de RCD, se tienen establecidas para el segundo trimestre del año 2022.</t>
  </si>
  <si>
    <t>Se remiten las dos matrices correspondientes al primer seguimiento a la implementación de la gestión, manejo y disposición de colchones y colchonetas y del Instructivos de Residuos de Construcción y Demolición en las diferentes unidades operativas a las cuales les aplica el cumplimiento.</t>
  </si>
  <si>
    <t>Las matrices del segundo seguimiento de la implementación a la gestión, manejo y disposición de colchones y colchonetas y al Instructivos de RCD, se tienen establecidas para el cuarto trimestre del año 2022.</t>
  </si>
  <si>
    <t>R-GA-004</t>
  </si>
  <si>
    <t>Falta de conocimiento e implementación de los lineamientos ambientales en materia de emisiones atmosféricas, ruido y vertimientos en la SDIS.</t>
  </si>
  <si>
    <t>Posibilidad de que se generen emisiones atmosféricas, ruido y vertimientos contaminantes que superen los límites permisibles por norma, por la falta de mantenimiento preventivo o correctivo a fuentes de generación fijas y móviles y por la no implementación de los lineamientos ambientales institucionales.</t>
  </si>
  <si>
    <t>1.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control y manejo integral a la generación de emisiones atmosféricas, ruido y vertimientos en los contratos que les aplique. Como evidencia queda el correo electrónico con la trazabilidad de la solicitud y respuesta.
En caso de que no se realice la inclusión de las cláusulas ambientales, el área solicitante reitera la solicitud hasta que el responsable del área de gestión ambiental genere la respuesta.</t>
  </si>
  <si>
    <t>Se remite la matriz de inclusión de cláusulas ambientales del primer trimestre del año, donde se informa por mes las cláusulas incluidas a los 9 procesos precontractuales, de conformidad con las 9 solicitudes realizadas al equipo de gestión ambiental. Adicionalmente se remite cada uno de los correos electrónicos de solicitud y respuesta de la inclusión de las cláusulas ambientales y los anexos técnicos y/o estudios previos. Es importante resaltar que las cláusulas ambientales incluidas para los soportes de este riesgo, aplica para el control y manejo integral a la generación de emisiones atmosféricas, ruido y vertimientos en los diferentes procesos precontractuales.
Es importante resaltar que a la fecha de corte se dio respuesta al 100% de solicitudes de inclusión de cláusulas ambientales.</t>
  </si>
  <si>
    <t>Se remite la matriz de inclusión de cláusulas ambientales del segundo trimestre del año, en la cual se informa por mes las cláusulas incluidas en los procesos precontractuales, de conformidad a las solicitudes realizadas al equipo de gestión ambiental. Adicionalmente, se remiten cada uno de los correos electrónicos de solicitud y respuesta de la inclusión de las cláusulas ambientales y los anexos técnicos y/o estudios previos. Es importante resaltar que las cláusulas ambientales incluidas como soportes de la ejecución del control de este riesgo, aplican para el control y manejo integral a la generación de emisiones atmosféricas, ruido y vertimientos en los diferentes procesos precontractuales.
Es importante resaltar que a la fecha de reporte se le ha dado respuesta al 100% de solicitudes de inclusión de cláusulas ambientales.</t>
  </si>
  <si>
    <t>Se remite la matriz de inclusión de cláusulas ambientales del tercer trimestre del año, en la cual se informa por mes las cláusulas incluidas en los procesos precontractuales, de conformidad a las solicitudes realizadas al equipo de gestión ambiental. Adicionalmente, se remiten cada uno de los correos electrónicos de solicitud y respuesta de la inclusión de las cláusulas ambientales y los anexos técnicos y/o estudios previos. Es importante resaltar que las cláusulas ambientales incluidas como soportes de la ejecución del control de este riesgo, aplican para el control y manejo integral a la generación de emisiones atmosféricas, ruido y vertimientos en los diferentes procesos precontractuales.
Es importante resaltar que a la fecha de reporte se le ha dado respuesta al 100% de solicitudes de inclusión de cláusulas ambientales.</t>
  </si>
  <si>
    <t>2. Semestralmente el líder del programa de Gestión Integral de Residuos del área ambiental realiza un seguimiento a los procesos de mantenimiento preventivo para los equipos y elementos fijos que generan emisiones atmosféricas, con el propósito de verificar el cumplimiento de los lineamientos ambientales en el tema. Como evidencia se tiene una matriz en Excel consolidando la información de los equipos y elementos de la entidad.
En caso de que no se realice el seguimiento se adelantará la verificación del cumplimento bajo la respuesta anual de auditoría a la Secretaría Distrital de Ambiente.</t>
  </si>
  <si>
    <t>Líder del programa de gestión integral de residuos del PIGA.</t>
  </si>
  <si>
    <t>Seguimientos realizados al procesos de mantenimiento preventivo o correctivo para los equipos y elementos fijos que generan emisiones atmosféricas.</t>
  </si>
  <si>
    <t>Las matrices del primer seguimiento a los procesos de mantenimiento preventivo para los equipos y elementos fijos que generan emisiones atmosféricas, se tienen establecidas para el segundo trimestre del año 2022.</t>
  </si>
  <si>
    <t>Se remiten las dos matrices (una para calderas y calderines y la otra para plantas eléctricas) correspondientes al primer seguimiento a los procesos de mantenimiento preventivo para los equipos y elementos que generan emisiones atmosféricas que se encuentran en las diferentes unidades operativas a las cuales les aplica.</t>
  </si>
  <si>
    <t>Las matrices del segundo seguimiento a los procesos de mantenimiento preventivo para los equipos y elementos fijos que generan emisiones atmosféricas, se tienen establecidas para el cuarto trimestre del año 2022.</t>
  </si>
  <si>
    <t>3. Anualmente, los gestores ambientales y referentes ambientales técnicos, realizan seguimiento a la implementación del Plan de Gestión Integral de aceite vegetal usado (AVU) y grasas y el Instructivo para Mejorar los Vertimientos en las unidades operativas mediante la metodología de intervención ambiental de la entidad, con el propósito de socializar los lineamientos ambientales, valorar la implementación de los lineamientos y, en caso de identificar una desviación, subsanar los posibles incumplimientos y consolidar las necesidades que apliquen. Como evidencia se tiene el acta de intervención, el informe de intervención y la lista de asistencia de intervención.</t>
  </si>
  <si>
    <t>(Número de unidades operativas con seguimiento a la implementación del Plan de Gestión Integral de aceite vegetal usado (AVU) y grasas y el Instructivo para Mejorar los Vertimientos bajo intervención ambiental / Número de unidades operativas de la entidad programadas por año) * 100</t>
  </si>
  <si>
    <t>Se remite las 132 actas de intervención ambiental con sus respectivas listas de asistencia de las 467 programadas en el 2022, donde se puede evidenciar el seguimiento al cumplimiento e implementación del Plan de encapsulamiento de aceite vegetal usado (AVU) y recolección de grasas. Estas intervenciones se adelantaron de la siguiente manera: 41 unidades operativas visitadas en el mes de febrero y 91 en el mes de marzo.</t>
  </si>
  <si>
    <t>Se remite las 340 actas de intervención ambiental con sus respectivas listas de asistencia más las 132 del primer trimestre, para un total de 472 intervenciones realizadas de las 504 programadas en el 2022, en las cuales se puede evidenciar el seguimiento al cumplimiento e implementación del Plan de encapsulamiento de aceite vegetal usado (AVU) y recolección de grasas. Las intervenciones de este trimestre se adelantaron de la siguiente manera: 136 unidades operativas visitadas en el mes de abril, 114 en el mes de mayo y 90 en el mes de junio.</t>
  </si>
  <si>
    <t>Se remiten para este trimestre las 74 actas de intervención ambiental desarrolladas con sus respectivas listas de asistencia. Sumadas a las 472 de los anteriores trimestres, se tiene un total de 546 intervenciones desarrolladas, de las 546 programadas a las unidades activas a la fecha, en estas visitas se pudo evidenciar el seguimiento al cumplimiento e implementación del  Plan de encapsulamiento de aceite vegetal usado (AVU) y recolección de grasas. Las intervenciones de este trimestre se adelantaron de la siguiente manera:  29 unidades operativas visitadas en el mes de julio, 35 en el mes de agosto y 10 en el mes de septiembre.</t>
  </si>
  <si>
    <t>R-GA-005</t>
  </si>
  <si>
    <t>Falta de conocimiento y apropiación en la gestión, manejo y uso de Publicidad Exterior Visual (PEV) en la SDIS.</t>
  </si>
  <si>
    <t>Posibilidad de que se realice el diseño, uso y/o ubicación inadecuado de la Publicidad Exterior Visual (PEV) por la no implementación de los lineamientos ambientales institucionales.</t>
  </si>
  <si>
    <t>1.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el manejo y control de la Publicidad Exterior Visual (PEV) en los contratos que les aplique. Como evidencia queda el correo electrónico con la trazabilidad de la solicitud y respuesta. 
En caso de que no se realice la inclusión de las cláusulas ambientales, el área solicitante reitera la solicitud hasta que el responsable del área de gestión ambiental genere la respuesta.</t>
  </si>
  <si>
    <t>1.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el manejo y control de la Publicidad Exterior Visual (PEV) en los contratos que les aplique. Como evidencia queda el correo electrónico con la trazabilidad de la solicitud y respuesta. 
En caso de que no se realice la inclusión de las cláusulas ambientales, el área solicitante reitera la solicitud hasta que el responsable del área de gestión ambiental genere la respuesta.</t>
  </si>
  <si>
    <t>Se remite la matriz de inclusión de cláusulas ambientales del primer trimestre del año, donde se informa por mes las cláusulas incluidas a 4 los procesos precontractuales, de conformidad con las 4 solicitudes realizadas al equipo de gestión ambiental. Adicionalmente, se remite cada uno de los correos electrónicos de solicitud y respuesta de la inclusión de las cláusulas ambientales y los anexos técnicos y/o estudios previos. Es importante resaltar que las cláusulas ambientales incluidas para los soportes de este riesgo, aplican para el manejo y control de la Publicidad Exterior Visual (PEV) en los diferentes procesos precontractuales.
Es importante resaltar que a la fecha de corte se dio respuesta al 100% de solicitudes de inclusión de cláusulas ambientales.</t>
  </si>
  <si>
    <t>Se remite la matriz de inclusión de cláusulas ambientales del segundo trimestre del año, en la cual se informa por mes las cláusulas incluidas en los procesos precontractuales, de conformidad a las solicitudes realizadas al equipo de gestión ambiental. Adicionalmente, se remiten cada uno de los correos electrónicos de solicitud y respuesta de la inclusión de las cláusulas ambientales y los anexos técnicos y/o estudios previos. Es importante resaltar que las cláusulas ambientales incluidas como soportes de la ejecución del control de este riesgo, aplican para el manejo y control de la Publicidad Exterior Visual (PEV) en los diferentes procesos precontractuales.
Es importante resaltar que a la fecha de reporte se le ha dado respuesta al 100% de solicitudes de inclusión de cláusulas ambientales.</t>
  </si>
  <si>
    <t>Se remite la matriz de inclusión de cláusulas ambientales del tercer trimestre del año, en la cual se informa por mes las cláusulas incluidas en los procesos precontractuales, de conformidad a las solicitudes realizadas al equipo de gestión ambiental. Adicionalmente, se remiten cada uno de los correos electrónicos de solicitud y respuesta de la inclusión de las cláusulas ambientales y los anexos técnicos y/o estudios previos. Es importante resaltar que las cláusulas ambientales incluidas como soportes de la ejecución del control de este riesgo, aplican para el manejo y control de la Publicidad Exterior Visual (PEV) en los diferentes procesos precontractuales.
Es importante resaltar que a la fecha de reporte se le ha dado respuesta al 100% de solicitudes de inclusión de cláusulas ambientales.</t>
  </si>
  <si>
    <t>2. Semestralmente el líder del programa de Prácticas Sostenibles del área ambiental realiza un seguimiento a la implementación, control y manejo de Publicidad Exterior Visual (PEV) de la SDIS, con el propósito de verificar el cumplimiento de los lineamientos ambientales en el tema. Como evidencia se tiene una matriz en Excel consolidando la información del diagnóstico y necesidades de cada elemento PEV de la entidad. En caso de que no se realice el seguimiento se adelantará la verificación del cumplimento bajo la respuesta anual de auditoría a la Secretaría Distrital de Ambiente.</t>
  </si>
  <si>
    <t>Líder del programa de practicas sostenibles del PIGA.</t>
  </si>
  <si>
    <t>Seguimientos realizados a la implementación, control y manejo de PEV de la SDIS.</t>
  </si>
  <si>
    <t>La matriz del primer seguimiento a la implementación, control y manejo de Publicidad Exterior Visual (PEV) de la SDIS, se tienen establecidas para el segundo trimestre del año 2022.</t>
  </si>
  <si>
    <t>Se remite la matriz correspondiente al primer seguimiento a la implementación, control y manejo del cumplimiento normativo de la Publicidad Exterior Visual de la unidades operativas de la SDIS que cuentan con avisos con la información de la prestación del servicio social ofrecido.</t>
  </si>
  <si>
    <t>La matriz del segundo seguimiento a la implementación, control y manejo de Publicidad Exterior Visual (PEV) de la SDIS, se tiene establecida para el cuarto trimestre del año 2022.</t>
  </si>
  <si>
    <t>R-GA-006</t>
  </si>
  <si>
    <t>Falta de conocimiento e implementación de los lineamientos ambientales en la gestión, manejo y uso del agua y la energía en la SDIS.</t>
  </si>
  <si>
    <t>Posibilidad de que se desperdicie o se haga mal uso del agua y la energía por la no implementación de los lineamientos ambientales institucionales.</t>
  </si>
  <si>
    <t xml:space="preserve">1. Anualmente, los gestores ambientales y referentes ambientales técnicos, realizan seguimiento a la implementación de las políticas, programas y metodologías de agua y energía en las unidades operativas mediante el proceso de intervención ambiental de la entidad, con el propósito de socializar los lineamientos ambientales, valorar la implementación de los lineamientos y, en caso de identificar una desviación, subsanar los posibles incumplimientos y consolidar las necesidades que apliquen.
Como evidencia se tiene el acta de intervención, el informe de intervención y la lista de asistencia de intervención. </t>
  </si>
  <si>
    <t>(Número de unidades operativas con seguimiento a la implementación de las políticas, programas y metodologías de agua y energía bajo intervención ambiental / Número de unidades operativas de la entidad programadas por año) * 100</t>
  </si>
  <si>
    <t>Se remite las 184 actas de intervención ambiental con sus respectivas listas de asistencia de las 727 programadas en el 2022, donde se puede evidenciar el seguimiento al cumplimiento e implementación de la Política Cero desperdicio de agua y cero desperdicio de energía. Estas intervenciones se adelantaron de la siguiente manera: 64 unidades operativas visitadas en el mes de febrero y 120 en el mes de marzo.</t>
  </si>
  <si>
    <t>Se remiten para este trimestre las 383 actas de intervención ambiental desarrolladas con sus respectivas listas de asistencia. Sumadas a las 184 del anterior trimestre, se tienen 567 de las 728 programadas en el 2022, en las cuales se puede evidenciar el seguimiento al cumplimiento e implementación de la Política Cero desperdicio de agua y cero desperdicio de energía. Las intervenciones de este trimestre se adelantaron de la siguiente manera: 136 unidades operativas visitadas en el mes de abril, 143 en el mes de mayo y 104 en el mes de junio.</t>
  </si>
  <si>
    <t>Se remiten para este trimestre las 94 actas de intervención ambiental desarrolladas con sus respectivas listas de asistencia. Sumadas a las 567 de los anteriores trimestres, se tiene un total de 661 intervenciones desarrolladas, de las 661 programadas a las unidades activas a la fecha. En estas visitas se pudo evidenciar el seguimiento al cumplimiento e implementación de la Política Cero desperdicio de agua y cero desperdicio de energía. Las intervenciones de este trimestre se adelantaron de la siguiente manera:  36 unidades operativas visitadas en el mes de julio, 48 en el mes de agosto y 10 en el mes de septiembre.</t>
  </si>
  <si>
    <t>2. Semestralmente, el líder del programa de uso eficiente del agua y energía realiza seguimiento al avance de las actividades del plan de acción de la Secretaría Distrital de Ambiente, mediante la revisión de la matriz de seguimiento de la herramienta Storm User, con el fin de garantizar el cumplimiento del plan. En caso de que se identifiquen retrasos en la ejecución de actividades, se generan mediante correo electrónico las alertas a los respectivos responsables o los ajustes requeridos al plan. Como evidencia se tiene la matriz en Excel consolidando el seguimiento al cumplimiento y sus respectivos soportes de envío.</t>
  </si>
  <si>
    <t>Líder del programa de uso eficiente del agua y uso eficiente de la energía del PIGA.</t>
  </si>
  <si>
    <t>Actividades cumplidas del plan de acción anual PIGA</t>
  </si>
  <si>
    <t>17 actividades cumplidas</t>
  </si>
  <si>
    <t>Los resultados iniciales de la implementación de las actividades del plan de acción de los Programas de uso eficiente del agua y uso eficiente de la energía, se tendrán desde el segundo trimestre y cuarto trimestre de 2022.</t>
  </si>
  <si>
    <t>Se remite la matriz con el consolidado del seguimiento al cumplimiento de las actividades del primer semestre del año, de los programas uso eficiente del agua y uso eficiente de la energía bajo el formato plan de acción anual del PIGA reportado a la Secretaría Distrital de Ambiente.
Los resultados obtenidos son los iniciales de la implementación de las actividades del plan de acción. Es importante resaltar que se tiene un promedio del cumplimiento de 7,3 actividades de las 17 programadas.</t>
  </si>
  <si>
    <t>Los resultados finales de la implementación de las actividades del plan de acción de los Programas de uso eficiente del agua y uso eficiente de la energía, se tendrán para el cuarto trimestre de la vigencia 2022.</t>
  </si>
  <si>
    <t>3.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tendientes al uso eficiente y óptimo del agua y la energía a los contratos que les aplique. Como evidencia queda el correo electrónico con la trazabilidad de la solicitud y respuesta. En caso de que no se realice la inclusión de las cláusulas ambientales, el área solicitante reitera la solicitud hasta que el responsable del área de gestión ambiental las incluya.</t>
  </si>
  <si>
    <t>100% de contratos con cláusulas ambientales remitidos al área ambiental que aplique</t>
  </si>
  <si>
    <t>Se remite la matriz de inclusión de cláusulas ambientales del primer trimestre del año, donde se informa por mes las cláusulas incluidas a los 13 procesos precontractuales, de conformidad con las 13 solicitudes realizadas al equipo de gestión ambiental. Adicionalmente, se remite cada uno de los correos electrónicos de solicitud y respuesta de la inclusión de las cláusulas ambientales y los anexos técnicos y/o estudios previos. Es importante resaltar que las cláusulas ambientales incluidas para los soportes de este riesgo, aplica para el uso eficiente y optimo del agua y la energía en los diferentes procesos precontractuales.
Es importante resaltar que a la fecha de corte se dio respuesta al 100% de solicitudes de inclusión de cláusulas ambientales.</t>
  </si>
  <si>
    <t>Se remite la matriz de inclusión de cláusulas ambientales del segundo trimestre del año, en la cual se informa por mes las cláusulas incluidas en los procesos precontractuales, de conformidad a las solicitudes realizadas al equipo de gestión ambiental. Adicionalmente, se remiten cada uno de los correos electrónicos de solicitud y respuesta de la inclusión de las cláusulas ambientales y los anexos técnicos y/o estudios previos. Es importante resaltar que las cláusulas ambientales incluidas como soportes de la ejecución del control de este riesgo, aplican para el uso eficiente y optimo del agua y la energía en los diferentes procesos precontractuales.
Es importante resaltar que a la fecha de reporte se le ha dado respuesta al 100% de solicitudes de inclusión de cláusulas ambientales.</t>
  </si>
  <si>
    <t>Se remite la matriz de inclusión de cláusulas ambientales del tercer trimestre del año, en la cual se informa por mes las cláusulas incluidas en los procesos precontractuales, de conformidad a las solicitudes realizadas al equipo de gestión ambiental. Adicionalmente, se remiten cada uno de los correos electrónicos de solicitud y respuesta de la inclusión de las cláusulas ambientales y los anexos técnicos y/o estudios previos. Es importante resaltar que las cláusulas ambientales incluidas como soportes de la ejecución del control de este riesgo, aplican para el uso eficiente y óptimo del agua y la energía en los diferentes procesos precontractuales.
Es importante resaltar que a la fecha de reporte se le ha dado respuesta al 100% de solicitudes de inclusión de cláusulas ambientales.</t>
  </si>
  <si>
    <t>Liderar, gestionar y administrar la producción documental de la entidad, mediante la definición de herramientas para la planificación, implementación, seguimiento y control, con el fin de conservar la memoria institucional facilitando la consulta, recuperación y trámite conforme a lo ordenado por la normativa nacional y distrital vigente en materia de gestión documental y archivos.</t>
  </si>
  <si>
    <t>Diagnosticar y planear las actividades del proceso de Gestión Documental en la Secretaria Distrital de Integración Social, de acuerdo a la normativa vigente.</t>
  </si>
  <si>
    <t>R-GD-001</t>
  </si>
  <si>
    <t>La constante manipulación y condiciones de almacenamiento que implican biodeterioro de la documentación</t>
  </si>
  <si>
    <t>Posibilidad de afectar negativamente la imagen de la entidad dada la pérdida y fuga de la información institucional registrada en los archivos de la entidad por falta de aplicación de los lineamientos de gestión documental, debido a su desconocimiento.</t>
  </si>
  <si>
    <t>Cada que se identifique la necesidad por crecimiento en la volumetría documental o por desgaste de cajas y carpetas, el Subdirector Administrativo y Financiero (o responsable del área de gestión documental), solicitará conforme a las directrices presupuestales y contractuales la adquisición de  cajas y carpetas que se han deteriorado, con el propósito de conservar adecuadamente la información. En caso de no realizar la adquisición de insumos para la conservación documental, se requiere  hacer una campaña de sensibilización para la optimización de recursos. Como evidencia se cuenta con los contratos de adquisición de los insumos de archivo, así como, el registro de insumos requeridos por las dependencias, o registros de la campaña de sensibilización.</t>
  </si>
  <si>
    <t>Subdirector Administrativo y Financiero (o responsable del área de gestión documental)</t>
  </si>
  <si>
    <t>(Cantidad de insumos adquiridos / Cantidad de insumos requeridos)*100</t>
  </si>
  <si>
    <t>En el primer trimestre de la vigencia 2022 no se celebraron contratos con proveedores, de los insumos que se adquieren como unidades de conservación (Carpetas, Ganchos y Cajas X200). No obstante, se cuenta con presupuesto para la adquisición de los Insumos de Archivo, para suplir las necesidades de los Archivos de la Entidad así:  
- Carpetas y Ganchos: $300.000.000  
- Cajas X200: $120.000.000   
Se está trabajando en los estudios previos en conjunto con el grupo jurídico, para realizar todo el proceso y llevar a cabo los contratos para la adquisición de las Unidades de Conservación (Carpetas, Ganchos y Cajas X200), así mismo se realizó la solicitud de las cotizaciones a los diferentes proveedores y estas ya fueron enviadas a la abogada encargada de todo el proceso de alistamiento para los contratos.
Se presenta como evidencia los correos de solicitud de cotizaciones a los proveedores.</t>
  </si>
  <si>
    <t>En el segundo trimestre de la vigencia 2022 no se celebraron contratos con proveedores, de los insumos que se adquieren como unidades de conservación (Carpetas, Ganchos y Cajas X200). No obstante, se cuenta con presupuesto para la adquisición de los insumos de archivo, para suplir las necesidades de los archivos de la Entidad así: - Carpetas y Ganchos: $300.000.000 - Cajas X200: $120.000.000. 
Se está trabajando en los Estudios Previos en conjunto con el grupo jurídico y en el concepto de aprobación por parte del Archivo de Bogotá, para realizar todo el proceso y llevar a cabo los contratos para la adquisición de las unidades de conservación (Carpetas, Ganchos y Cajas X200). 
Se presenta como evidencia los Estudios Previos, Estudio del Sector, Anexo Técnico y Concepto de Aprobación (Archivo de Bogotá).</t>
  </si>
  <si>
    <t>15/07/2022. No se generan observaciones por parte de la segunda línea de defensa, respecto a los avances  presentados en el segundo monitoreo al riesgo de gestión.</t>
  </si>
  <si>
    <t>•	Dado a que se venían adelantando dos (2) procesos; uno para carpetas y ganchos, y otro para cajas de archivo, desde el Despacho solicitaron adelantar solo un (1) proceso donde se subastaría los elementos de los objetos a contratar esto con el fin de dar cumplimiento al principio de planeación.
• Por otra parte, se registraron los insumos de archivo entregados a las dependencias con el fin de consolidar la información de las necesidades requeridas por las áreas.</t>
  </si>
  <si>
    <t>12/10/2022. Por favor completar toda la información del monitoreo realizado.
18/10/2022. No se generan observaciones adicionales por parte de la segunda línea de defensa, respecto a los avances  presentados en el tercer monitoreo al riesgo de gestión.
Se recomienda dar celeridad a la ejecución de la actividad definida, la cual no ha reportado avance durante toda la vigencia, lo cual no permite establecer la efectividad del control para mitigar el riesgo identificado.</t>
  </si>
  <si>
    <t>Falta de presupuesto para la organización y conservación del archivo</t>
  </si>
  <si>
    <t>Anualmente, el auxiliar administrativo de Gestión Documental, realiza un “Diagnóstico de archivo general” abarcando las necesidades de toda la entidad, para presentar a la Dirección de Gestión Corporativa y así decidir el aumento del presupuesto. En caso de no realizar el diagnóstico se requiere hacer una campaña de sensibilización para la optimización de recursos de archivo. Como evidencia se cuenta con el Diagnóstico de archivo general o registros de la campaña de sensibilización.</t>
  </si>
  <si>
    <t>Auxiliar administrativo de Gestión Documental</t>
  </si>
  <si>
    <r>
      <rPr>
        <b/>
        <sz val="10"/>
        <color theme="1"/>
        <rFont val="Arial"/>
        <family val="2"/>
      </rPr>
      <t>Diagnóstico general de archivo de necesidades de insumos:</t>
    </r>
    <r>
      <rPr>
        <sz val="10"/>
        <color theme="1"/>
        <rFont val="Arial"/>
        <family val="2"/>
      </rPr>
      <t xml:space="preserve">
*Levantamiento de información con las dependencias, subdirecciones locales, áreas y unidades operativas-50%
* Análisis de costos-20%
* Consolidación del documento-30%</t>
    </r>
  </si>
  <si>
    <t>Se realizó el leventamiento de la información en cuanto a las necesidades de los Insumos de Archivo (Carpetas, Ganchos y Cajas X200), para los archivos de la Entidad obteniendo la siguiente información:
CARPETAS: 506.000
GANCHOS: 511.000
CAJAS X200: 111.500</t>
  </si>
  <si>
    <t>18/04/2022. No se generan observaciones por parte de la segunda línea de defensa, respecto a los avances  presentados en el primer monitoreo al riesgo de gestión.
No obstante, se recomienda que el documento final de diagnóstico precise de manera mas clara la forma en que se realizó el levantamiento de la información, el motivo por el cual se separan algunas dependencias de otras, en lo particular lo referente al nivel central, y detallar a que hace referencia el item de "transferencias".</t>
  </si>
  <si>
    <t>No se realizó avance en este trimestre</t>
  </si>
  <si>
    <t>Se realizó el consolidado de la información correspondiente entre enero hasta septiembre 2022 de las necesidades de los Insumos de Archivo (Carpetas, Ganchos y Cajas X200), para los archivos de la Entidad obteniendo la siguiente información:
CARPETAS 600gr: 46.175
GANCHOS: 44.315
CAJAS X200: 7.552
Por otra parte, también se avanzó en la construcción de la estructura del documento diagnóstico general de necesidades de insumos de archivo, el cual será finalizado para el cuarto trimestre del año.</t>
  </si>
  <si>
    <t>12/10/2022. Por favor completar toda la información del monitoreo realizado. Es necesario tener en cuenta que el nivel de avance que se reporte debe estar en coherencia con el criterio de medición definido (columna V); según la descripción se interpreta que el porcentaje de avance no ha cambiado, por lo cual se recomienda mantener coherencia entre el reporte cuantitativo y cualitativo. Adicionalmente, se debe verificar el periodo mencionado para finalizar el informe, si se refiere al que se esta reportando (tercero) o al próximo (cuarto).
18/10/2022. No se generan observaciones adicionales por parte de la segunda línea de defensa, respecto a los avances  presentados en el tercer monitoreo al riesgo de gestión.
Se recomienda avanzar oportunamente en la ejecución de la actividad definida, con el fin de no comprometer su cumplimiento satisfactorio para el cierre de la vigencia.</t>
  </si>
  <si>
    <t>Poca socialización de los lineamientos,  para que sean apropiados por los diferentes referentes documentales y así sean correctamente implementados en cada dependencia</t>
  </si>
  <si>
    <t>Trimestralmente, el profesional designado por el líder de Gestión Documental para realizar los seguimientos a las dependencias del nivel central y local, lleva a cabo la socialización de los lineamientos archivísticos y temas estratégicos del proceso de gestión documental, mediante una mesa operativa virtual y/o presencial, con el propósito de supervisar que se esté cumpliendo con las normas vigentes relacionadas con  la organización documental. En caso de no hacer la mesa operativa, se enviará mediante un correo electrónico un documento anexo con los lineamientos necesarios. Como evidencia se cuenta con el acta y la planilla de asistencia de la mesa operativa o el correo electrónico con el documento anexo.</t>
  </si>
  <si>
    <t>Profesional Gestión Documental</t>
  </si>
  <si>
    <t>(Mesas operativas realizadas/ mesas operativas programadas)*100
Meta: 4 mesas operativas programadas</t>
  </si>
  <si>
    <t>Se realizó la Mesa Operativa planificada para el trimestre el día 22 de febrero de 2022, se adjunta acta de la sesión que incluye la presentación realizada y el listado de asistencia.</t>
  </si>
  <si>
    <t>Se realizó la Mesa Operativa planificada para el trimestre el día 17 de mayo de 2022, se adjunta acta de la sesión que incluye la presentación realizada y el listado de asistencia.</t>
  </si>
  <si>
    <t>15/07/2022. No se generan observaciones por parte de la segunda línea de defensa, respecto a los avances  presentados en el segundo monitoreo al riesgo de gestión.
De forma adicional, se sugiere validar en el acto administrativo que formaliza la Mesa Operativa, cuál es la manera correcta de suscribir las actas de la instancia; esto debido a que la lista de asistencia solo evidencia la participación en la mesa, mas no valida el contenido del acta por parte de los miembros de la misma.</t>
  </si>
  <si>
    <t>Para el tercer trimestre del año se realizaron dos mesas operativas del SIGA a través de las cuales se socializaron los aspectos estratégicos para el proceso de gestión documental.
• El 13/07/2022 se socializó el procedimiento elaboración de las TRD, responsabilidades de funcionarios públicos, procedimiento intervención FDA, programa de monitoreo de condiciones ambientales, primeros auxilios para documentos, Instructivo digitalización, conformación y consulta de expedientes en el sistema de gestión de documentos y expedientes.
• El 28/09/2022 se socializó el Índice de información clasificada y reservada, registro de activos de información, tablas de control de acceso, programa de gestión documental.</t>
  </si>
  <si>
    <t>12/10/2022. Por favor completar toda la información del monitoreo realizado.
18/10/2022. No se generan observaciones adicionales por parte de la segunda línea de defensa, respecto a los avances  presentados en el tercer monitoreo al riesgo de gestión.</t>
  </si>
  <si>
    <t xml:space="preserve">No se cuenta con el suficiente personal capacitado para desempeñar las funciones archivísticas, de manera especifica </t>
  </si>
  <si>
    <t>Semestralmente, el Subdirector Administrativo y Financiero envía un memorando a todos los jefes de dependencia en donde les informa el cumplimiento de la normativa interna en materia de gestión documental y archivo, recordando las responsabilidades de los referentes técnicos o locales y designados documentales del Subsistema Interno de Gestión Documental y Archivo-SIGA, conforme a lo requerido en la Resolución 472 de 2021, con el fin de solicitar la designación de los mismos. En caso de no remitir los memorandos, el equipo profesional archivista de Gestión Documental recordará el cumplimiento de la designación a través de las mesas operativas del SIGA, con el objetivo de dar cumplimiento a la designación de personal por parte de los  jefes de dependencias para la ejecución del rol de referentes técnicos o delegados documentales. Como evidencia se cuenta con los memorandos enviados o las actas de reunión de las mesas operativas del SIGA con su respectivo registro de firmas de los asistentes.</t>
  </si>
  <si>
    <t>(número de memorandos enviados / 2 memorandos programados)*100</t>
  </si>
  <si>
    <t>En la Mesa Operativa realizada en el trimestre se recordó a los Referentes y Delegados Documentales sus funciones acorde con la Resolución 472 de abril de 2021. (ver en el acta el numeral 2 del desarrollo de la sesión), adicionalmente se enviarán memorandos en los meses de junio y diciembre de 2022.</t>
  </si>
  <si>
    <t xml:space="preserve">El primer memorando proyectado inicialmente para su envío en junio se realizará en el mes de julio dado que se realizó un cambio de asesora de gestión documental y se iba a cambiar en julio el subdirector administrativo y financiero.
De acuerdo a la socialización realizada a los referenes documentales en el trimestre anterior, se adjuntan las actas de compromiso remitidas por los referentes de las siguientes dependencias: 
1.Subdirección para asuntos LGBTI
2.DADE
3.SDES
4.Subdirección para la infancia </t>
  </si>
  <si>
    <t>Para el tercer trimestre no se avanzó en el desarrollo de la actividad, dado que no se contó con la contratación el equipo completo profesional y hubo la necesidad de priorizar otras actividades como la respuesta al Consejo Distrital de Archivos para el proceso de actualización de las tablas de retención documental. Sin embargo, para el último trimestre del año se proyecta realizar las actividades correspondientes.</t>
  </si>
  <si>
    <t>12/10/2022. Por favor completar toda la información del monitoreo realizado.
18/10/2022. No se generan observaciones adicionales por parte de la segunda línea de defensa, respecto a los avances  presentados en el tercer monitoreo al riesgo de gestión.
Se recomienda avanzar oportunamente en la ejecución de la actividad definida, con el fin de no comprometer su cumplimiento satisfactorio para el cierre de la vigencia.</t>
  </si>
  <si>
    <t>No se tiene control del acceso de personal de la SDIS al archivo de gestión centralizado</t>
  </si>
  <si>
    <t>Semestralmente, el Subdirector Administrativo y Financiero (o responsable del área de gestión documental), envía un memorando a las distintas dependencias de la entidad, solicitando remitir al área de gestión documental, el nombre de los referentes documentales con los que cuentan, para poder actualizar la lista del personal autorizado a ingresar al archivo de gestión centralizado; en caso de no enviar el memorando, un delegado por el líder de Gestión Documental debe acercarse a cada una de las dependencias con el fin de identificar los referentes. Como evidencia se cuenta con el listado de acceso actualizado y/o la comunicación de solicitud de información.</t>
  </si>
  <si>
    <t>2 actualizaciones al listado de acceso que corresponderán a:
-Actualización primer semestre 50%
-Actualización segundo semestre 50%</t>
  </si>
  <si>
    <t>Se realizó el levantamiento de la información de los referentes documentales de las dependencias del nivel central y las subdirecciones Locales y se actualizó el listado, así mismo se cuenta con las Actas de algunas de las dependencias. Se está revisando el acta de compromiso para actualizar la normatividad, por lo cual aún está pendiente el envío del memorando del primer semestre.</t>
  </si>
  <si>
    <t>18/04/2022. No se generan observaciones por parte de la segunda línea de defensa, respecto a los avances  presentados en el primer monitoreo al riesgo de gestión.
No obstante, se recomienda que el listado de acceso tenga una estructura mas completa y organizada, donde se identifique claramente la fecha de actualización, el propósito del listado (título), y la dependencia a la cual pertenece el referente.</t>
  </si>
  <si>
    <t xml:space="preserve">El levantamiento se está realizando mediante las visitas y comunicación con las áreas, se adjunta listado de referentes documentales del nivel central actualizado de acuerdo con la infomació recaudada a la fecha. </t>
  </si>
  <si>
    <t>Para el tercer trimestre se avanzó en la actualización del directorio de referentes técnicos y designados documentales para las dependencias del nivel central y las subdirecciones locales, esta actividad la ejecután los profesionales archivístas en comunicación constante con las áreas.</t>
  </si>
  <si>
    <t>12/10/2022. Por favor completar toda la información del monitoreo realizado.  Es necesario tener en cuenta que el nivel de avance que se reporte debe estar en coherencia con el criterio de medición definido (columna V) y con la meta para el año (columna W).
18/10/2022. No se generan observaciones adicionales por parte de la segunda línea de defensa, respecto a los avances  presentados en el tercer monitoreo al riesgo de gestión.
Se recomienda avanzar oportunamente en la ejecución de la actividad definida, con el fin de no comprometer su cumplimiento satisfactorio para el cierre de la vigencia.</t>
  </si>
  <si>
    <t>Gestión Logística</t>
  </si>
  <si>
    <t>Administrar, gestionar y supervisar los bienes de apoyo a la operación y servicios logísticos para el normal funcionamiento de la entidad, dando cumplimiento a lo establecido en la normativa vigente.</t>
  </si>
  <si>
    <t xml:space="preserve">Realizar el Levantamiento Físico de Inventarios para su actualización.
</t>
  </si>
  <si>
    <t>R-GL-002</t>
  </si>
  <si>
    <t>Inadecuada administración de los bienes en  diferentes unidades operativas de la entidad.</t>
  </si>
  <si>
    <t xml:space="preserve">
Posibilidad de perdidas económicas para la entidad  y fallas en la disposición u oportunidad  de los bienes requeridos para la operación institucional, debido a desviaciones en la aplicación de los procedimientos de inventarios por parte de los funcionarios y/o contratistas de la Secretaría Distrital de Integración social</t>
  </si>
  <si>
    <t>Moderado</t>
  </si>
  <si>
    <t>El profesional de inventarios asignado por el coordinador del grupo de inventarios de la Subdirección administrativa y financiera, trimestralmente solicita al grupo de inventarios de la subdirección,  las pruebas representativas realizadas, con el fin de determinar si existen bienes faltantes y la plena identificación de los responsables del mismo; como evidencia de ejecución de esta actividad se encuentran los formatos diligenciados por medio de los cuales se realizaron las pruebas representativas. En caso de no ejecutarse esta actividad se debe remitir un informe justificando la no realización y adicionalmente reprogramar el conteo en el periodo siguiente.</t>
  </si>
  <si>
    <t>Profesional de inventarios de la Subdirección Administrativa y Financiera</t>
  </si>
  <si>
    <t>(Número de  pruebas representativas realizadas en el periodo/ 6  pruebas representativas realizadas en el periodo)*100</t>
  </si>
  <si>
    <t>El pasado 29 de marzo se recibieron las primeras pruebas representativas consolidas donde se obtuvo información de 11.000 bienes en la entidad plenamente identificados, se dará continuidad a la actividad para obtener información actualizada de los inventarios de la entidad. Cabe resaltar que la solicitud de la pruebas se llevó a cabo durante todo el periodo.
Como evidencia se anexan pruebas representativas realizadas durante el periodo.</t>
  </si>
  <si>
    <t>20/04/2022. No se generan observaciones o recomendaciones respecto al análisis presentado en el seguimiento.</t>
  </si>
  <si>
    <t>El grupo de almacén e inventarios consolido y remitió  entrega de 138  pruebas representativas de inventario  correspondientes al 2do trimestre del año 2022, dando cumplimiento al 100% en el trimestre.
Como evidencia se anexan pruebas representativas realizadas durante el periodo.</t>
  </si>
  <si>
    <t xml:space="preserve">19/07/2022: Se recomienda mencionar el número des pruebas y también expresarlo en términos de porcentajes, debido a que la meta se da en terminos de porcentaje.
19/07/2022. No se generan más observaciones o recomendaciones respecto al análisis presentado en el seguimiento.
</t>
  </si>
  <si>
    <t>El grupo de almacén e inventarios consolido y remitió  entrega de 146 pruebas representativas de inventario  correspondientes al 3er trimestre del año 2022, dando cumplimiento al 100% en el trimestre.
Como evidencia se anexan pruebas representativas realizadas durante el periodo.</t>
  </si>
  <si>
    <t>12/10/2022: Se recomienda firmar  las pruebas representativas de  la actividad 1 / 7 julio / 11. subdirección local Suba, debido a que hacen parte de la  verificación de la evidencia.
13/10/2022: No se generan más observaciones o recomendaciones respecto al análisis presentado en el seguimiento.</t>
  </si>
  <si>
    <t>Los bienes asignados a un responsable se transfieren a otro responsable sin autorización y sin enviar información al grupo de inventarios de la Subdirección Administrativa y Financiera</t>
  </si>
  <si>
    <t>El gestor del proceso Gestión Logística  solicita trimestralmente al grupo de inventarios de la Subdirección Administrativa y Financiera una base de datos en Excel de los traslados de bienes solicitados y gestionados, con la finalidad de salvaguardar la información del registro, en la identificación, la asignación de responsable y la ubicación de los bienes; como evidencia de ejecución de esta actividad se encuentra el informe de los traslados llevados a cabo en el periodo. En caso de no ejecutarse esta actividad se debe remitir un memorando justificando la no realización y deberá ser reprogramada en el siguiente periodo.</t>
  </si>
  <si>
    <t>Gestor de proceso Gestión Logística</t>
  </si>
  <si>
    <t>(Traslados de inventario gestionados en el periodo / Número de traslados  solicitados en el periodo.) * 100</t>
  </si>
  <si>
    <t>Durante el trimestre  se recibieron 2746 solicitudes, las cuales fueron atendidas en su totalidad, Así mismo el grupo de inventarios ha realizado los seguimientos pertinentes para que la información registrada en los aplicativos de la entidad sea coherente al momento de realizar las tomas físicas y los cruces contables.
Como evidencia se adjuntan reportes de traslados gestionados en el periodo</t>
  </si>
  <si>
    <t>Durante el 2do trimestre  se recibieron 2.,069 solicitudes, las cuales fueron atendidas en su totalidad (100%), Así mismo el grupo de inventarios ha realizado los seguimientos pertinentes para que la información registrada en los aplicativos de la entidad sea coherente al momento de realizar las tomas físicas y los cruces contables.
Como evidencia se adjuntan reportes de traslados gestionados en el periodo</t>
  </si>
  <si>
    <t>19/07/2022. No se generan observaciones o recomendaciones respecto al análisis presentado en el seguimiento.</t>
  </si>
  <si>
    <t>Durante el 3er trimestre  se recibieron 2011 solicitudes, las cuales fueron atendidas en su totalidad (100%), Así mismo el grupo de inventarios ha realizado los seguimientos pertinentes para que la información registrada en los aplicativos de la entidad, sea coherente al momento de realizar las tomas físicas y los cruces contables.
Como evidencia se adjuntan reportes de traslados gestionados en el periodo</t>
  </si>
  <si>
    <t>12/10/2022. No se generan observaciones o recomendaciones respecto al análisis presentado en el seguimiento.</t>
  </si>
  <si>
    <t>Desconocimiento de los procedimientos y lineamientos del proceso en cuanto al uso responsable de los bienes de la entidad, por parte de funcionarios y contratistas</t>
  </si>
  <si>
    <t>Semestralmente, el profesional de inventarios asignado por el coordinador del área de inventarios de la Subdirección Administrativa y Financiera  lleva a cabo una campaña de sensibilización que incluye comités, capacitaciones y piezas comunicativas, con el propósito de promover el uso responsable de los bienes en la entidad. En el evento que no se pueda llevar a cabo la campaña de sensibilización se envían memorandos  por parte del líder del proceso haciendo énfasis en el uso responsable de los bienes y el cumplimientos de los procedimientos y lineamientos establecidos por Gestión Logística.
Como evidencia se tienen los listados de asistencia a actividades de capacitación y piezas comunicativas de las campañas de sensibilización diseñadas y realizadas.</t>
  </si>
  <si>
    <t>Dos (2) campañas de sensibilización para la vigencia</t>
  </si>
  <si>
    <t>El pasado 22 de marzo la oficina de comunicaciones aprobó la primera pieza comunicativa de la vigencia la cual será difundida en toda la SDIS en los próximos días, así mismo se han venido realizando diferentes reuniones y capacitaciones con referentes de inventarios y coordinadores de las unidades operativas en pro del buen uso de los bienes de la SDIS, información que será remitida en el 2do trimestre. 
Como evidencia se adjunta pieza comunicativa objeto de difusión</t>
  </si>
  <si>
    <t>El grupo de inventarios  de la Subdirección Administrativa y Financiera, continúa adelantando jornadas de transmisión de conocimiento  sobre aplicación  de procedimientos de manejo de  inventarios que hacen parte de Sistema Integrado de gestión de la SDIS. Se dispone de  evidencias continuas de dichas gestiones.
Como evidencia se entrega memorando y correo de muestra de campaña de sencibilización para aprobación</t>
  </si>
  <si>
    <t>El día 09 de Septiembre se realizó la socialización sobre las legalizaciones de inventarios con los Fondos de Desarrollo Local, contando con la participación de los gestores de inventario de todas las localidades y los agentes territoriales quienes son nuestro enlace con las alcaldías locales.
Con esta socialización se da por cumplida la meta en la presente vigencia, sin embargo, el Grupo de Inventarios y Almacén seguirá realizando procesos de socialización en el siguiente trimestre con el fin de fortalecer el buen uso de los bienes institucionales por parte de los funcionarios y contratistas de la SDIS. Se adjunta carpeta compartida de soporte</t>
  </si>
  <si>
    <t>Registrar  las cuentas clientes de los servicios públicos de las Unidades Operativas  y de nuevos predios sobre los que la Secretaría Distrital de Integración Social debe asumir el pago de los Servicios Públicos</t>
  </si>
  <si>
    <t>R-GL-003</t>
  </si>
  <si>
    <t>Falta de oportunidad en el suministro de información en tiempo real del inicio y/o terminación de contratos de arrendamiento y apertura de  Unidades Operativas</t>
  </si>
  <si>
    <t>Posibilidad de realizar pagos acumulados y/o suspensión del servicio por parte de las Empresas de Servicios Públicos, causando inconvenientes en la prestación del servicio a los usuarios de la SDIS.</t>
  </si>
  <si>
    <t>El funcionario o contratista delegado por el Subdirector Administrativo y Financiero solicitará al área de Plantas Físicas de la Subdirección Administrativa y Financiera las actas que contienen información de los predios que entran en funcionamiento y así mismo de los que dejan de funcionar (inclusión y exclusión de predios) con el propósito de hacer seguimiento trimestral y actualización de la base de datos de servicios públicos y asegurar el control de los pagos que realmente se deben realizar y los que deben culminar por ocasión del cierre de las unidades operativas. 
En caso que no se realice el seguimiento trimestral y actualización de la base de datos de servicios públicos, se realizará en el mes siguiente. 
Como evidencia se cuenta con la bases de datos de servicios públicos actualizada con la información obtenida a partir de las actas entregadas por el área de Plantas Físicas.</t>
  </si>
  <si>
    <t xml:space="preserve">Funcionario o contratista delegado por el Subdirector Administrativo y Financiero </t>
  </si>
  <si>
    <t>(Número de seguimientos realizados / 4 seguimientos programados para la vigencia) * 100</t>
  </si>
  <si>
    <t>Durante el periodo fueron recibidas 8 actas que dan cuenta de la inclusión y la exclusión de los predios en la entidad. A partir de estos insumos fueron actualizadas las bases de datos de servicios públicos.
Como evidencia se anexan bases de datos de servicios públicos actualizadas y actas de inclusión y exclusión</t>
  </si>
  <si>
    <t>Durante el 2do trimestre fueron recibidas 11 actas que dan cuenta de la inclusión y la exclusión de los predios en la entidad, correspondiendo al segundo seguimiento programado (50%). A partir de estos insumos fueron actualizadas las bases de datos de servicios públicos.
Como evidencia se anexan bases de datos de servicios públicos actualizadas y actas de inclusión y exclusión</t>
  </si>
  <si>
    <t xml:space="preserve">19/07/2022: Se recomienda  nombre a que seguimiento programado corresponden las 11 actas y poder alinearlo con el porcentaje %.
Se recomienda subir a las evidencias  la base de datos de los servicios públicos actualizados, debido a que no se encuentran.
9/07/2022. No se generan más observaciones o recomendaciones respecto al análisis presentado en el seguimiento.
</t>
  </si>
  <si>
    <t>Durante el 3er trimestre fueron recibidas 12 actas que dan cuenta de la inclusión y la exclusión de los predios en la entidad, correspondiendo al tercer seguimiento programado (75%). A partir de estos insumos fueron actualizadas las bases de datos de servicios públicos.
Como evidencia se anexan bases de datos de servicios públicos actualizadas y actas de inclusión y exclusión</t>
  </si>
  <si>
    <t>Gestión Jurídica</t>
  </si>
  <si>
    <t>Establecer los lineamientos jurídicos de la Secretaría Distrital de Integración Social, a través de la asesoría y conceptualización, la prevención del daño antijurídico y la gestión de la defensa judicial y administrativa con el fin de dar cumplimiento a las actuaciones de la Entidad en el marco de la normatividad vigente</t>
  </si>
  <si>
    <t>Analizar y evaluar los requisitos legales vigentes y otros aplicables a los procesos del Sistema de Gestión de la Entidad</t>
  </si>
  <si>
    <t>R-GJ-001</t>
  </si>
  <si>
    <t xml:space="preserve">No se identifican oportunamente los cambios normativos aplicables a la gestión de la entidad por cada una de las dependencias. </t>
  </si>
  <si>
    <t xml:space="preserve">
Posibilidad de incurrir en inseguridad jurídica en la operación y la prestación de los servicios sociales, por la identificación inoportuna de los requisitos legales aplicables a las dependencias de la Entidad.</t>
  </si>
  <si>
    <t xml:space="preserve">En el primer y tercer trimestre de la vigencia, el administrador del procedimiento de Requisitos legales solicita a las dependencias de la Entidad, mediante correo electrónico, la actualización de la matriz de requisitos legales, conforme a lo establecido en el Procedimiento identificación y seguimiento de requisitos legales y otros aplicables, Código PCD-GJ-001.  Con base en esta información, el administrador del procedimiento analiza y evalúa la matriz de requisitos legales de la Entidad en el segundo y cuarto trimestre de la vigencia.
En caso de no recibir la información de las dependencias, en el tiempo establecido, el administrador de procedimiento procede a remitir memorando interno a los directivos de las dependencias correspondientes, solicitando la identificación de requisitos legales aplicables a través de la matriz.
Como evidencia se cuenta con 2 matrices evaluadas(junio y diciembre que contienen los requisitos legales de la entidad.
Adicional, correos de solicitud (marzo y septiembre) y/o de recepción de insumos .  </t>
  </si>
  <si>
    <t>Administrador del procedimiento Requisitos Legales</t>
  </si>
  <si>
    <t>(No de matrices de  requisitos legales aplicables de la Entidad actualizada/ 2 matrices de  requisitos legales aplicables de la Entidad programadas)100
1 trimestre: 25%, Solicitud de insumos (requisitos legales de los procesos)
2 trimestre: 25%. Publicación de la evaluación de la matriz de  requisitos legales aplicables de la Entidad del  1 semestre
3 trimestre: 25%, Solicitud de insumos (requisitos legales de los procesos)
4 trimestre 25%. Publicación de la evaluación de la matriz de  requisitos legales aplicables de la Entidad del  2 semestre</t>
  </si>
  <si>
    <t xml:space="preserve">100% 
que equivale a 2 evaluaciones publicadas de las matrices de  requisitos legales aplicables de la Entidad </t>
  </si>
  <si>
    <t xml:space="preserve">La Oficina Asesora Jurídica durante el primer trimestre del presente año, a través de la administradora del Procedimiento de Requisitos Legales y Otros aplicables, realiza la solicitud a los gestores de procesos (25 de marzo de 2022), por medio de un correo electrónico de la actualización de la matriz de requisitos legales, conforme a lo establecido en el Procedimiento “Identificación y seguimiento de requisitos legales y otros aplicables”, Código PCD-GJ-001.
Se deben recibir las 20 matrices de cada proceso y realizar la evaluación para el segundo trimestre del presente año.
Se adjunta como evidencia el pantallazo de la solicitud de los insumos.
</t>
  </si>
  <si>
    <t>18/04/2022
No se generan observaciones o recomendaciones para el periodo reportado.</t>
  </si>
  <si>
    <t>Durante el segundo trimestre del presente año, la Oficina Asesora jurídica, recibió las matrices de los 20 procesos de la Entidad.
La administradora del procedimiento de Requisitos legales y otros aplicables, consolido en una sola matriz los 20 procesos con su respectiva normativa y realizó la evaluación de cada una de las matrices o procesos de los requisitos legales de la Entidad, correspondiente la vigencia del primer semestre del presente año.
El 22 de junio de 2022, en la pagina web de la Entidad, queda publicada la matriz con la respectiva autoevaluación de los requisitos legales. 
https://www.integracionsocial.gov.co/index.php/regimen-legal/documentos/requisitos-legales-de-la-entidad-por-procesos
Se adjunta como evidencia la matriz de la evaluación del primer semestre de 2022 y el pantallazo de la publicación en la pagina web de la Entidad.</t>
  </si>
  <si>
    <t>14/07/2022
No se generan observaciones o recomendaciones para el periodo reportado.</t>
  </si>
  <si>
    <t xml:space="preserve">La Oficina Asesora Jurídica durante el tercer trimestre del presente año, a través del administrador del Procedimiento de Requisitos Legales y Otros aplicables, realiza la solicitud a los gestores de procesos (29 de septiembre de 2022), por medio de un correo electrónico de la actualización de la matriz de requisitos legales, conforme a lo establecido en el Procedimiento “Identificación y seguimiento de requisitos legales y otros aplicables”, Código PCD-GJ-001.
Se deben recibir las 20 matrices de cada proceso y realizar la evaluación para el cuarto trimestre del presente año.
Se adjunta como evidencia el pantallazo de la solicitud de los insumos.
</t>
  </si>
  <si>
    <t>11/10/2022
No se generan observaciones o recomendaciones para el periodo reportado.</t>
  </si>
  <si>
    <t xml:space="preserve">Recepcionar, analizar, procesar, proyectar y dar respuesta a los diferentes requerimientos que se allegan a la Oficina Asesora Jurídica. </t>
  </si>
  <si>
    <t>R-GJ-002</t>
  </si>
  <si>
    <t xml:space="preserve">No se reporta con calidad y oportunamente la información necesaria para dar respuesta a los  requerimientos judiciales de la Entidad, por parte de las dependencias misionales </t>
  </si>
  <si>
    <t>Posibilidad de afectación en la defensa jurídica de la entidad frente a  los pronunciamientos  judiciales y administrativos en contra de los intereses institucionales, debido a desviaciones en la información suministrada por las dependencias misionales para responder oportunamente los requerimientos judiciales.</t>
  </si>
  <si>
    <t xml:space="preserve">
El jefe de la Oficina Asesora Jurídica a través del gestor del Proceso, remitirá trimestralmente a las dependencias misionales de la Entidad (Direcciones y Subdirecciones), memorados internos con las recomendaciones para la prevención del daño antijurídico. Que a su vez, son los parámetros definidos para la entrega de los insumos que permitan dar respuesta a los requerimientos judiciales solicitados a la Oficina Asesora Jurídica.  
En caso de no remitir el memorando con las recomendaciones para la prevención del daño antijurídico,  se convocará a reuniones a las dependencias misionales de la entidad, con una frecuencia trimestral, con el fin de socializar los parámetros definidos para la entrega de los insumos necesarios para dar respuesta a los requerimientos judiciales solicitados a la Oficina Asesora Jurídica
Como evidencia se adjuntara un memorando con periodicidad trimestral o un listado de asistencia de la reunión.
</t>
  </si>
  <si>
    <t>El jefe de la Oficina Asesora Jurídica a través del gestor del Proceso, remitirá trimestralmente a las dependencias misionales de la Entidad (Direcciones y Subdirecciones), memorados internos con las recomendaciones para la prevención del daño antijurídico. Que a su vez, son los parámetros definidos para la entrega de los insumos que permitan dar respuesta a los requerimientos judiciales solicitados a la Oficina Asesora Jurídica.  
En caso de no remitir el memorando con las recomendaciones para la prevención del daño antijurídico,  se convocará a reuniones a las dependencias misionales de la entidad, con una frecuencia trimestral, con el fin de socializar los parámetros definidos para la entrega de los insumos necesarios para dar respuesta a los requerimientos judiciales solicitados a la Oficina Asesora Jurídica
Como evidencia se adjuntara un memorando con periodicidad trimestral o un listado de asistencia de la reunión.</t>
  </si>
  <si>
    <t>Jefe Oficina Asesora Jurídica
Gestor del Proceso de Gestión Jurídica</t>
  </si>
  <si>
    <t>(Números de memorando de comunicación remitidos/ 4 memorandos programados) 100</t>
  </si>
  <si>
    <t>100% que corresponde a 4 memorandos de comunicación remitidos</t>
  </si>
  <si>
    <t xml:space="preserve">En el primer trimestre del año 2022,  la Oficina Asesora Jurídica remite el 18 de marzo del presente año, un memorando a los Jefes Oficinas Asesoras, Subsecretaria, Dirección Gestión Corporativa, Dirección de Análisis y Diseño Estratégico, Dirección Territorial, Dirección Poblacional, Dirección de Nutrición y Abastecimiento, Dirección para inclusión y las familias,  haciendo las respectivas recomendaciones para la prevención del daño antijurídico y con el fin de generar una adecuada articulación entre la Oficina Asesora Jurídica y las áreas técnicas.
Se adjunta como evidencia  el respectivo memorando.
</t>
  </si>
  <si>
    <t xml:space="preserve">En el segundo trimestre del año 2022,  la Oficina Asesora Jurídica remite el 22 de junio del presente año, un memorando a los Jefes Oficinas Asesoras, Subsecretaria, Dirección Gestión Corporativa, Dirección de Análisis y Diseño Estratégico, Dirección Territorial, Dirección Poblacional, Dirección de Nutrición y Abastecimiento, Dirección para inclusión y las familias,  haciendo las respectivas recomendaciones para la prevención del daño antijurídico y con el fin de generar una adecuada articulación entre la Oficina Asesora Jurídica y las áreas técnicas.
Se adjunta como evidencia  el respectivo memorando.
</t>
  </si>
  <si>
    <t xml:space="preserve">En el tercer trimestre del año 2022,  la Oficina Asesora Jurídica remite el 25 de agosto del presente año, un memorando a los Jefes Oficinas Asesoras, Subsecretaria, Dirección Gestión Corporativa, Dirección de Análisis y Diseño Estratégico, Dirección Territorial, Dirección Poblacional, Dirección de Nutrición y Abastecimiento, Dirección para inclusión y las familias,  haciendo las respectivas recomendaciones para la prevención del daño antijurídico y con el fin de generar una adecuada articulación entre la Oficina Asesora Jurídica y las áreas técnicas.
Se adjunta como evidencia  el respectivo memorando.
</t>
  </si>
  <si>
    <t>Coordinar la implementación y mantenimiento del sistema de gestión, mediante la definición de las directrices institucionales aplicables en el marco de la normativa y requisitos identificados, con el fin de consolidar la operación de la entidad y promover su mejora.</t>
  </si>
  <si>
    <t>Establecer las directrices para la creación, actualización o derogación de los documentos; la formulación, actualización y seguimiento de los indicadores de gestión; la administración de riesgos; y el autocontrol, el seguimiento y aseguramiento de los procesos.</t>
  </si>
  <si>
    <t>R-SG-001</t>
  </si>
  <si>
    <t>1. Algunos gestores de proceso y dependencia no cuentan con los conocimientos específicos que son necesarios para promover la apropiación de las directrices del Sistema de Gestión.</t>
  </si>
  <si>
    <t>Posibilidad de que se generen desviaciones en la gestión institucional por la falta de implementación de los lineamientos del Sistema de Gestión, derivada de una falta de conocimiento y apropiación del modelo de operación por procesos.</t>
  </si>
  <si>
    <t>Cada vez que se recibe notificación de designación de un nuevo gestor de proceso o dependencia, los profesionales del Equipo de Gestores de la Subdirección de Diseño, Evaluación y Sistematización para el Sistema de Gestión-SG realizan inducción al rol mediante la presentación de los ejes temáticos definidos en el mecanismo interno de socialización del SG, con el fin de suministrar los conceptos básicos que debe conocer el gestor para el desempeño de sus responsabilidades. Como evidencia se cuenta con registros de asistencia y/o evaluaciones de inducción. En caso de no realizar inducción en la fecha establecida, se reprograma hasta que sea ejecutada.</t>
  </si>
  <si>
    <t>Profesionales del Equipo de Gestores de la Subdirección de Diseño, Evaluación y Sistematización para el Sistema de Gestión</t>
  </si>
  <si>
    <t>(N° de gestores nuevos que asistieron a inducción(es) realizada(s) en el periodo / N° de nuevos gestores designados en el periodo)*100
Nota: El resultado del indicador para el cierre de la vigencia corresponde al calculo acumulado.</t>
  </si>
  <si>
    <t>Durante el primer trimestre se recibió la designación de 56 gestores de procesos y dependencias, correspondientes a los 20 procesos y 44 dependencias de la entidad. El total de gestores no coincide con el total de procesos y dependencias debido a que algunos gestores desempeñan ambos roles y/o tienen a cargo mas de un proceso.
Durante la semana del 22 al 25 de marzo, se llevó a cabo la Semana de inducción y reinducción al SG 2022, en la cual se contó con la participación del total de gestores designados para los 20 procesos y las 45 dependencias de la entidad, incluyendo el gestor de la Subdirección para la Gestión Integral Local, quien tiene pendiente su ratificación formal, sin embargo continua en su rol como gestor, lo cual explica el sobrecumplimiento en el resultado del indicador.
Como evidencia se presenta el Directorio de gestores 2022, con la relación de gestores y fechas en que fue recibida la designación, además de los registros de asistencia y evaluaciones de la semana de inducción.</t>
  </si>
  <si>
    <t>20/04/2022
No se generan observaciones o recomendaciones respecto a los avances y evidencias presentados en el monitoreo al riesgo de gestión.
La explicaciòn  del sobrecumplimiento esta bien sustentada.</t>
  </si>
  <si>
    <t>Durante el segundo trimestre se recibió la designación de una (1) gestora de dependencia, con quien se tiene pendiente programar jornada de inducción, la cual por corresponder a una gestora de Subdirección Local, se debe realizar en articulación con el gestor del Proceso Prestación de servicios sociales para la inclusión social, según las responsabilidades establecidas en el Protocolo de inducción al SG (PTC-TH-002). Esta inducción se realizará en el tercer trimestre.
De manera acumulada se han realizado 64 inducciones de los 65 roles de gestores (proceso y dependencia) designados en el año.
Como evidencia se presenta el Directorio de gestores 2022, con la relación de gestores y fechas en que fue recibida la designación, donde se resalta la única actualización del periodo.</t>
  </si>
  <si>
    <t xml:space="preserve">13/07/2022
No se generan observaciones o recomendaciones respecto a los avances y evidencias presentados en el monitoreo al riesgo de gestión.
</t>
  </si>
  <si>
    <t>En el tercer trimestre se realizó inducción al SG a diez (10) gestores designados, así:
* El 29 de julio y 1 de agosto: Subdirección Local de Puente Aranda y Antonio Nariño (inducción pendiente del segundo trimestre)
* El 2, 11 y el 19 de agosto: proceso Gestión contractual.
* El 29 de septiembre:
 - Proceso Gestión del conocimiento.
 - Dirección de Nutrición y Abastecimiento.
 - Dirección para la Inclusión y las Familias.
 - Subdirección de Nutrición.
 - Subdirección para la Gestión Integral Local.
 - Subdirección Local de Puente Aranda y Antonio Nariño.
 - Subdirección Local de San Cristobal
 - Subdirección Local de Martires.
Adicionalmente, en el periodo se recibio solicitud por parte de la gestora de la Subdirección para la Discapacidad, para realizar inducción al nuevo Subdirector de la dependencia, la cual se llevó a cabo el 05 de agosto.
De manera acumulada se han realizado 74 inducciones de los 74 roles de gestores (proceso y dependencia) designados y actualizados en el año.
Como evidencia se presenta el Directorio de gestores 2022, con la relación de gestores y fechas en que fue recibida la designación, además de los registros de asistencia y las evaluaciones realizadas.</t>
  </si>
  <si>
    <t xml:space="preserve">12/10/2022
No se generan observaciones o recomendaciones respecto a los avances y evidencias presentados en el monitoreo al riesgo de gestión.
</t>
  </si>
  <si>
    <t>Anualmente, el(la) Director(a) de Análisis y Diseño Estratégico o Subdirector(a) de Diseño, Evaluación y Sistematización, remiten un memorando dirigido a los líderes de proceso y jefes de dependencia, recordando las responsabilidades de los gestores de proceso y dependencia y/o recomendando la designación de profesionales calificados para el cumplimiento del rol. En caso de no remitir memorando, se genera correo informativo de comunicación interna que divulgue masivamente las responsabilidades de los gestores. Como evidencia se cuenta con el memorando o el correo de comunicación interna, según aplique.</t>
  </si>
  <si>
    <t>Director(a) de Análisis y Diseño Estratégico o Subdirector(a) de Diseño, Evaluación y Sistematización</t>
  </si>
  <si>
    <t>(N° de memorandos o comunicaciones enviadas / N° de memorandos o comunicaciones programados para envío) * 100
Meta: 1 memorando o comunicación.</t>
  </si>
  <si>
    <t>Mediante memorando I2022004797 del 07/02/2022, el Director de Análisis y Diseño Estratégico solicito la designación de gestores de proceso y dependencia, presentando las respectivas recomendaciones con el fin de recibir designaciones pertinentes para el adecuado desempeño del rol.
Como evidencia se presenta el memorando en mención.</t>
  </si>
  <si>
    <t>20/04/2022
No se generan observaciones o recomendaciones respecto a los avances y evidencias presentados en el monitoreo al riesgo de gestión.</t>
  </si>
  <si>
    <t>La actividad de control se ejecuta una vez al año y la misma fue cumplida en el primer trimestre, con lo cual se mantiene un cumplimiento acumulado del 100%.</t>
  </si>
  <si>
    <t>La actividad de control se ejecuta una vez al año y la misma fue cumplida en el primer trimestre, con lo cual se mantiene un cumplimiento acumulado del 100%. 
No obstante, teniendo en cuenta que se presentaron cambios al interior de las dependencias y procesos, para el segundo semestre se envió memorando I2022025981 del 01/08/2022, solicitando la ratificación o designación de nuevos gestores, presentando las respectivas recomendaciones con el fin de recibir designaciones pertinentes para el adecuado desempeño del rol.
Como evidencia se presenta el memorando en mención.</t>
  </si>
  <si>
    <t>Evaluar de manera independiente la gestión institucional, desarrollando los roles asignados a la Oficina de Control Interno de acuerdo con la normativa vigente, aportando las recomendaciones correspondientes, para el mejoramiento continuo de la gestión institucional.</t>
  </si>
  <si>
    <t>Realizar seguimiento al estado del plan de mejoramiento</t>
  </si>
  <si>
    <t>R-AC-002</t>
  </si>
  <si>
    <t xml:space="preserve">Debido a la ausencia de puntos de control previo a la solicitud de publicación del plan de mejoramiento (de origen interno) institucional </t>
  </si>
  <si>
    <t>Posibilidad de que se afecte la calidad y la seguridad de la información del plan de mejoramiento (de origen interno) institucional, al momento de su diligenciamiento debido a la ausencia de controles por tratarse de una hoja de cálculo (Archivo Excel).</t>
  </si>
  <si>
    <t xml:space="preserve">Mensualmente, el profesional de la OCI responsable de solicitar la publicación del plan de mejoramiento institucional (de origen interno), verifica la información consignada de acuerdo con lo establecido en los Procedimientos de Formulación Plan de Mejoramiento (PCD-PE-017) y Seguimiento al Plan de Mejoramiento (PCD-AC-001), y a las instrucciones de diligenciamiento de los Formatos Registro y control del plan de mejoramiento (FOR-AC-001) e Identificación de responsables por acción (FOR-PE-057), dejando como registro, la emisión de un correo electrónico a los profesionales de la OCI, informado el resultado de la verificación a la calidad y seguridad de la información. 
Si una vez publicado el plan mejoramiento institucional se mantienen debilidades en la calidad y seguridad de la información consignada, el profesional de la OCI responsable de solicitar la publicación del plan de mejoramiento institucional, informa al jefe de la OCI para que notifique de manera oficial a la(s) dependencia(s) responsable(s) de la ejecución o coordinación de la acción, según el caso, la importancia de ajustar la inconsistencia de la información con oportunidad. </t>
  </si>
  <si>
    <t xml:space="preserve">Profesional de la OCI responsable de solicitar la publicación del plan de mejoramiento institucional </t>
  </si>
  <si>
    <t>10 correos electrónicos con el resultado de la verificación a la calidad y seguridad de la información del plan de mejoramiento institucional</t>
  </si>
  <si>
    <t xml:space="preserve">El profesional de la OCI responsable de solicitar la publicación del plan de mejoramiento institucional (de origen interno), verificó la información consignada de acuerdo con lo establecido en el Procedimiento Seguimiento al Plan de Mejoramiento (PCD-AC-001) y a las instrucciones de diligenciamiento del  Formatos Registro y control del plan de mejoramiento (FOR-AC-001) dejando como registro, la emisión de un (1) correo electrónico el  07/03/2022 a los profesionales de la OCI, informado el resultado de la verificación a la calidad y seguridad de la información. </t>
  </si>
  <si>
    <t>9/04/2022. No se generan observaciones o recomendaciones respecto al análisis presentado en el seguimiento al indicador de riesgos.</t>
  </si>
  <si>
    <t xml:space="preserve">Durante el segundo trimestre el profesional de la OCI responsable de solicitar la publicación del plan de mejoramiento institucional (de origen interno), verificó la información consignada de acuerdo con lo establecido en el Procedimiento Seguimiento al Plan de Mejoramiento (PCD-AC-001) y a las instrucciones de diligenciamiento del  Formatos Registro y control del plan de mejoramiento (FOR-AC-001) dejando como registro, la emisión de tres (3) correos electrónicos de fechas: 07/04/2022, 07/05/2022 y 09/06/2022 a los profesionales de la OCI, informado el resultado de la verificación a la calidad y seguridad de la información. </t>
  </si>
  <si>
    <t>10/05/2022. No se generan observaciones o recomendaciones respecto al análisis presentado en el seguimiento al indicador de riesgos.</t>
  </si>
  <si>
    <t xml:space="preserve">Durante el tercer trimestre el profesional de la OCI responsable de solicitar la publicación del plan de mejoramiento institucional (de origen interno), verificó la información consignada de acuerdo con lo establecido en el Procedimiento Seguimiento al Plan de Mejoramiento (PCD-AC-001) y a las instrucciones de diligenciamiento del Formato Registro y control del plan de mejoramiento (FOR-AC-001) dejando como registro, la emisión de tres (3) correos electrónicos de fechas: 11/07/2022, 08/08/2022 y 08/09/2022 a los profesionales de la OCI, informado el resultado de la verificación a la calidad y seguridad de la información. </t>
  </si>
  <si>
    <t>12/10/2022. No se generan observaciones o recomendaciones respecto al análisis presentado en el seguimiento al indicador de riesgos.</t>
  </si>
  <si>
    <t>Inspección, Vigilancia y Control</t>
  </si>
  <si>
    <t>Realizar actividades de asesoría técnica, verificación y seguimiento al cumplimiento de estándares de calidad, con el fin de promover la mejora en la calidad de la prestación de los servicios sociales del Distrito Capital de acuerdo a la normativa vigente y a la competencia otorgada a la Secretaría Distrital de Integración Social.</t>
  </si>
  <si>
    <t>Realizar visitas de Inspección y vigilancia a los diferentes servicios sociales, aplicando el IUV para la verificación del cumplimiento de los estándares técnicos de calidad</t>
  </si>
  <si>
    <t>R-IVC-001</t>
  </si>
  <si>
    <t>En ocasiones el equipo de verificación del proceso no cuenta con unidad de criterio para la evaluación del cumplimiento de los estándares de calidad durante las visitas de verificación.</t>
  </si>
  <si>
    <t>Posibilidad que el resultado de las visitas no refleje el estado real de cumplimiento de los estándares, ocasionando pérdida de interés por cumplir con los estándares de calidad, disminución de calidad del servicio, pérdida de credibilidad institucional, posibles sanciones por parte de un ente de control o regulador, lo que ocurre porque el equipo de verificación no cuenta con unidad de criterio para la evaluación del cumplimiento de los estándares de calidad.</t>
  </si>
  <si>
    <t>El líder del equipo de Inspección y Vigilancia de la Subsecretaría de manera conjunta con los líderes de los equipos técnicos de las Subdirecciones, anualmente por cada servicio social sujeto a Inspección y Vigilancia, convocan a una reunión de equipo con los profesionales interdisciplinarios encargados de realizar asistencia técnica y verificación de estándares de calidad y/o otros lineamientos, con el fin de unificar criterios frente a los requisitos que se deben cumplir en la prestación de los servicios sociales. De lo contrario, se realizarán reuniones cuando se modifiquen o actualicen los estándares o lineamientos por servicio social sujeto a Inspección y Vigilancia en la vigencia.
Como evidencia de esta actividad se cuenta con las actas de  reunión y/o planillas de asistencia.</t>
  </si>
  <si>
    <t>Líder del equipo de Inspección y Vigilancia de la Subsecretaría</t>
  </si>
  <si>
    <t>(# de reuniones de los equipos técnicos realizadas (por servicio social) / # de reuniones de los equipos técnicos programadas  (por servicio social) * 100</t>
  </si>
  <si>
    <t>100% 
(2 reuniones en el año)</t>
  </si>
  <si>
    <t>Durante el primer trimestre del 2022, se llevaron a cabo 5 reuniones con las respectivas Subdirecciones técnicas y grupos internos de trabajpo, donde se abordaron los siguientes temas: 1. Unificación de criterios de acuerdo con la Resolución 2151 de Educación Inicial;  2. Unificación de criterios en la aplicación del IUV de estándares de Calidad de Persona Mayor; 3. Unificación de criterios de Nutrición y socialización de la Resolucion 2151- Educación inicial; 4. Unificación de criterios de Ambientes Adecuados y Seguros y socialización de la Resolucion 2151- Educación inicial; 5. Unificación de criterios de Pedagógico y socialización de la Resolución 2151- Educación inicial. Las reuniones se realizan con el fin de unificar criterios frente a los requisitos puntuales que se deben cumplir en la prestación de los servicios sociales de educación inicial y persona mayor.
De igual forma, se realizaron 4 mesas de trabajo internas para la unificación de criterios por componentes, en el marco de los lineamientos COVID para infancia y persona mayor.
Es importante mencionar que estas mesas de trabajo se han realizado de manera conjunta con profesionales de las Subdirecciones técnicas, DADE y equipo de Inspección y Vigilancia de la Subsecretaría.
Evidencia: Actas de las reuniones</t>
  </si>
  <si>
    <t>08/04/2022. No se generan observaciones por parte de la segunda línea de defensa, respecto a los avances y evidencias presentados en el monitoreo al riesgo de gestión.</t>
  </si>
  <si>
    <t>Durante el segundo trimestre del 2022, se llevaron a cabo 5 reuniones con las respectivas Subdirecciones técnicas y grupos internos de trabajo, donde se abordaron los siguientes temas:
1. Unificación de criterios del Instrumento Único de Verificación - IUV inicial construido para los nuevos servicios (Centros Proteger y Hogar de paso Habitante de Calle) tendientes a ingresar al proceso Inspección y vigilancia.
2. Avances en la construccion del IUV inicial construido para los dos nuevos servicios (dos reuniones).
3. Unificación de criterios de Nutrición y Salubridad - Centros Proteger.
4. Socializacion del IUV de Centros proteger y Habitante de Calle.
De igual forma, se realizaron se realizaron pruebas pilotos iniciales a los IUV construidos para los dos nuevos servicios. (Se adjunta listados de asistencia).
Evidencia: Actas de las reuniones y  listados de asistencia.</t>
  </si>
  <si>
    <t>Durante el tercer trimestre del 2022 se llevaron a cabo dos reuniones con los grupos internos de trabajo, donde se abordó: i) Socialización del Instrumento Único de Verificación Centros Proteger e Instrumento Único de Verificación Hogares Transitorios y ii) Unificación de criterios para la aplicación del Instrumento Único de Verificación en los Centros Proteger y Hogares de paso de habitante de la calle por cada componente.
Evidencia: Actas de las reuniones realizadas</t>
  </si>
  <si>
    <t>Revisar los instrumentos que contienen los resultados de las visitas y generar informes de resultados del cumplimiento de los estándares de calidad y otros lineamientos para cada institución visitada</t>
  </si>
  <si>
    <t>R-IVC-002</t>
  </si>
  <si>
    <t xml:space="preserve">El proceso no cuenta con un sistema de información que permita procesar o administrar la información que se genera en el desarrollo de las actividades establecidas. </t>
  </si>
  <si>
    <t>Posibilidad de pérdida de bases de datos en excel, que contengan información básica de las instituciones prestadoras de servicios sociales, así como la trazabilidad de las visitas de verificación de estándares de calidad u otros lineamientos, ocasionando toma de decisiones basada en información inconsistente/incompleta, errores en los reportes que se generan, pérdida de trazabilidad para la entidad, pérdida de credibilidad institucional, sanciones por parte de un ente de control o regulador debido a que no se cuenta con un sistema de información que administre y consolide toda la información resultado de las visitas.</t>
  </si>
  <si>
    <t>El profesional administrativo del equipo de Inspección y Vigilancia del nivel central, realiza mensualmente el cotejo entre la información actualizada en las bases de datos y los instrumentos únicos de verificación (físicos) entregados por los profesionales encargados de realizar la verificación de estándares a instituciones o establecimientos prestadores de servicios sociales en el Distrito Capital, con el fin de mantener actualizada y de forma completa la información de las instituciones y los resultados de las visitas. Una vez se hace el cotejo se realiza una copia de los archivos en Excel con el historial de visitas por servicio. 
En caso de que se identifique alguna inconsistencia en el registro de la información, se solicita realizar el ajuste de manera inmediata, según corresponda.
Como evidencia de esta actividad se cuenta con las bases de datos actualizadas y la copia que se realiza de manera mensual para cada servicio.</t>
  </si>
  <si>
    <t>Profesional administrativo del equipo de Inspección y Vigilancia</t>
  </si>
  <si>
    <t xml:space="preserve">(# de copias buckup del consolidado de visitas de los servicios sociales realizadas en el trimestre / # de copias del consolidado de visitas de los servicios sociales programadas en el trimestre) * 100 </t>
  </si>
  <si>
    <t>Durante el primer trimestre, se realizó la programación de visitas para los servicios de educación inicial y persona mayor; en enero y febrero se realizó visita a los dos servicios realizando verificación de estándares y la verificación de la continuidad de los servicios y para marzo solo se programó el servicio de Persona Mayor, considerando que para Educación Inicial se realizó la actualización de los estándares de calidad. 
Se realizaron 5 cotejos de información en las bases de datos y en los soportes generados en cada visita (las actas e instrumentos únicos de verificación (físico), 3 para persona mayor (ene, feb y mar) y dos para educación inicial (ene y feb).
Se realizó la actualización de los archivos de consolidados de visitas de los servicios de Educación Inicial y Persona Mayor conforme las visitas realizadas mensualmente.
Evidencia: copias de los archivos de consolidados de visitas de los servicios de Educación Inicial y Persona Mayor.</t>
  </si>
  <si>
    <t>Durante el segundo trimestre, se realizó la programación de visitas para los servicios de educación inicial y persona mayor; también se realizó visita a los dos servicios donde se hizo la verificación de estándares y la verificación de la continuidad de los servicios.
Se realizaron 6 cotejos de información en las bases de datos y en los soportes generados en cada visita (las actas e instrumentos únicos de verificación (físico), 3 para persona mayor (abril, mayo y junio) y 3 para educación inicial (abril, mayo y junio).
Se realizó la actualización de los archivos consolidados de visitas de los servicios de Educación Inicial y Persona Mayor conforme con las visitas realizadas mensualmente.
Evidencia: copias de los archivos de consolidados de visitas de los servicios de Educación Inicial y Persona Mayor.</t>
  </si>
  <si>
    <t>Durante el tercer trimestre se realizó la programación de visitas para los servicios de Educación Inicial y Persona Mayor, así como visitas para la verificación en la continuidad de la prestación de los servicios.
Se realizaron 6 cotejos de información en las bases de datos de programación y en los soportes generados en cada visita (las actas de la visita e Instrumento Único de Verificación - IUV (físico), 3 para persona mayor (julio, agosto, septiembre) y 3 para educación inicial (julio, agosto, septiembre).
Se realizó la actualización de los archivos consolidados de visitas de los diferentes servicios sociales conforme con las visitas realizadas mensualmente.
Evidencia: copias de los archivos de consolidados de visitas de los servicios sociales visitados.</t>
  </si>
  <si>
    <t>El profesional administrativo del equipo de Inspección y Vigilancia realiza el seguimiento trimestral a la Subdirección de Investigación e Información, sobre la producción del aplicativo "Sistema de Información y Registro de los Servicios Sociales" (SIRSS), de acuerdo a las especificaciones técnicas presentadas, para evidenciar el avance de creación del mismo. De no poder realizarla en el tiempo programado, se realiza en el mes siguiente.
Como evidencias quedan los correos o actas o ayudas de memorias y listados de asistencia.</t>
  </si>
  <si>
    <t>El profesional administrativo del equipo de Inspección y Vigilancia realiza el seguimiento trimestral a la Subdirección de Investigación e Información, sobre la producción del aplicativo "Sistema de Información y Registro de los Servicios Sociales" (SIRSS),de acuerdo a las especificaciones técnicas presentadas, para evidenciar el avance de creación del mismo. De no poder realizarla en el tiempo programado, se realiza en el mes siguiente.
Como evidencias quedan los correos o actas o ayudas de memorias y listados de asistencia.</t>
  </si>
  <si>
    <t># de seguimientos realizados de la producción del aplicativo SIRSS / # de seguimientos programados de la producción del aplicativo SIRSS</t>
  </si>
  <si>
    <t>Durante el primer trimestre 2022, el SIRSS se encuentra en turno para salida a producción, para este trimestre la DADE avanza en la estrategia de mejoramiento del SIRBE, por lo cual el SIRSS continua en turno para producción.</t>
  </si>
  <si>
    <t>08/04/2022. No se presentaron las evidencias definidas (correos, actas, ayudas de memoria o listados de asistencia) que dan cuenta del seguimiento realizado a la producción del aplicativo. Por tanto, se solicita ajustar la cifra de avance a cero.
12/04/2022. No se generan observaciones adicionales.</t>
  </si>
  <si>
    <t>Durante el segundo trimestre 2022, la Dirección de Análisis y Diseño Estratégico - DADE asignó en el mes de junio a los ingenieros que trabajarán en el desarrollo del nuevo SIRSS, con los cuales se han llevado a cabo dos reuniones sobre el aplicativo, una para iniciar ciclos de trabajo con el fin de contextualizar sobre el aplicativo y las necesidades proyectadas en las historias de usuario y la siguiente para avanzar en el ajuste de las historias de usuarios conforme los nuevos requerimientos de cada servicio.
Durante el mes de junio se llevaron dos reuniones; se adjuntan las ayudas de memoria como evidencia.</t>
  </si>
  <si>
    <t>Durante el tercer trimestre 2022 se trabajó conjuntamente con el ingeniero asignado por la Dirección de Análisis y Diseño Estratégico - DADE en el desarrollo del nuevo SIRSS. Se han llevado a cabo cuatro reuniones sobre el aplicativo para iniciar ciclos de trabajo con el fin de contextualizar sobre el aplicativo y las necesidades proyectadas en las historias de usuario y para avanzar en el ajuste de las historias de usuarios conforme los nuevos requerimientos de cada servicio.
Durante el mes de julio y septiembre se llevaron cuatro reuniones. Se adjuntan las ayudas de memoria como evidencia.</t>
  </si>
  <si>
    <t>El profesional administrativo del equipo de Inspección y Vigilancia realiza backup mensuales de las bases de datos de la información general producida (Resultados de verificación de Estándares, lineamientos e Inscritos), con el objetivo de salvaguardar la información de las visitas de verificación de condiciones de operación realizadas por el equipo de Inspección y Vigilancia. De lo contrario, se realizará en la semana siguiente de cumplido el mes del reporte.
Como evidencia queda el Link ONEDRIVE del backup mensual de IVC.</t>
  </si>
  <si>
    <t>1 backup mensual</t>
  </si>
  <si>
    <t>Se realiza Backup del primer trimestre de las bases de IVC, de acuerdo con la recomendación de Sistemas, en:  https://sdisgovco-my.sharepoint.com/personal/nolarte_sdis_gov_co/_layouts/15/onedrive.aspx?ct=1649343216107&amp;or=OWA%2DNT&amp;cid=0eccc561%2D81fd%2Dcc59%2D1d87%2D58893a2f5489&amp;ga=1&amp;id=%2Fpersonal%2Fnolarte%5Fsdis%5Fgov%5Fco%2FDocuments%2FBackup%20IVSS%2F2022</t>
  </si>
  <si>
    <t>Se realiza Backup del segundo trimestre de las bases de IVC, de acuerdo con la recomendación de Sistemas, en: https://sdisgovco-my.sharepoint.com/:f:/g/personal/nolarte_sdis_gov_co/EtMKqfbvpHJKt12aefWNOkcBXWHZaZh2MkCgnGet8cmI_g?e=VcIiMV</t>
  </si>
  <si>
    <t>Se realiza Backup del tercer trimestre de las bases de IVC, de acuerdo con la recomendación de Sistemas, en: https://sdisgovco-my.sharepoint.com/personal/inspeccionyvigilanciadess_sdis_gov_co/_layouts/15/onedrive.aspx?login_hint=inspeccionyvigilanciadess%40sdis%2Egov%2Eco&amp;id=%2Fpersonal%2Finspeccionyvigilanciadess%5Fsdis%5Fgov%5Fco%2FDocuments%2FINFORMACI%C3%93N%20IVC</t>
  </si>
  <si>
    <t>jóvenes que tenemos a cargo.</t>
  </si>
  <si>
    <t>Se debe actualizar el indicador de gestión, con las recomendaciones dadas anteriormente en el correo. Por favor revisar la ortografía antes de enviar el reporte.</t>
  </si>
  <si>
    <t>por parte de las defensorías, juzgados y profesionales de los servicios sobre procesos de</t>
  </si>
  <si>
    <t>atención en salud, situaciones de riesgo a nivel familiar e individual y la atención de solicitudes</t>
  </si>
  <si>
    <t>sobre posibles cambios de sanciones, la facilitación de espacios para estudios de caso entre</t>
  </si>
  <si>
    <t>Dentro de los requerimientos más solicitados se siguen manteniendo la verificación y consulta</t>
  </si>
  <si>
    <t>defensorías, los ocho juzgados de conocimiento y los tres servicios de atención de Forjar.</t>
  </si>
  <si>
    <t>electrónico y wasap sin contar las recibidas por llamada telefónica reportadas por las dieciocho</t>
  </si>
  <si>
    <t>Durante la vigencia de 2022 se logró evidenciar el cumplimiento del 100% de la implementación de las soluciones aplicadas a cada uno de los requerimientos de Desarrollo, Modificación y Mantenimiento de software generados a la Subdirección de Investigación e Información. Así las cosas el indicador logra un porcentaje de cumplimiento para la vigencia del 100% con respecto a la meta propuesta (100%).
Por parte de la Subdirección de Investigación e Información se propone mantener el indicador.</t>
  </si>
  <si>
    <t>12/01/2023 No se generan observaciones y/o recomendaciones respecto al análisis presentado en el seguimiento al indicador de gestión.</t>
  </si>
  <si>
    <t>Se presenta avance cualitativo de la ejecución del indicador, durante el mes de diciembre se planeó la implementación de 9 requerimientos los cuales finalizaron y se desplegaron en producción de acuerdo a lo planeado.
Listado de temas:
Mantenimiento de software(6 requerimientos)
1. Kactus: Actualización del sistema Kactus conforme lo definido para la implementación de Resolución 2012 del 2022 y Decreto 768 del 2022 para cambios en planilla integradora; Resolución 858 de 2021 UGPP.
2. Focalización: Modificación de información de BD producción Focalización
3. Seven: Actualizar el programa plan anual de adquisiciones
4. Actualizar el programa registro y control de pasivos exigibles. 
5. Focalización: Modificación de información de BD producción Focalización
6. Seven: actualización el reporte SCTVMC03.rpt, por inclusión de firma. 
Modificaciones de software (3 requerimientos) 
7. Normograma: Se solicita ejecutar en ambiente de producción los ajustes y nuevos desarrollos de la aplicación de Normograma.
8. IOPS: Se despliegan cambios solicitados encaminados a mejorar la usabilidad de la aplicación, que hacen parte de la solicitud realizada a través de la historia de usuario 'Historia Usuario IOPS - Ajustes Generales'.
9. SIRBE: Armonización de información pendiente por el proyecto  7745-COMPROMISO POR UNA ALIMENTACIÓN INTEGRAL EN BOGOTÁ . Implementación de ajuste de funcionalidad para registro de beneficiarios en un beneficio en sirbe. Implementación de ajuste de funcionalidad para generación de relaciones de pago para seleccionar los contratos vigentes parametrizados por modalidad de servicio.</t>
  </si>
  <si>
    <t>12/12/2022 No se generan observaciones y/o recomendaciones respecto al análisis presentado en el seguimiento al indicador de gestión.</t>
  </si>
  <si>
    <t>Se presenta avance cualitativo de la ejecución del indicador, durante el mes de noviembre se planeó la implementación de 22 requerimientos los cuales finalizaron y se desplegaron en producción de acuerdo a lo planeado. Listado de temas:
Mantenimiento de software(10 requerimientos)
1.Seven:Actualizacion el reporte SCTRMP15.rpt
2. Actualización del rpt SInMinveE en servidor de reportes Andrómeda Seven ERP, para visualizar con el formato adecuado, El valor total en decimales, requerido por la Gerencia de Inventarios
3.Actualizacion el reporte SCTVMC03.rpt
4.Actualizacion del programa SAfActiv en servidor de aplicaciones apus Seven ERP, por temas de versionamiento.  
5.Actualizacion del programa SAfParam en servidor de aplicaciones apus Seven ERP, por temas de versionamiento.  
6.Actualizacion del programa SGnToper en servidor de aplicaciones apus Seven ERP, por temas de versionamiento.  
7.Importacion del Plan de Compras  
8.Proceso de Selección y contratación  
9.Aplicacion RAJ: Restauración de contraseñas de acceso a RAJ 
10.Kactus: Registro programa KNmPrapr
Modificaciones de software (12 requerimientos) 
11.SIRBE: Modificación masiva de Bonos Otorgados
12.Modificación masiva de Bonos No Otorgados a autorizados
13.Modificación información solicitada por Vejez para cargue masivo de Variables especificas. Modificación masiva de Estados de beneficiarios. Modificación masiva de variables especificas por cambio de modalidad a (BCS). Armonización pendientes
14.Modificación masiva de Bonos Otorgados a autorizados priorización
15.RAJ: Modificación nuevo plan de desarrollo en RAJ
16.AZ DIGITAL: Se requiere parametrizar las ventanillas para descarga de correo  y radicación de correo automático en AZdigital producción
17. Se requiere parametrizar las ventanillas para descarga de correo  y radicación de correo automático en AZdigital producción, de las siguientes cuentas de correo buzonsinproc@sdis.gov.co, integracion@sdis.gov.co y notificacionesjudiciales@sdis.gov.co
18.Se requiere parametrizar las ventanillas para descarga de correo  y radicación de correo automático en AZdigital producción, de las siguientes cuentas de correo buzonsinproc@sdis.gov.co, integracion@sdis.gov.co y notificacionesjudiciales@sdis.gov.co
19.SSN: Se corrige error que hacía que no se pudieran descargar archivos de resumen de procesamiento de datos. Se modifican los reportes "niños y niñas por entidad " y "población activa"
20.Focalizacion: Modificación en el formulario de personas y vivienda para el mejoramiento del guardado
21.Modificación de información de BD producción Focalización
22.Cambio de modalidades restricción listados de priorización</t>
  </si>
  <si>
    <t>15/11/2022 No se generan observaciones y/o recomendaciones respecto al análisis presentado en el seguimiento al indicador de gestión.</t>
  </si>
  <si>
    <t xml:space="preserve">Se presenta avance cualitativo de la ejecución del indicador, durante el mes de octubre se planeó la implementación de 12 requerimientos los cuales finalizaron y se desplegaron en producción de acuerdo a lo planeado.
Listado de temas:
Mantenimiento de software(6 requerimientos)
1.Kactus:Actualización del reporte de nomina
2.APLICACION RAJ: Restauración de contraseñas de acceso a RAJ 
3.Restauracion de contraseñas de acceso a RAJ 
4.SNN: Actualización el reporte spgsocdp.rpt 
5.SIRBE:Realizar el procedimiento de armonización del sistema misional SIRBE, habilitando la gestión de los proyectos y modalidades 
Adscritos al plan de desarrollo -Un Nuevo Contrato Social y Ambiental para la Bogotá del Siglo XXI- 2020, 2024.
6.Cambio de versión dll Reportes para permitir la encriptación de personas con tipo documento SP 
Modificaciones de software (2 requerimientos) 
7.SSN: Se modifican las consultas utilizadas para mostrar los reportes A17, A20, A24, A25, A27, A28 y niños y niñas a transitar, y se realiza limpieza de 34 fechas de nacimiento identificadas como erróneas
8.RAC: Crear JOB para colocar los Bono entregados en automático a "NO OTORGADO"
Nueva funcionalidad (4 requerimientos) 
9.Normograma: ejecutar en ambiente de producción los ajustes y nuevos desarrollos de la aplicación.
10.Focalizacion: Modificación de información de BD producción Focalización
11.APUS: Creación del  web services radicación de facturas 
12.IOPS: Se despliegan cambios tenientes a realizar integración completa entre IOPS y Seven en lo relacionado con la creación de facturas de pago de informes mensuales, eliminando la necesidad de paso manual entre los dos sistemas de información al momento de generar bitácoras de facturación. Adicionalmente, se mejora el look and feel y se integra completamente la funcionalidad de la aplicación "Radicador" en IOPS. </t>
  </si>
  <si>
    <t>Se presenta avance cualitativo de la ejecución del indicador, durante el mes de septiembre se planeó la implementación de 11 requerimientos los cuales finalizaron y se desplegaron en producción de acuerdo a lo planeado.
Listado de temas:
Mantenimiento de software(3 requerimientos)
1.SEVEN: Actualización del  rpt  SCTVMC03 en servidor de reportes Andrómeda Seven ERP,  para visualizar con el formato adecuado los campos requeridos por  la dirección de contratación
2.IOPS: Actualizar el formato de certificación de contratos suscritos con entidades del estado que muestra IOPS como plantilla para su diligenciamiento.
3.SEVEN: actualización el reporte spgsocdp.rpt 
Modificaciones de software (8 requerimientos) 
4.FOCALIZACION:Modificación de información de BD producción Focalización
5.SIRBE:Cambio de versión EJECUTABLE SIRBE para permitir la creación de reglas de las nuevas variables especificas 
6.SSN: Activar usuarios en la plataforma de Sistema de Seguimiento Nominal
7.Es requerido que se creen usuarios de las distintas secretarías que participan en la Ruta de Atención Integral, con el objetivo que
puedan ingresar al sistema a actualizar los datos correspondientes con las atenciones prestadas.
8.SIRBE: Modificación de información Trigger de Sirbe Producción
9.Modificación de información de BD producción Focalización
10. Modificación de información de BD producción Focalización
11. Normograma: Se solicita ejecutar una serie de scripts para la actualización de un campo en la tabla administracion_documento de la base de
datos de la aplicación de Normograma.
En el 3 trimestre (julio a septiembre) se implementaron 30 requerimientos, los cuales finalizaron en su totalidad según lo programado.</t>
  </si>
  <si>
    <t>"Se presenta avance cualitativo y cuantitativo de la ejecución del indicador, durante el mes de junio se planeó la implementación de 10 requerimientos los cuales finalizaron y se desplegaron en producción de acuerdo a lo planeado.
Listado de temas:
1. SEVEN: Se requiere realizar la actualización del reporte verificación de idoneidad y experiencia SCTRMP15
Actualización del  rpt  SCTRCPAA validación y consulta del plan anual de adquisición
Actualización del  rpt  SinMinveE en servidor de reportes Andrómeda Seven ERP, para visualizar, nuevos cambios en campos seleccionados
Actualización del  rpt  SinMinveE en servidor de reportes Andrómeda Seven ERP, para visualizar, nuevos cambios en campos seleccionados
Actualización del programa SCmOcomp, por temas de versionamiento.  
Se requiere la actualización del reporte solicitud de cdp. 
Se requiere la actualización del reporte STsRdcme.rpt.
2. TROPA SOCIAL: Se realizan actualización para habilitar permitir enviar respuesta con cuando preguntas requeridas están ocultas.
3. AZDigital: Se requiere actualizar varios recursos de SGP para solventar las Blocking Querys presentadas.
4. RAJ: Restauración de contraseñas de acceso a RAJ.
5. KACTUS: Actualización programa Smart people y Base de Datos
Actualización archivo Webconfig y reinicio servicio Kactus
6. SISTEMA DE SEGUIMIENTO NOMINAL: Se requiere hacer el despliegue de la versión del Sistema de Seguimiento Nominal - SSN, debido a que el ejercicio de despliegue realizado el 28 de mayo no fue exitoso, puesto que se presenta dificultad para llegar con un dato preciso en las atenciones que se le han entregado a los menores, alta complejidad en la generación de reportes estadísticos que apoyen a la gestión de los profesionales misionales, imposibilidad de ver los beneficiarios.
7. FOCALIZACION: Se requiere el cambio con el fin de realizar la modificación método de sincronización archivos hacia SIRBE, con el fin de garantizar el cargue de archivos en SIRBE. Adicionalmente, se solicitó la eliminación de información de la BD producción y por ultimo se solicitó la modificación de información de BD producción Focalización para mover beneficiarios a otras fichas.
8. AZDigital: Se solicitó solucionar el error en la exportación de expedientes de AZDigital, para poder exportar expedientes de menos de 500 documentos. Adicionalmente, se requiero solucionar el error en el reporte grafico de radicación de AZDigital. Por ultimo, se solicitó recuperar los archivos y carpetas borradas por el usuario en AZDigital, ejecutando el script por base de datos.
9. SIRBE: Modificación funcionalidad de focalización en Sirbe para que puedan ingresar y permitir inscribir beneficiarios de infancia en el aplicativo SIRBE.
Se requiere realizar la restauración información en SIRBE de las actuaciones del beneficiario.
Activación funcionalidad en Sirbe para que no puedan ser ingresadas personas que no estén focalizadas.
10. SISTEMA DE SEGUIMIENTO NOMINAL: Después de realizar el ejercicio con el usuario Laura Jazmín Vargas que cumple el rol de analista funcional, se aprobaron los cambios que van en esta versión, correspondiente a la creación de nuevas atenciones, reporte de población urbana y rural y ajustes en dos reportes mas. Por lo tanto, se hace la solicitud de despliegue en ambiente productivo y se relacionan los correos de aprobación a este documento.
El usuario funcional Laura Jazmín Vargas ha dado por aprobados todos los reportes de la aplicación, por lo tanto, este documento es para la solicitud del despliegue de los 7 reportes faltantes.
En el 2 trimestre (abril a junio) se implementaron 26 requerimientos, los cuales finalizaron en su totalidad según lo programado.</t>
  </si>
  <si>
    <t>Durante el año 2022, el indicador tuvo un desempeño sobresaliente reflejando que la ejecución de las actividades del Plan de ajuste y sostenibilidad por parte de las dependencias responsables, en su mayoría se realizó en los tiempos establecidos. En tres periodos de medición, se ubicó en rango sobresaliente con resultados por encima del 90%, siendo el primer trimestre el que tuvo un desempeño mas bajo, con un 86% de cumplimiento.
Teniendo en cuenta que el objetivo del indicador es medir el grado de implementación de las actividades definidas por las dependencias frente a la adecuación del Sistema de Gestión, bajo los requisitos del Modelo Integrado de Planeación y Gestión - MIPG, se puede concluir que el seguimiento al indicador resultó efectivo, en la medida que permitió a la Subdirección de Diseño, Evaluación y Sistematización, generar alertas oportunas a las dependencias responsables de la ejecución y consolidar los resultados que han permitido definir cursos de acción para mantener la operación del Modelo en la Entidad.
De esta manera, se cierra la vigencia con un cumplimiento del 99% en el Plan de ajuste y sostenibilidad del Modelo Integrado de Planeación y Gestión (MIPG).</t>
  </si>
  <si>
    <t>17/01/2023. No se generan observaciones o recomendaciones respecto al periodo reportado.</t>
  </si>
  <si>
    <r>
      <t>Para el cuarto trimestre, se consolidó el Plan de ajuste y sostenibilidad con 24 metas programadas y 3 metas con cumplimiento pendiente de periodos anteriores</t>
    </r>
    <r>
      <rPr>
        <sz val="9"/>
        <rFont val="Arial"/>
        <family val="2"/>
      </rPr>
      <t>. En este sentido, para el período reportado se tienen 27 productos, de los cuales veinticinco (25) alcanzaron el cumplimiento del 100%</t>
    </r>
    <r>
      <rPr>
        <sz val="9"/>
        <color theme="1"/>
        <rFont val="Arial"/>
        <family val="2"/>
      </rPr>
      <t xml:space="preserve"> con respecto a lo programado para el 2022, uno (1) que quedó al 58%, y uno (1) que quedó al 25% (productos 1 y 5 de las Políticas de Servicio al ciudadano y Transparencia, respectivamente). Las 27 metas del cuarto trimestre en promedio presentan una ejecución del 96%.
De los dos (2) productos con avances inferiores al 100% en el periodo, desde la Subdirección de Diseño, Evaluación y Sistematización se enviará alerta a la dependencia responsable del producto 1, con el fin de asegurar el análisis respectivo que asegure un mejor desempeño en la vigencia 2023. Para el producto 5 no aplica alerta, pues el cumplimiento de la vigencia si se logró al 100%.
Durante el mes de diciembre, el equipo del Sistema de Gestión continúo coordinando la estrategia de divulgación del Modelo Integral de Planeación y Gestión-MIPG, para la elaboración de los videos, que se están socializando semanalmente a todos los colaboradores de la entidad a través del Boletín interno de la SDIS, a fin de fortalecer y apropiar todos los conceptos del Modelo y avanzar en la implementación de las políticas de gestión y desempeño.
Finalmente, desde la Subdirección de Diseño, Evaluación y  Sistematización, se concluyó la formulación del Plan de ajuste y sostenibilidad del MIPG para la vigencia 2023, el cual se presentará para aprobación del Comité Institucional de Gestión y Desempeño en el mes de enero.</t>
    </r>
  </si>
  <si>
    <t>15/12/2022. No se generan observaciones o recomendaciones respecto al análisis presentado en el seguimiento al indicador de gestión</t>
  </si>
  <si>
    <t>En Noviembre se socializó la metodología para la formulación del Plan de ajuste y sostenibilidad del MIPG para la vigencia 2023, con los gestores de proceso y dependencia y delegados de política, divulgando cada una de sus actividades para la programación de la próxima vigencia; así mismo se realizó el acompañamiento a algunos delegados MIPG para aclarar inquietudes con respecto a la formulación de los productos e indicadores que dan cuenta del cumplimiento de las políticas del Modelo Integrado de Planeación y Gestión.
El equipo del Sistema de Gestión de la SDES continuó coordinando la estrategia de divulgación del Modelo Integrado de Planeación y Gestión-MIPG, para la elaboración de los videos socializados semanalmente a  través del Boletín interno de la SDIS, con el fin de fortalecer y apropiar todos los conceptos del Modelo y avanzar en la implementación de las políticas de gestión y desempeño.
Igualmente, la Subdirección de Diseño, Evaluación y  Sistematización de manera permanente mantiene comunicación con las dependencias para orientar y asesorar en la implementación de los requisitos de las políticas del MIPG y en el cumplimiento de las actividades programadas en el Plan.</t>
  </si>
  <si>
    <t>9/11/2022. No se generan observaciones o recomendaciones respecto al análisis presentado en el seguimiento al indicador de gestión</t>
  </si>
  <si>
    <t>Durante el mes de octubre, el equipo del Sistema de Gestión continúo coordinando la estrategia de divulgación del Modelo Integral de Planeación y Gestión-MIPG, para la elaboración de los videos, que se están socializando semanalmente a todos los colaboradores de la entidad a través del Boletín interno de la SDIS, a fin de fortalecer y apropiar todos los conceptos del Modelo y avanzar en la implementación de las políticas de gestión y desempeño.
Realizado el balance del cumplimiento de metas a septiembre 30 de 2022 del Plan de Ajuste y Sostenibilidad, se identificó que tres (3) metas, de las (18) programadas para el tercer trimestre 2022 no cumplieron con lo programado; el producto Nº. 1 reportó el 91%, el Nº. 2 presentó el 80% y el producto 4 reportó una ejecución con respecto a lo programado del 73%; motivo por el cual se envío memorando con radicado I2022036037 de fecha 2022-10-25.
De otra parte, se diseñó la metodología para iniciar el proceso de formulación del plan de ajuste y sostenibilidad  2023.
Igualmente, la Subdirección de Diseño, Evaluación y  Sistematización de manera permanente mantiene comunicación con las dependencias para orientar y asesorar en la implementación de los requisitos de las políticas del MIPG y en el cumplimiento de las actividades programadas en el Plan.</t>
  </si>
  <si>
    <t>19/10/2022. No se generan observaciones o recomendaciones respecto al análisis presentado en el seguimiento al indicador de gestión</t>
  </si>
  <si>
    <r>
      <t xml:space="preserve">Para el cálculo del indicador se toma el avance promedio en las actividades ejecutadas por las dependencias (numerador) y se divide en el valor porcentual programado para las mismas hasta el periodo de seguimiento (denominador).
El cumplimiento anual corresponderá al promedio de los reportes por periodo.
</t>
    </r>
    <r>
      <rPr>
        <sz val="9"/>
        <rFont val="Arial"/>
        <family val="2"/>
      </rPr>
      <t>Nota: el total de actividades corresponde a las establecidas en el Plan de ajuste y sostenibilidad del del Modelo Integrado de Planeación y Gestión (MIPG) aprobado por el Comité Institucional de Gestión y Desempeño.</t>
    </r>
  </si>
  <si>
    <t xml:space="preserve">En lo corrido de 2022 se realizaron un total de 71 atenciones logrando un cumplimiento del 100% respecto a lo programado, como resultado del trabajo del equipo de Atención Emergente enfocada a la orientación sobre rutas de atención para las personas con discapacidad sus cuidadores-as y familias, orientación psicosocial y mecanismos jurídicos que han permitido que las personas con discapacidad sus cuidadores-as y familia accedan a procesos de garantía y exigibilidad de sus derechos y  acompañar a aquellas personas con discapacidad que no tienen acceso a información y requieren de forma  inmediata resolver una situación particular. 
Es importante mencionar que este indicador fue creado en septiembre, por tanto, se encuentra en proceso de seguimiento. </t>
  </si>
  <si>
    <t>11/01/2023. Frente a las evidencias suministradas se sugiere validar la tabla de atenciones efectivas toda vez que la suma da 10 atenciones y se hace referencia a 11, además a nombrar las tablas dentro del informe realizado y determinar en el cuadro final si los profesionales que elaboraron y revisaron aprobaron dicho informe, se sugiere además incluir la firma de las personas que elaboran y revisan y subir a las evidencias en formato no editable.
14/01/2023. No se generan observaciones adicionales al reporte y evidencias presentadas en el seguimiento al indicador de gestión.</t>
  </si>
  <si>
    <t xml:space="preserve">En el mes de diciembre a partir de las necesidades evidenciadas de las personas con discapacidad atendidas por el equipo interdisciplinario de la Modalidad de Atención Emergente, se logra brindar orientación de acuerdo con las competencias institucionales, permitiéndoles actuar en el reconocimiento de sus derechos, o la posibilidad de poner en marcha algún mecanismo para dar solución a sus necesidades, del total de casos atendidos en el mes,  que corresponde a 11 , cumpliendo con la atención de las solicitudes al 100%,  obteniendo resultados efectivos, en relación a la articulación con actores claves y generando el  reconocimiento de los derechos de las personas con discapacidad cuidadores-as y sus familias en las diferentes localidades del Distrito y su visibilizarían  en el contexto social, mediante la búsqueda de servicios distritales o entidades públicas y  privadas  que puedan responder a las necesidades o requerimiento de la población en atención.  </t>
  </si>
  <si>
    <t xml:space="preserve">En el mes de noviembre a partir de las necesidades evidenciadas de las personas con discapacidad atendidas por equipo interdisciplinario de la Modalidad de Atención Emergente, se logra brindar orientación de acuerdo con las competencias institucionales, permitiéndoles actuar en el reconocimiento de sus derechos, o la posibilidad de poner en marcha algún mecanismo para dar solución a sus necesidades, del total de casos atendidos en el mes,  que corresponde a 13 , cumpliendo con la atención de las solicitudes al 100%,  obteniendo resultados efectivos, en relación a la articulación con actores claves y generando el  reconocimiento de los derechos de las personas con discapacidad cuidadores-as y sus familias en las diferentes localidades del Distrito y su visibilizarían  en el contexto social, mediante la búsqueda de servicios distritales o entidades públicas y  privadas  que puedan responder a las necesidades o requerimiento de la población en atención.  </t>
  </si>
  <si>
    <t>10/11/2022.  No se generan observaciones respecto al análisis reportado para el seguimiento del indicador</t>
  </si>
  <si>
    <t xml:space="preserve">En el mes de octubre a partir de las necesidades evidenciadas de las personas con discapacidad atendidas por equipo interdisciplinario de la Modalidad de Atención Emergente, se logra brindar orientación de acuerdo con las competencias institucionales, permitiéndoles actuar en el reconocimiento de sus derechos, o la posibilidad de poner en marcha algún mecanismo para dar solución a sus necesidades, del total de casos atendidos en el mes de octubre del 2022,  que corresponde a 37 , cumpliendo con la atención de las solicitudes al 100%,  obteniendo resultados efectivos, en relación a la articulación con actores claves y generando el  reconocimiento de los derechos de las personas con discapacidad cuidadores-as y sus familias en las diferentes localidades del Distrito y su visibilizarían  en el contexto social, mediante la búsqueda de servicios distritales o entidades públicas y  privadas  que puedan responder a las necesidades o requerimiento de la población en atención.  </t>
  </si>
  <si>
    <t xml:space="preserve">En el mes de septiembre a partir de las necesidades evidenciadas de las personas con discapacidad atendidas por equipo interdisciplinario de la Modalidad de Atención Emergente, se logra brindar orientación de acuerdo con las competencias institucionales, permitiéndoles actuar en el reconocimiento de sus derechos, o la posibilidad de poner en marcha algún mecanismo para dar solución a sus necesidades, del total de casos atendidos en el mes de septiembre del 2022,  que corresponde a 10 , cumpliendo con la atención de las solicitudes al 100%,  obteniendo resultados efectivos, en relación a la articulación con actores claves y generando el  reconocimiento de los derechos de las personas con discapacidad cuidadores-as y sus familias en las diferentes localidades del Distrito y su visibilizarían  en el contexto social, mediante la búsqueda de servicios distritales o entidades públicas y  privadas  que puedan responder a las necesidades o requerimiento de la población en atención.  </t>
  </si>
  <si>
    <t xml:space="preserve">En la vigencia 2022 se adelantaron un total de 9300 actividades con familias sobre un total programado de 8800, dando como resultado un sobrecumplimiento de 6 puntos porcentuales, lo anterior como resultado del trabajo adelantado por el equipo interdisciplinario para lograr un mayor compromiso  y corresponsabilidad de los referentes familiares en los procesos de atención que se adelantaron con los participantes de los servicios de atención en Centros Crecer, Avanzar, Renacer e Integrarte, además de los aprendizajes adquiridos postpandemia en la prestación de los servicios sociales como el aprovechamiento de la tecnología para robustecer el desarrollo y fortalecimiento de las capacidades y habilidades de los referentes familiares de los beneficiarios y beneficiarias de los servicios mencionados, mediante acciones dirigidas al reconocimiento de roles, orientaciones frente al proceso y seguimiento a los compromisos de corresponsabilidad, necesarios para la inclusión efectiva de las personas con discapacidad en su entorno familiar y por supuesto social. 
Es de anotar que el indicador fue modificado en el mes de septiembre en la programación y periodicidad de reporte, lo anterior como resultado de la autoevaluación y la retroalimentación de la segunda línea de defensa, lo que ha permitido realizar un seguimiento más riguroso y puntual sobre la información relacionada con las actividades desarrolladas con familia. </t>
  </si>
  <si>
    <t>11/01/2023. No se hacen observaciones frente al análisis reportado sin embargo se sugiere que las evidencias que corresponden a informes cuenten con un nivel mínimo de formalidad, como la firma de quien elaboró y quien revisó, además de suministrar los informes en versiones no editables con el fin de evitar modificaciones en la información.
Respecto al análisis anual, mas allá de describir el indicador, se debe profundizar en el análisis de los resultados respecto al objetivo del indicador, la descripción del desempeño del mismo, en la gestión realizada que permitió el cumplimiento de la meta y en la utilidad para la toma de decisiones sobre el servicio.
14/01/2023. No se generan observaciones adicionales al reporte y evidencias presentadas en el seguimiento al indicador de gestión.</t>
  </si>
  <si>
    <t xml:space="preserve">Durante el mes de diciembre el servicio Centros Crecer desarrollo con las familias de las 16 unidades operativas temas relacionados con la corresponsabilidad, el compromiso  para continuar  dar continuidad con el trabajo en casa con cada participante, se  reforzaron actividades de manejo del comportamiento y acciones relacionadas con los egresos por mayoría de edad con un total de 148 actividades con familias. 
El Centro Renacer logra que las familias, padrinos, madrinas y los cuidadores institucionales se involucraran de manera activa y participativa en espacios de esparcimiento recreativo y cultural  y favorecer sus estados de bienestar emocional, además de generar goce y disfrute a partir de despliegue de habilidades y capacidades artísticas de  sus hijos-a. Así mismo se realiza atención a padrinos de corazón de la estrategia Referentes Afectivos del ICBF de manera presencial en la institución, favoreciendo las relaciones y vínculos afectivos entre los niños, niñas y adolescentes con sus redes vinculares, se adelantaron acciones para identificar responsabilidades frente a la atención de sus hijos a partir de la aceptación y re significación del diagnóstico de la persona con discapacidad, proceso de corresponsabilidad dentro del espacio institucional al realizar las visitas a sus hijos-as o referido. En total se adelantaron 53 actividades con familias por parte del servicio de atención. 
En Centros Avanzar se implementaron 54 intervenciones individuales con familia, en función de fortalecer los procesos de corresponsabilidad, frente a la adherencia a controles médicos, tratamiento farmacológico y prácticas de higiene de los NNA. De igual manera se generan herramientas para el manejo de crisis, acorde a novedades presentadas durante la atención y 7 actividades formativas con los referentes familiares, tendientes| a brindar herramientas para el mejoramiento de su calidad de vida, para un total de 61 actividades con familias en el mes. 
Centros Integrarte Atención Interna a través de procesos de acompañamiento e intervención con familias por medio de llamadas y video llamadas, visitas en medio institucional, salidas a medio familiar, asistencia a las reuniones y actividades grupales convocadas, se logra identificar mayores muestras de afectividad, asertividad comunicativo y acciones corresponsables en el proceso de atención de las personas con discapacidad con un total de 188 actividades con familias. 
Centros Integrarte Atención Externa adelanta 422 actividades con familias dirigidas a la promoción del bienestar emocional por medio del reconocimiento de las características de la proactividad y la resiliencia,  reconocimiento de las habilidades de los participantes y brindar estrategias para el fortalecimiento de las habilidades parentales y la adecuada implementación de los procesos de comunicación y diálogo al interior de las dinámicas familiares, con la finalidad que los cuidadores logren fomentar adecuados procesos de crianza frente al establecimiento de normas y reglas de los participantes en el hogar. Para el periodo de reporte se logra un total de 872 actividades lo que equivale a un cumplimiento del 87% respecto a la meta programada, lo anterior se explicar por la finalización del proceso de atención en Centros Crecer cuya suspensión se dio en la segunda semana de diciembre, de otro lado se iniciaron los nuevos procesos de atención de los servicios tercerizados centros integrarte atención interna. 
</t>
  </si>
  <si>
    <t>12/12/2022.  No se generan observaciones respecto al análisis reportado para el seguimiento del indicador</t>
  </si>
  <si>
    <t>El Centro Renacer se realizan acciones para la implementación del modelo de atención integral dirigidas a la garantía de establecimiento de derechos por medio del reforzamiento del vínculo afectivo, reconocimiento de roles, orientaciones frente al proceso y seguimiento a los compromisos de corresponsabilidad, para el beneficio de los niños, niñas y adolescentes.  
En Centros Integrarte Atención Interna en las trece unidades operativas se realizaron 293 intervenciones con referentes familiares de las personas con discapacidad atendidas. a través de acciones con los referentes familiares que permitan fortalecer los vínculos afectivos familiares dentro de la temática del cuidado al otro, desarrollo de pautas de crianza, manejo de autoridad familiar, brindándoles herramientas como el diálogo, acuerdo y compromisos, para que refuercen, implementen y consoliden al interior del hogar el buen trato, abordaje frente a situaciones de alteración en salud o comportamentales de las personas con discapacidad, 
En Centros Integrarte Atención Externa se adelantan acciones para afianzar en los referentes familiares, las cualidades propias de su rol, con el fin de orientar en acciones que les permiten redistribuir dicho rol en otros miembros de la familia, corresponsabilidad familiar en el proceso de atención de los participantes, estrategias de respiro con actividades lúdicas y recreativas y desarrollar la psicomotricidad fina al trabajar con distintos materiales, 
Centros Avanzar se implementaron 125 intervenciones individuales con familia, en función de fortalecer los procesos de corresponsabilidad, frente a la adherencia a controles médicos, tratamiento farmacológico y prácticas de higiene de los NNA. De igual manera se generan herramientas para el manejo de crisis, acorde a novedades presentadas durante la atención y que las familias que participan del Grupo Focal, reconozcan pautas y estrategias de crianza positivas para sus hijos por medio de interacciones reflexivas con otros referentes familiares y cuidadoras-es. 
En Centros Crecer mediante la implementación del Modelo de Atención Integral para las Familias, se ha pretendido que a partir del conocimiento de la discapacidad de sus hijos, las familias logren priorizar las necesidades, para generar acciones encaminadas al fortalecimiento de sus capacidades, como desde sus entornos sociales, comunitarios y demás, que permitan desarrollar procesos de articulación para acceder a servicios visibilizando su participación e inclusión, en aras de que mejoren su calidad de vida para un total de 334 intervenciones con familias de esta modalidad, dentro de los aspectos identificados por el equipo interdisciplinario como parte del Diagnóstico Social que requieren abordaje con los participantes y sus familias se destacan: Activación redes institucionales y familiares, Comportamientos inadecuados de los niños, niña y adolescentes- NNA según su edad, Corresponsabilidad familiar, Orientación, preparación y seguimiento al egreso, Orientación en manejo de vida vocacional, Procesos de independencia, Riesgo psicosocial y violencia intrafamiliar, Seguimiento a los procesos que se llevan en CAIVAS, CESPA, Comisaria de Familia, fiscalía general de la Nación, CAVIF, SISVECOS e ICBF por vulneración de los derechos de los niños, niñas y adolescente</t>
  </si>
  <si>
    <t xml:space="preserve">El Centro Renacer adelanta en el mes de reporte, se realiza atención a padrinos de corazón de la estrategia Referentes Afectivos del ICBF de manera presencial en la institución, favoreciendo las relaciones y vínculos afectivos entre los niños, niñas y adolescentes con sus redes vinculares, se adelantaron acciones para identificar responsabilidades frente a la atención de sus hijos a partir de la aceptación y re significación del diagnóstico de la persona con discapacidad, proceso de corresponsabilidad dentro del espacio institucional al realizar las visitas a sus hijos-as o referido.
En Centros Integrarte Atención Interna se logra una mayor participación y vinculación de nuevos integrantes de las familias en actividades que son programadas durante la vigencia y quienes han apoyado de manera efectiva los procesos de atención individual con las personas con discapacidad, promoción y fortalecimiento de los vínculos afectivos familiares a través de salidas parciales y salidas a medio familiar, vistas programadas, mejorando la dinámica familiar, así como la relación entre los familiares y el Centro Integrarte. 
En Centros Integrarte Atención Externa las intervenciones con familia fueron caracterizadas por procesos de orientación frente al periodo de adaptación de los adultos dentro de la dinámica de atención por parte del equipo de trabajo, por otro lado, se articulan actividades y rutinas que encaminan a los adultos en el rol adulto independiente y autónomo; adicionalmente se realiza la recepción de documentación por parte de algunos referentes para actualizar las historias sociales, en donde se felicita su gestión y alto nivel de corresponsabilidad familiar. 
Centros Avanzar en el mes de octubre  implementó acciones con familia, en función de fortalecer los procesos de corresponsabilidad, frente a la adherencia a controles médicos, tratamiento farmacológico y prácticas de higiene de los NNA. De igual manera se generaron herramientas para el manejo de crisis, acorde a las novedades presentadas durante la atención.  También se logra que las familias identifiquen la importancia de realizar actividades recreativas y culturales en los tiempos libres, haciendo uso de espacios públicos en cada una de las localidades donde se desarrollan socialmente y que los referentes familiares y cuidadores-as reconozcan la importancia de dedicar tiempo para el autocuidado.
En Centros Crecer se orientó frente a la importancia de asistir al servicio médico de manera oportuna ante los casos de ERA y EDA presentados en el mes, se adelantaron intervenciones con referentes familiares de los NNA a fin de abordar diagnósticos sociales, corresponsabilidad familiar, comportamientos inadecuados de los niños, niñas y adolescentes-NNA para su edad, seguimiento a los procesos de inclusión (entornos productivos, culturales, deportivos, recreativos y de educación). </t>
  </si>
  <si>
    <r>
      <t xml:space="preserve">En el mes de junio se realizaron </t>
    </r>
    <r>
      <rPr>
        <b/>
        <sz val="9"/>
        <rFont val="Arial"/>
        <family val="2"/>
      </rPr>
      <t>28</t>
    </r>
    <r>
      <rPr>
        <sz val="9"/>
        <rFont val="Arial"/>
        <family val="2"/>
      </rPr>
      <t xml:space="preserve"> intervenciones familiares por parte del Centro Renacer desde el área psicosocial para la socialización de los procesos socio legales y seguimiento a la medida adoptada por Defensoría para garantizar los derechos de los participantes, así como el fortalecimiento de vínculos afectivos de los padrinos de corazón y los niños, niñas y adolescentes con medida de adopción que se encuentran en esta estrategia. 
En tanto que Centros Avanzar realizó </t>
    </r>
    <r>
      <rPr>
        <b/>
        <sz val="9"/>
        <rFont val="Arial"/>
        <family val="2"/>
      </rPr>
      <t>320</t>
    </r>
    <r>
      <rPr>
        <sz val="9"/>
        <rFont val="Arial"/>
        <family val="2"/>
      </rPr>
      <t xml:space="preserve"> actividades con familia que permitieron el reconocimiento  de los tipos de relaciones al interior de los sistemas familiares, la generación de reflexiones alrededor de la importancia de la armonía en las relaciones familiares y  del proyecto de vida como generador de cambios. Adicionalmente, se adelantaron procesos de sensibilización que permitieron direccionar esquemas de pensamiento frente a la forma asertiva de expresar las emociones , promoción de  actividad física adaptada, mediante juegos autóctonos y charlas educativas dentro de las visitas domiciliarias como mecanismo de prevención frente al sedentarismo y alteraciones cardiovasculares. Así mismo se logró la vinculación de los participantes al medio acuático, mediante la familiarización y acercamiento con un trabajo de relajación, hidro cinética e hidrostática durante los desplazamientos en diferentes posiciones, con la utilización de aditamentos y elementos de ayuda y  manejo respiratorio y locomotor enfocado al estilo libre adaptado, desde sus capacidades fisio cinéticas. Se brindaron orientaciones de ingesta segura a referentes familiares y fortalecimiento de sus habilidades comunicativas mediante intervención grupal entregando recomendaciones para mantener la seguridad en la alimentación de los niños, niñas y adolescentes y el bienestar mental de los cuidadores.  
En Centros integrarte atención interna para el periodo reportado en las trece unidades operativas se realizaron </t>
    </r>
    <r>
      <rPr>
        <b/>
        <sz val="9"/>
        <rFont val="Arial"/>
        <family val="2"/>
      </rPr>
      <t>205</t>
    </r>
    <r>
      <rPr>
        <sz val="9"/>
        <rFont val="Arial"/>
        <family val="2"/>
      </rPr>
      <t xml:space="preserve"> intervenciones con referentes familiares de las personas con discapacidad atendidas dirigidas a promover el fortalecimiento de la corresponsabilidad familiar sobre su rol en el desarrollo integral y la calidad de vida de sus familiares con discapacidad, identificar las necesidades, problemáticas, potencialidades y estructura familiar de los referentes familiares de las personas con discapacidad y brindar las  herramientas que les permita fortalecer los vínculos afectivos con las personas con discapacidad y al interior de su familia. 
En Centros Integrarte Atención Externa se realizaron </t>
    </r>
    <r>
      <rPr>
        <b/>
        <sz val="9"/>
        <rFont val="Arial"/>
        <family val="2"/>
      </rPr>
      <t>26</t>
    </r>
    <r>
      <rPr>
        <sz val="9"/>
        <rFont val="Arial"/>
        <family val="2"/>
      </rPr>
      <t xml:space="preserve"> actividades con familias relacionadas con la caracterización de cuidadoras y cuidadores de las personas con discapacidad vinculadas a la modalidad de atención, visibilizando sus particularidades, necesidades e intereses y se fortalece la corresponsabilidad en aspectos como la entrega de medicamentos necesarios para la atención de los participantes  y participación para el cumplimiento de los objetivos planteados en las intervenciones individuales. Así como, el fortalecimiento de vínculos familiares, mediante la participación de los miembros del hogar, en diferentes espacios de recreación, y/o fechas especial. 
En Centros Crecer se adelantaron en el mes de junio </t>
    </r>
    <r>
      <rPr>
        <b/>
        <sz val="9"/>
        <rFont val="Arial"/>
        <family val="2"/>
      </rPr>
      <t>347</t>
    </r>
    <r>
      <rPr>
        <sz val="9"/>
        <rFont val="Arial"/>
        <family val="2"/>
      </rPr>
      <t xml:space="preserve"> con familias  en el marco de hábitos de vida saludable, en  el  que  los  referentes  familiares  identifican  sus  concepciones,  sentidos,  lógicas  de  vida  y pensamiento, logrando potenciar las acciones respuestas acordes a sus dinámicas. Se   desarrollaron   intervenciones   socio   familiares   telefónicas   encaminadas   a   la   activación   redes institucionales y familiares, corresponsabilidad familiar, comportamientos inadecuados de los niños, niñas y adolescentes para su edad, procesos de independencia, bajo afrontamiento de la discapacidad. Atención en crisis, procesos de independencia, empoderamiento de los procesos que se desarrollan en el Centro Crecer, manejo farmacológico, implementación de canales de comunicación para la resolución de conflictos y toma de decisiones.
En total se adelantaron en el mes 925 actividades con familias de los participantes de la modalidades de atención referenciadas anteriormente , en tanto que el acumulado durante el trimestre fue de 3354 equivalente al 140% lo que permite analizar que la corresponsabilidad familiar se ha incrementado en especial por los esquemas de atención en alternancia (atención virtual y encuentros locales), que se brinda para las personas con discapacidad, se requiere a partir de los resultados obtenidos evaluar la programación de la meta establecida para el indicador.</t>
    </r>
  </si>
  <si>
    <t>Durante el mes de febrero el Centro Renacer realiza 20 intervenciones familiares abordando el seguimiento de los procesos socio legales, Intervenciones con referentes afectivos “Padrinos de Corazón” como parte de la estrategia de acompañamiento emocional y afectivo de los niños, niñas y adolescentes con medida de adopción y  con medida de vulneración, se realiza acompañamiento y seguimiento a las visitas, llamadas y video llamadas de los referentes afectivos a los niños, niñas y adolescentes, fortaleciendo el vínculo afectivo. Igualmente se realiza seguimiento a los procesos y niveles en los cuales se encuentran cada caso con la defensoría de familia y con los referentes afectivos.
Desde la modalidad Centros Crecer, se abordan temas orientados a  fortalecer corresponsabilidad familiar, Derecho a una vivienda digna, mediante la identificación de condiciones socioeconómicas, habitacionales y riesgos del entorno, redes de apoyo e identificar dinámica familiar, seguimiento a compromisos con familia (médicos, autocuidado, procesos de independencia, atención). Seguimiento a los procesos que se llevan en ICBF por vulneración de los derechos de los niños, niñas y adolescentes que pertenecen al servicio social. A nivel grupal, se propiciaron espacios para Informar a los referentes familiares los aspectos sobre los cuales se enmarca la atención diferencial para los adolescentes mayores de 18 años. En total se realizan 430 intervenciones con familias.
Para el periodo reportado se realizaron 359 intervenciones individuales con familia en Centros Avanzar,  se abordaron de manera prioritaria dificultades en los procesos de deglución que presentan algunos participantes y con ello disminuir los riesgos durante el proceso de alimentación, se realizan 4 grupos focales, con una participación de 36 referentes familiares, acercando  a  las  familias  a  prácticas que les permitan mejorar la armonía y bienestar nivel emocional,  físico y mental, deconstruir  algunos  conceptos asociados a los roles en función del género y activar  la ruta de atención integral de violencia sexual. 
En los Centros Integrarte Atención Externa,  se realizan 874 intervenciones individuales con los referentes familiares.  Los referentes familiares mantienen su interés y compromiso por participar de las acciones propuestas desde los centros, atendiendo llamada o video llamada realizada por el equipo profesional  en  donde  adoptan las recomendaciones particulares  para  cada  participante  y/o  sistema  familiar.  Así  mismo  se  vinculan  a  los encuentros  locales  y  virtuales  favoreciendo  la  adquisición  de  habilidades  adaptativas  y  ocupacionales,  además  de  reconocer  diferentes escenarios que permiten la inclusión de los adultos con discapacidad y su familia. De manera presencial se orienta a las familias sobre la gestión del tiempo y su uso eficiente, donde se comparten estrategias de organización del tiempo para implementar en familia propiciando un equilibrio en los roles y funciones. Adicionalmente se realizan 14 grupos focales, en los cuales se obtuvo la participación de 127 referentes familiares. También se  llevaron  a cabo  3  encuentros  virtuales  con  el  fin  de  brindar  espacios  de  descanso  al  rol  de  cuidador  promoviendo  entre  los  referentes familiares la apropiación de estrategias que les permitan incorporar a sus rutinas diarias actividades de descanso y cuidado propio.
En los Centros Integrarte Atención Interna se dio continuidad a las visitas presenciales y salidas a medio familiar de acuerdo con los protocolos establecidos, los cuales han sido acogidos por los referentes familiares, esta medida ha permitido que las familias se reencuentren y afiancen nuevamente sus vínculos a  través  de  la  interacción  presencial. Por  otro lado, semanalmente  se  mantienen  las  llamadas  y/o  video  llamadas  a  los  referentes familiares  y  amigos,  como  una  estrategia  para  mantener  los  vínculos  afectivos,  los  canales  de  comunicación  y  el  nivel de corresponsabilidad. De  la  misma  manera  se  pretende  la  vinculación  de  los  miembros  de  las  redes  familiares  y  se  realiza  búsqueda activa de referentes familiares de aquellas personas con discapacidad que se encuentran dentro del proceso de atención.</t>
  </si>
  <si>
    <t xml:space="preserve">En el mes de Enero la modalidad Centros Avanzar se logra un  total  de  veintiséis  (26)  intervenciones,  de las  cuales  cuatro  (4)  fueron entrevistas, entre las temáticas abordadas se destacan: corresponsabilidad, implementación de consistencias dietarías y maniobras posturales durante la  ingesta, abordaje en  enfermedades  diarreicas agudas y enfermedades respiratorias, fortalecimiento de  la independencia y habilidades sensorio motoras de los participantes  según  sus niveles  de  funcionalidad. En los grupos focales se abordan temas relacionados con Inteligencia emocional, Comunicación asertiva y Creación Proyecto de Vida-Incluyendo a la persona con discapacidad.
En la modalidad Centros Crecer  se fortaleció en el proceso de la corresponsabilidad familiar y en acciones encaminadas en la implementación del modelo integral a familias, en la cual se identifican las necesidades, se caracterizan y se realizan intervenciones grupales e individuales según sean los requerimientos para favorecer los procesos de inclusión social efectiva en los diferentes entornos. Se realizó encuentro virtual encaminado a brindar estrategias que puedan ser desarrolladas en casa para el bienestar propio y familiar y se abordaron temáticas como prevención de violencias, prevención de sustancias psicoactivas (SPA), pautas de crianza, proyectos de vida e inclusión. 
En el Centro Renacer en  el  marco  de  los  procesos  de  atención  para  la  garantía  y  restablecimiento  de  derechos se  realiza  atención  a  familias  y  súper amigos  y  amigas  de  manera  presencial  en  la  institución,  fortaleciendo las  relaciones y  vínculos afectivos entre los niños, niñas y adolescentes con sus redes vinculares, es así como se  realizó intervención con dos (2) referentes  familiares  activos,   desde  las  áreas  de  Trabajo  Social  y Psicología, igualmente  se  realizó  intervención  con diez (10) referentes  afectivos  de  manera  virtual.
En Centros Integrarte Atención Externa  se realizaron intervenciones individuales y grupales con familia, generando espacios conversacionales que han permitido el  seguimiento a  la  dinámica  familiar,  a  través  de  estrategias  pedagógicas  y  formativas  para  la  adquisición  de  herramientas  de afrontamiento ante situaciones de crisis, enfocadas al aprendizaje, crecimiento y unión familiar. Como herramienta de apoyo se utiliza la visita domiciliaria la cual permite ayudar a dar a conocer la  dinámica familiar  de cada uno de los participantes, por medio de un entrevista semi estructurada; la observación de relaciones familiares, vínculos afectivos, funcionamiento familiar y verificación de espacio habitacional y soporte económico. Adicionalmente se identifican junto con la familia redes de apoyo familiar, social e institucional que se encuentran en su entorno y se incentiva la participación de los referentes familiares en los espacios formativos que brinda el Centro Integrarte,  siendo  estos  enriquecedores  en  su  crecimiento  personal  y  en  su  rol  cuidador.
En los Centros Integrarte Atención Interna se da continuidad al proceso de visitas presenciales y salidas a medio familiar de acuerdo con los protocolos establecidos, los cuales han sido acogidos por los referentes familiares, esta medida ha permitido que las familias se reencuentren y afiancen nuevamente sus vínculos a través de la interacción presencial. Por otro lado se disminuyen las intervenciones dado que aumentan las visitas y salidas. </t>
  </si>
  <si>
    <t>En 2022 el equipo interdisciplinario de Centros Crecer, Avanzar, Renacer e Integrarte realizó un total de 1313 acciones de articulación para promover oportunidades de inclusión de las personas con discapacidad, sus familias y cuidadores(as) en los entornos educativo, productivo, deportivo, cultural y recreativo, logrando superar de manera importante la meta programada en 16 puntos porcentuales, lo anterior ha permitido acercarlos a oportunidades de participación y acceso a la oferta que brinda la ciudad para visibilizar sus capacidades y habilidades, adicionalmente muestra que gracias a este trabajo que viene realizando el equipo de la Subdirección para la Discapacidad, existe una mayor apertura, compromiso y sensibilidad por parte de entidades públicas y privadas en promover la participación e inclusión de las personas con discapacidad y sus familias cuidadoras. 
A partir de la autoevaluación del indicador efectuada por el equipo técnico y la retroalimentación de la segunda línea de defensa durante la vigencia, en el mes de septiembre se ajustó tanto la meta del indicador y la programación, con el resultado obtenido con este indicador se proyecta para 2023 realizar un ejercicio de ajuste a la meta y la programación trimestral.</t>
  </si>
  <si>
    <t>11/01/2023. Se sugiere que, teniendo en cuenta la periodicidad del indicador (trimestral), se complemente con un análisis que recoja los últimos tres meses del año y así se precise el reporte de las 433 articulaciones, así mismo estas se deben dar en términos de articulaciones y no de niños o personas atendidas para que tenga relación con el indicador. Además se sugiere numeración o relación en la matriz evidencia ya que aunque se relacionan actividades o eventos no son claras las articulaciones realizadas.
Respecto al análisis anual, mas allá de describir el indicador, se debe profundizar en el análisis de los resultados respecto al objetivo del indicador, la descripción del desempeño del mismo, en la gestión realizada que permitió el cumplimiento de la meta y en la utilidad para la toma de decisiones sobre el servicio.
14/01/2023. No se generan observaciones adicionales al reporte y evidencias presentadas en el seguimiento al indicador de gestión.</t>
  </si>
  <si>
    <r>
      <t xml:space="preserve">Como parte del proceso de visibilización de las capacidades y habilidades de los beneficiarios de los servicios a cargo de la Subdirección para la Discapacidad se adelantaron acciones para su  inclusión en diferentes entornos, es así como: 
Centro Renacer realizó un total de </t>
    </r>
    <r>
      <rPr>
        <b/>
        <sz val="9"/>
        <rFont val="Arial"/>
        <family val="2"/>
      </rPr>
      <t>9</t>
    </r>
    <r>
      <rPr>
        <sz val="9"/>
        <rFont val="Arial"/>
        <family val="2"/>
      </rPr>
      <t xml:space="preserve"> articulaciones para la inclusión de niños, niñas y adolescentes con discapacidad, en entorno educativo, deportivo y productivo
Centros Crecer adelantó </t>
    </r>
    <r>
      <rPr>
        <b/>
        <sz val="9"/>
        <rFont val="Arial"/>
        <family val="2"/>
      </rPr>
      <t>6</t>
    </r>
    <r>
      <rPr>
        <sz val="9"/>
        <rFont val="Arial"/>
        <family val="2"/>
      </rPr>
      <t xml:space="preserve"> articulaciones para la inclusión de niños, niñas y adolescentes con discapacidad, en entorno cultural, recreativo y deportivo. 
Centros Avanzar logró adelantar 12 articulaciones para la inclusión de niños, niñas y adolescentes con discapacidad, en entorno cultural, recreativo, educativo y deportivo. 
Centros integrarte Atención Externa realizó 31 articulaciones para la inclusión de los beneficiarios en entorno cultural, recreativo, educativo, productivo y deportivo. 
Centros integrarte Atención Interna realizó 46 articulaciones para la inclusión de los beneficiarios en entorno cultural, recreativo, educativo, productivo, y deportivo. 
En total se logran realizar 104 articulaciones con entidades como IDRD, IDARTES, Bibliotecas, Museos, entidades públicas y privadas. Mediante acciones de acompañamiento a participantes que se encuentran en proceso de inclusión laboral, evidenciando adecuado manejo de hábitos socio ocupacionales y rutinas de trabajo acordes a las dinámicas de las organizaciones, validación en modalidad educación para adultos garantizando así el derecho a la educación y articulación con las Instituciones Educativas Distritales y por convenio, propiciando seguimiento y acompañamiento al cierre de los procesos académico-escolares, reconocimiento ante la sociedad por su participación en actividades deportivas entre otras.  En cuanto al avance en el trimestre se logra un cumplimiento del 72% superando la meta programada para este indicador, es así como se realizaron 433 articulaciones de las 600 programadas, lo que indica que hay una mayor apertura luego de la pandemia a permitir la inclusión de personas con discapacidad en los entornos mencionados </t>
    </r>
  </si>
  <si>
    <t xml:space="preserve">10/12/2022.  Se recomienda realizar la parte cuantitativa del indicador, debido a que su periodicidad es mensual, así mismo expresar el reporte en términos de porcentaje.
14/12/2022.  No se generan más observaciones respecto al análisis reportado para el seguimiento del indicador
</t>
  </si>
  <si>
    <t xml:space="preserve">En el mes de noviembre las acciones de articulación estuvieron enfocadas en visibilizar la participación de los beneficiarios de las modalidades de atención en escenarios recreativos, deportivos, culturales y ocupacionales. A continuación, se presenta por modalidad las acciones de articulación adelantadas: 
- En el marco de los procesos de inclusión liderados por el Centro Renacer en el entorno educativo,se realizó articulación con las Instituciones Educativas Distritales y por convenio, propiciando seguimiento y acompañamiento al cierre de los procesos académico-escolares de 14 niños, niñas y adolescentes, correspondiente al año lectivo 2022. 
- En Centros Integrarte atención interna se destacan las acciones de acompañamiento a participantes que se encuentran en vinculación laboral, se continua con los talleres de formación dirigidos desde el programa CREA- IDARTES en música y literatura, generando espacios que promuevan la transformación social desde la experimentación artística y sean generado pautas de entrenamiento deportivo guiado por medio de experiencias que han generado hábitos en las PCD construyendo un dinamismo en la apropiación de las formas de ejecutar y establecer relaciones interpersonales mediante las acciones lúdico-deportivas en articulación con el IDRD
- En Centros Integrarte Atención Externa las personas con discapacidad de la modalidad participan en actividades formativas en torno a la lectura favoreciendo el mantenimiento y desarrollo de sus habilidades comunicativas y permitiendo identificarse en un ambiente inclusivo gracias a las articulaciones con bibliotecas de la ciudad, l procesos de apropiación y aumento de habilidades cognitivas, deportivas y culturales. Así mismo, en Teatro por la Inclusión se siguen realizando ejercicios de expresión artística y cultural, participación de emprendimientos familiares en ferias productivas, además de procesos de inclusión en entorno laboral.  
- En Centros Avanzar se articularon espacios recreativos y educativos para algunos participantes  y se mantiene contacto para llevar a cabo las salidas extramurales de la población con entidades cercanas al territorio, así como otras que aporten a su bienestar integral, entre las que se resaltan Fundación Gilberto Alzate Avendaño, Bibliored, Parque Nacional y entidades que posibilitan acciones de hidroterapia y equinoterapia.
- En cuanto a Centros Crecer es de destacar en el mes de reporte la articulación en entorno educativo, se llevó a cabo el último seguimiento a los procesos de inclusión en entorno educativo de los niños, niñas y adolescentes que se encuentran en la modalidad de contrajornada durante el año 2022, evaluando logros, avances y dificultades.  teniendo en cuenta los objetivos alcanzados y los lineamientos para su aprobación, además de indagar procesos educativos y flexibilidad al programa curricular en cuanto a los ajustes razonables y los apoyos pedagógicos (PIAR) utilizados en las instituciones educativas. En el entorno recreativo se realizan articulaciones para crear estrategias lúdicas para el aprovechamiento del tiempo libre y las dinámicas colectivas que se presentan a través del juego y la lúdica con diferentes entidades. En el entorno cultural se logran acciones para desarrollar habilidades en danza, teatro, pintura, expresión oral, entre otras y el fortalecimiento de condiciones a nivel deportivo. 
Así las cosas en el mes de noviembre se adelantaron 176 acciones de articulación efectivas para la inclusión y visibilización de las capacidades y habilidades de las personas con discapacidad en diferentes entornos, lo que equivale a un cumplimiento del 88% respecto a la meta programada para el mes de 200 articulciones. 
 </t>
  </si>
  <si>
    <t>10/11/2022.  Se recomienda realizar la parte cuantitativa del indicador, debido a que su periodicidad es mensual. 
 11/11/2022. No se generan más  observaciones respecto al análisis reportado para el seguimiento del indicador</t>
  </si>
  <si>
    <t xml:space="preserve">En el mes de octubre teniendo en cuenta que se celebró el mes de de la discapacidad las acciones de articulación estuvieron enfocadas en gran medida a visibilizar la participación de los beneficiarios de las modalidades de atención en escenarios recreativos, deportivos y culturales, logrando gestionar 180 articulaciones de las cuales fueron efectivas 153 lo que equivale a un avance en el periodo de 85%. A continuación, se presenta por modalidad las acciones de articulación adelantadas,  en el marco de los procesos de inclusión liderados por el Centro Renacer en el entorno educativo, se realizó articulación con las Instituciones Educativas Distritales y por convenio, propiciando seguimiento al proceso académico-escolar, se hizo seguimiento a los compromisos para favorecer sus habilidades de independencia y autonomía, nivelación escolar, preparación/participación en actividades y eventos escolares de cierre académico, ajustes razonables y enriquecimiento curricular. 
En Centros Integrarte atención interna se destaca la continuidad en el acompañamiento a las clases virtuales, evidenciando que las personas participantes han avanzado en su proceso lecto-escrito, se continúa con el desarrollo de actividades con el IDRD en donde con el apoyo de los recreadores se trabajan aspectos lúdico- recreativos, también se desarrollaron acciones de acompañamiento a  participantes que se encuentran en procesos de ámbito laboral, en donde se hace verificación de su presentación personal, uso de los elementos de bioseguridad, uso del transporte público, siendo de manera efectiva. Adicionalmente se hace acompañamiento a la vinculación con la empresa 1AS Colombia de personas con  discapacidad a fin de generar periodos cortos en el área de vigilancia . 
En Centros Integrarte Atención Externa gracias a la articulación con el SENA, finaliza el curso complementario Etiqueta y Protocolo y curso de Servicio y Atención al Cliente para algunos participantes de la modalidad, en el entorno cultural se mantienen las articulaciones con las bibliotecas en donde a través de las sesiones semanales logran llevar procesos de apropiación del entorno y aumento de las habilidades cognitivas, deportivas, artísticas y culturales 
En Centros Avanzar se realizó contacto con servicio social de Transmilenio con el fin de generar espacios recreativos y educativos para algunos participantes,  se generó la participación de NNA en las olimpiadas incluyentes, se realiza contacto para llevar a cabo las salidas extramurales de la población con entidades cercanas al territorio, así como otras que aporten al bienestar integral de los participantes, algunas de ellas continúan en gestión.
En cuanto a Centros Crecer es de destacar en el mes de reporte entre otras acciones la realización de visitas de seguimiento y acompañamiento a los Colegios del Distrito donde se encuentran participantes en inclusión educativa, evidenciando que se están realizando los ajustes en el currículo (PIAR), actividades para el fortalecimiento de habilidades cognitivas tales como atención, memoria y concentración a través de actividades de juego, se dio continuidad al proceso de fortalecimiento de habilidades básicas cotidianas (ABC), participación en la apertura de las Olimpiadas de la Subdirección para la Discapacidad que se llevó a cabo en octubre. </t>
  </si>
  <si>
    <t xml:space="preserve">En el mes de septiembre en el marco de los procesos de inclusión liderados por el Centro Renacer en el entorno educativo, se realizó articulación con las Instituciones Educativas Distritales y por convenio, propiciando seguimiento al proceso académico-escolar a niños, niñas y adolescentes vinculados a dicho entorno, se establecieron acuerdos para favorecer el proceso académico de los niños, niñas y adolescentes que han presentado dificultades de asistencia debido a las dinámicas y requerimientos del proceso administrativo de restablecimiento de derechos. Se propició mesa de trabajo con  la Alcaldía Local de Engativá en función de la presentación de las Escuelas de Formación Deportiva, las cuales buscan la mejora y fortalecimiento motriz de niños, niños, niñas y jóvenes con discapacidad habitantes de la localidad. 
En Centros Integrarte atención interna se destaca el acompañamiento a las clases virtuales, evidenciando que las personas participantes han avanzado en su proceso lecto-escrito, se realiza procesó de inscripción de 22 personas con discapacidad a curso de las TICS - Proyecto TICS sin fronteras, se continúa con el desarrollo de actividades con el IDRD en donde con el apoyo de los recreadores se trabajan aspectos lúdico- recreativos, así como trabajo de precisión por medio del juego y por  Facebook live, ejercicios aeróbicos donde se promueven elementos de resistencia y flexibilidad, se desarrollan acciones de acompañamiento a  participantes que se encuentran en procesos de ámbito laboral, en donde se hace verificación de su presentación personal, uso de los elementos de bioseguridad, uso del transporte público, siendo de manera efectiva. Adicionalmente se hace la vinculación con la empresa 1AS Colombia con la vinculación laboral de  personas con  discapacidad por medio tiempo a fin de poder generar por periodos cortos en el área de vigilancia . 
En Centros Integrarte Atención Externa se realiza articulación con el SENA, para dar inicio al curso complementario Etiqueta y Protocolo y curso de Servicio y Atención al Cliente para algunos participantes de la modalidad, en el entorno cultural se mantienen las articulaciones con las bibliotecas en donde a través de las sesiones semanales logran llevar procesos de apropiación del entorno y aumento de las habilidades cognitivas, deportivas y culturales y en Teatro por la Inclusión se siguen realizando ejercicios de expresión Artística y Cultural, se realiza solicitud de talleres de huertas urbanas al Jardín Botánico con la intención de capacitar a los participantes en este tema y que logren desarrollar su propia huerta, a la espera de respuesta. Se realizó articulación con el Museo Nacional a través de la red de museos, con el fin de generar espacios de visita guiada y garantizar acceso a los diferentes espacios a nivel Distrital, en clave de la inclusión, participación y promoción de las habilidades individuales y familiares, así como también fortalecer habilidades sociales, proyecto de vida y la visibilizarían de la población con discapacidad . 
En Centros Avanzar se  realizó  articulación con los profesionales de la Estrategia Deportiva " En Bici" del IDRD con el fin de establecer un plan de trabajo con los participantes, para adquirir habilidad motora en el desplazamiento en bicicleta; también se adelantaron acciones de articulación con dicha entidad con el fin de potenciar la vinculación de los participantes en otros actividades recreativas y deportivas dentro de la oferta de la ciudad.
En cuanto a Centros Crecer es de destacar en el mes de reporte entre otras acciones la realización de visitas de seguimiento y acompañamiento a los Colegios del Distrito donde se encuentran participantes en inclusión educativa, evidenciando que se están realizando los ajustes en el currículo (PIAR), actividades para el fortalecimiento de habilidades cognitivas tales como atención, memoria y concentración a través de actividades de juego, se dio continuidad al proceso de fortalecimiento de habilidades básicas cotidianas (ABC) tales como el control de esfínteres, hábitos alimentarios y conductas adaptativas que regulen el seguimiento de instrucciones y el reconocimiento de reglas en los diferentes entornos o espacios cotidianos, preparación para la apertura de las Olimpiadas de la Subdirección de Discapacidad que se llevará a cabo en octubre en el marco de la celebración del mes de la discapacidad, esta actividad permite explorar en los niños niñas y jóvenes sus habilidades físicas, musicales y de coordinación, ejecutando trabajos en equipo mostrando su mejor presentación y actitud. En articulación con el CADIS se fortalecieron habilidades coordinativas corporales a través del baile a la vez que se facilita la identificación de diferentes ritmos musicales de algunos participantes de la modalidad, así como articulación con BIBLIORED, con el fin de fortalecer los dispositivos básicos de aprendizaje como la lectura, fomentando el desarrollo de la imaginación a través de imágenes y los libros. Se realizó proceso de iniciación y acercamiento al medio acuático con un grupo de participantes rotativo 1 vez a la semana para fortalecer sus habilidades motrices, equilibrio, desplazamientos como también identificación de habilidades en los participantes y proyectar a la práctica deportiva de natación.  
Logrando un cumplimiento del 88% respecto a lo programado para el periodo. En total se adelantaron 401 articulaciones con los entornos recreativo, cultural, ocupacional, productivo, educativo y deportivo que han permitido visibilizar las capacidades y habilidades de las personas con discapacidad en estos entornos. </t>
  </si>
  <si>
    <t xml:space="preserve">En el marco de la Línea de Acción para el Desarrollo de Capacidades en Entorno y Territorio y el Eje de Atención Bogotá Ciudad de Derechos del Centro Renacer, en el mes de agosto se llevaron a cabo cuatro (4) salidas pedagógicas para goce y disfrute de la ciudad, a partir de actividades recreativas en el Parque Villa Luz y recorridos por el barrio, en las cuales participaron nueve (9) niños, niñas y adolescentes. Así mismo, se ejecutaron cuatro (4) talleres pedagógicos para los niños, niñas y adolescentes, orientadas a promover la formación y fortalecimiento de habilidades en cultura ciudadana y habilidades sociales.
Centros Crecer da continuidad a la articulación y registro de acciones de inclusión en el entorno educativo, así mismo se desarrollaron y promovieron las prácticas recreativas, a partir del juego, la diversión y la complejidad de las diferentes dinámicas motrices de los niños, niñas y adolescentes,  teniendo  en  cuenta  los  gustos  e  intereses  de  los  participantes, se continuó articulación con el IDRD en el programa de recreación incluyente en donde se realizaron actividades de interacción con los participantes, compartir,  trabajo  en  equipo  cooperativo e individual  generando adaptaciones y destrezas recreo deportivo en las distintas modalidades y disciplinas. En el entorno cultural se gestionó la articulación con CREA-IDARTES y Secretaria de Ambiente, promoviendo espacios artísticos y de acercamiento al cuidado del medio ambiente. En el  entorno  deportivo  se  dio  inicio  al  proceso  en  la  disciplina  de  ciclismo  con  la  Estrategia Escuela en bici, orientado desde el IDRD. En  articulación  con  CADIS - SENA,  15  jóvenes  se  encuentran  realizando  curso  de  cocina  básica, espacios que permiten fortalecer  habilidades para una proyección ocupacional, goce y disfrute de actividades en otros entornos.
En  virtud de los procesos de gestión de redes para promover la inclusión de los y las participantes de Centro Avanzar (Grupo 1), se continúa la articulación con IDARTES, en el marco del convenio interadministrativo y palíndromo, en función de garantizar actividades culturales, orientadas a fortalecer los procesos de socialización y expresión cultural y artística, es importante anotar que para este periodo la cobertura disminuye dado que se determinó la atención de la población en contingencia, hasta tanto se surte el proceso competitivo para la contratación de esta modalidad. 
Centros integrarte Atención Externa logra vincular al total de la población como beneficiaria de las diferentes alianzas institucionales con instituciones externas, además las personas con discapacidad participaron de la actividad con el IDRD en donde encontraron la posibilidad de interactuar y aprender jugando sobre valores ciudadanos.  Se  logra  articulación con la manzana del cuidado de la localidad de San Cristóbal, con el fin de ofrecer  y establecer un conjunto de acciones y situaciones para la generación de oportunidades que permitan la participación de las personas con discapacidad, sus familias, red de apoyo y cuidadores-as en los diferentes entornos de inclusión: educativo, productivo, deportivo, cultural y recreativo), garantizando los medios y recursos para hacer uso de sus capacidades, habilidades y potencialidades, e incidir en la construcción o reconfiguración de sus proyectos de vida y en la toma de las decisiones que les afectan, teniendo como base los enfoques de derechos. 
En Centros Integrarte Atención Interna desde el proceso de inclusión educativa las personas asisten periódicamente a clases y desarrollan guías escolares, lo cual potencia en ellos la adquisición de conocimientos nuevos, el favorecimiento de su proceso lecto-escrito, lógico matemático y de autodirección, se iniciaron los talleres de formación en el marco del programa CREA- IDARTES en música y literatura, generando espacios que promuevan la transformación social desde la experimentación artística de los participantes,  desde la parte recreativa se han realizado actividades con IDRD y otras instancias en donde se trabajan aspectos lúdico- recreativos, así como la precisión por medio del juego, y se continua con las rutinas de ejercicios aeróbico. </t>
  </si>
  <si>
    <t>"En Centros Crecer el equipo de educación especial de las 16 Unidades  operativas realizó el seguimiento y articulación  de  forma  presencial en diferentes  entornos  educativos, algunos procesos se ven algo limitados por la postura de las docentes de apoyo, por lo que se han generado conversatorios de reflexión con el fin de fomentar sensibilización frente a los procesos de inclusión según lo estipulado por la Ley 1421 del 2017. Así mismo, se desarrolló y promovió las prácticas recreativas, a partir del juego, la diversión y la complejidad de las diferentes dinámicas motrices de los niños, niñas y adolescentes, articulación para el  proceso de formación musical, desarrollo de aptitudes motoras, perceptivas y cognitivas y gen    oración de espacios  de  integración social a través del poder transformador de la música, promoción de  procesos de inclusión efectiva desde el entorno deportivo, se destaca las actividades de  entrenamiento en  puesto  de  trabajo,  logrando  así fortalecer las habilidades y capacidades ocupacionales de los adolescentes participantes de la modalidad. 
En el marco de los procesos de inclusión liderados por el Centro Renacer, se llevó a cabo la articulación con las Instituciones Educativas Distritales y por convenio, propiciando retoma del proceso académico-escolar posterior al período de receso vacacional, articulación con el Colectivo/Organización Transdisciplinar Palíndromo (Procesos de Humanización a través del Arte), en talleres de formación y fomento de la lectura y la escritura, correspondiente al Proyecto “Aventura Sin Fin, Lectura y Escritura para Derribar las Barreras Frente a la Discapacidad”. 
En Centros Integrarte Atención Interna se continúa el acompañamiento y apoyo para el desarrollo de los procesos de inclusión educativa de manera virtual, brindando las herramientas necesarias para la conexión, apoyo a la independencia en dichos procesos y/o ajustes razonables para el adecuado desarrollo de las actividades propuestas por la institución, desde el entorno recreativo se aprovechan los elementos tecnológicos y se continuo trabajo con IDRD en línea con el desarrollo de actividades de baile y seguimiento de secuencias por medio de coreografías de baile folclórico y moderno en donde se fortalece la atención, ritmo, coordinación, y se promueven engrames motores. 
En cuanto a los Centros Integrarte Atención Externa se mantiene articulación con IDARTES en donde las personas con discapacidad participan de actividades lúdicas y formativas de lecto-escritura y artísticas favoreciendo el mantenimiento y desarrollo de sus habilidades comunicativas, con la Fundación Social Viva Colombia se logra participación en actividades de quinta generación con yoga e hipnoterapia y promoviendo su sistema cardiopulmonar, desarrollo motriz, capacidades físicas, mantenimiento neuromuscular en los participantes con apoyo generalizado, se  mantiene articulación con Escuela de la Bicicleta del IDRD, promoviendo el mantenimiento y potenciando osteoartromuscular, favoreciendo placa neuromotora, capacidades físicas coordinativas y condicionales. "</t>
  </si>
  <si>
    <t>En el mes de junio en el marco de los procesos de inclusión liderados por el Centro Renacer en el entorno educativo, se realizó articulación con las Instituciones Educativas Distritales y por convenio, propiciando seguimiento al proceso académico-escolar, entrega de boletines escolares; establecimiento de compromisos en relación a la asignación de guías de refuerzo escolar y nivelación para el período vacacional;  dentro de los procesos de inclusión en entorno cultural, se llevó a cabo la articulación con IDARTES, para la realización de la obra de teatro "Viajes de papel", liderado por el equipo de la tropa artística itinerante TAI de IDARTES, con el fin de visibilizar y apropiar los derechos culturales para un total de 9 articulaciones. 
En Centros Avanzar se logró adelantar 11 articulaciones con entidades como IED República Bolivariana, IED De las Américas, Palmolive, Centro de Desarrollo Comunitario Bellavista Kennedy,  Parque bellavista Kennedy, Fundación Gilberto Álzate Avendaño, Biblioteca la Giralda, Biblioteca Virgilio Barco, Biblioteca Timiza. jardín botánico José Celestino Mutis, Casa de la Juventud Antonio Nariño logrando entre otros aspectos la vinculación de las familias en procesos formativos con entidades del orden distrital, inscripción de las mujeres cuidadoras de los participantes en la ruta de subsidio de arrendamiento y acceso a vivienda con la Secretaria Distrital de Hábitat y reconocimiento por parte de los referentes familiares y cuidadores-as de las instituciones en el territorio para el acceso a oportunidades. 
En Centros Crecer durante el mes de reporte se adelantaron 27 articulaciones con entidades como IDARTES - CREA, COLEGIO OFELIA URIBE DE ACOSTA, MINTIC, MUSEO DEL ORO, INSTITUTO DE RECREACIÓN Y DEPORTE, BIBLORED.- BIBLIOTECA VIRGILIO BARCO, JARDIN BOTANICO DE BOGOTA JOSE CELESTINO MUTIS entre otras como parte de las acciones que buscan la inclusión de las personas con discapacidad en diferentes entornos.
 En Centros Integrarte Atención Interna se realiza acompañamiento a proceso de inclusión educativo con el fin de favorecer los repertorios básicos para el aprendizaje atención, concentración, memoria, percepción y seguimiento instruccional, desde el entorno recreativo se trabajaron elementos como baile de música reconocida con coreografías, ejecución de secuencias de movimiento, trabajando atención, coordinación, se avanza con la articulación y gestión para la participación en la competencia de Trail running con la entidad privada AIRE LIBRE Y AVENTURA, CORRECAMINOS BOGOTÁ, se iniciaron dos talleres productivos de Transformación y Manipulación de alimentos y  Producción Agrícola. Adicional a esto se dio inicio al Taller Protegido de Elaboración de Instrumentos musicales y al Taller Prevocacional de Elaboración de Elementos Decorativos en total se logran 43  articulaciones en la modalidad. 
En Centros Integrarte Atención Externa 10 articulaciones con entidades como BIBLIOTECA PÚBLICA LAGO TIMIZA, Fundación Viva Colombia, BIBLIOTECA PÚBLICA LA VICTORIA, SECRETARIA DE SALUD SUBRED INTEGRADA DE SERVICIOS DE SALUD SUROCCIDENTE, IDRD ESCUELA DE LA BICICLETA, IDARTES, Fundación Viva Colombia, SALIDA AL PARQUE DISTRITAL DE SAN CRISTÓBAL, CDC BELLAVISTA  EN MEDIO ACUÁTICO. 
En Centros Crecer el equipo de educación especial de las 16 Unidades operativas realizó articulación  de  forma  presencial  en  diferentes  entornos  educativos,  en  las  cuales se evidenciaron procesos de inclusión educativa efectiva con algunos participantes y se  realiza  seguimiento  a  participantes que  se  encuentran  en  contrajornada, en el entorno recreativo se realizó articulación con IDARTES para el desarrollo de actividades de vacaciones recreativas Converge, música, literatura, teatro y artes plásticas, espacios que han permitido tener con los niños rutinas diferentes de diversión y aprendizaje y su vinculación a  diferentes participantes en instituciones distritales  como  BIBLORED, Idartes Fundación Batuta, Secretaría  de  Cultura, Instituto Distrital para la Recreación y el Deporte, favoreciendo y  garantizando  la  generación  de espacios para los participantes. 
Todas estas acciones se encaminan al reconocimiento de las personas con discapacidad adicionalmente busca fortalecer las redes sociales e institucionales, con el fin de garantizar el sostenimiento e inclusión social de las personas con discapacidad y la familia en su medio comunitario de residencia minimizando los imaginarios negativos culturales y sociales existentes en los ambientes familiares que los rodean, a través de actividades lúdico-pedagógicas, buscando así respuestas incluyentes de la comunidad y lazos de solidaridad ciudadana. En total se logra un total de 57 articulaciones en el periodo. Es importante mencionar que debido a la finalización de los procesos de atención en centros de atención externa se evidencia una baja en las acciones de articulación proyectadas en el periodo de reporte. 
Es así como se adelantaron durante el segundo trimestre un total de 250 articulaciones desde las modalidades de atención mencionadas que permitieron la inclusión y visibilizarían de los participantes en entornos recreativos, culturales y deportivos luego de las dificultades evidenciadas por las medidas derivadas por el covid-19, equivalente al 100% de la meta programada.</t>
  </si>
  <si>
    <t xml:space="preserve">En el mes de abril en Centros Crecer se logra vincular a diferentes participantes en instituciones distritales como el  IDRD y  BATUTA,  las  cuales  favorecen  la  participación  de  los  jóvenes  egresados  del  servicio  por mayoría de edad, garantizando así la generación de espacios para ellos. Se trabaja en la inclusión de espacios con la comunidad, mejorando su participación con los adultos mayores. Se dio continuidad con la articulación con el IDRD,  allí se logró brindar recreación y espacios de esparcimiento. Se fortalecieron habilidades de aprendizaje, sensibilización con el medio ambiente y expansión del lenguaje  a  través  del  reconocimiento de la flora y fauna de Bogotá en articulación con el Jardín Botánico,  articulación con BIBLIORED, mediante la cual se fortaleció el proceso de lectura a los niños, niñas y adolescentes. 
En el marco de los procesos de inclusión liderados por el Centro Renacer en el entorno educativo, se propició gestión y articulación con la Institución Educativa Julio Garavito Armero para retomar proceso académico-escolar de un adolescente de 15 años con discapacidad cognitiva y requerimiento de apoyos limitados, quien ingresó a protección en el mes de febrero. Por su parte, se realizó gestión para la asignación de cupo escolar de un adolescente de 13 años con discapacidad cognitiva y requerimiento de apoyos extensos en el Colegio Gustavo Restrepo.
Desde los Centros Avanzar continúan  el  proceso  de  inclusión  escolar  de los participantes que cumplen con los criterios establecidos, se avanza en la  articulación para el fortalecimiento de habilidades y capacidades cognitivas y comunicativas de los participantes, haciendo uso de los sentidos como estrategia literaria. En el entorno deportivo la población participó en la conmemoración del día mundial de actividad física,  donde se realizaron ajustes razonables  con  la  población . Se  lleva  a  cabo  el  contacto  institucional  con  JUMPA  JUMP  Centro  Ecuestre,  con  quienes se solicita  la  donación de una hora de estimulación sensomotriz con caballos . En el entorno recreativo se ejecutan  encuentros  locales  y  recreativos  en  las  diferentes  localidades  logrando mayor corresponsabilidad  y  conocimiento  del  entorno a  nivel  de  recreación,  deporte  y  cultura.  
En cuanto a Centros Integrarte Atención Externa se  logra  articulación  con  Idartes  para  la  realización  de  programa  CREA,  en  el  cual  asisten  participantes  con  procesos  de  lecto  escritura establecidos, se  logró la articulación con el parque Mundo Aventura  contando con la participación de las personas con discapacidad y sus referentes familiares logrando fortalecer los vínculos afectivos y evidenciando el cumplimiento de normas, límites y reconocimiento de figuras de autoridad, así misma, en articulación con la empresa PlastiLucho se ha venido desarrollando el taller protegido con la elaboración de bolsas de papel. 
En Centros Integrarte Atención Interna s e involucra a la totalidad  de la población en la  actividad Rumba del Programa Recreovía,  en  articulación con  el Instituto Distrital de Recreación y Deporte IDRD y se  involucran en las actividades de Caminatas  Recreo ecológicas, </t>
  </si>
  <si>
    <t xml:space="preserve">En 2022 la Subdirección para la Discapacidad a través de la Estrategia de Fortalecimiento a la Inclusión logra un total de 150  entidades, organizaciones, instituciones, empresas privadas o públicas que realizan procesos de inclusión de personas con discapacidad, sus familias y cuidadores(as) en entornos productivos y educativos, cumpliendo con la meta programada, es así que para el entorno educativo se adelantó gestión con 95 colegios que permitido la vinculación de niños, niñas y adolescentes con discapacidad con el fin de ampliar sus posibilidades de desarrollar su proyecto de vida, en articulación con profesores, compañeros de clase y padres y madres de familia, en cuanto al entorno productivo se adelantó gestión con 55 empresas logrando gracias a su apertura y el acompañamiento y seguimiento la vinculación de  244 personas con discapacidad y 6 cuidadoras(es)de personas con discapacidad, es así que se cumple con la meta programada al 100% para la vigencia y se proyecta continuar realizando en 2023 este trabajo en clave de su inclusión efectiva.  
</t>
  </si>
  <si>
    <t>11/0172023  Se solicita validar los valores reportados ya que no corresponden con los que se encuentran en la base de datos (evidencia). 
Como recomendación adicional a considerar para próximas vigencias, se sugiere analizar la posibilidad de definir un indicador en términos de las personas que logran ser incluidas en los entornos educativos y productivos.
13/01/2023. Se reitera la observación respecto a los valores reportados mensualmente, los cuales no coinciden con la evidencia suministrada (ejemplo: abril - 37 en el reporte y 16 en la matriz de evidencia / junio - 7 en el reporte y 12 en la matriz de evidencia / primer semestre  - 107 en el reporte y 112 en la matriz de evidencia, etc.). Lo anterior afecta los resultados semestrales y el resultado anual, el cual suma 132 en el reporte y 150 en la matriz de evidencia.
14/01/2023. No se generan observaciones adicionales al reporte y evidencias presentadas en el seguimiento al indicador de gestión.</t>
  </si>
  <si>
    <t xml:space="preserve">El equipo de la Estrategia de Fortalecimiento para la Inclusión Social, en el mes de diciembre realizó una (1) articulación con la entidad GRUPO NUTRESA SA- BOGOTÁ posibilitando la generación de oportunidades para la inclusión de personas con discapacidad y cuidadores-as en el entorno laboral.  Es así como en el segundo semestre se logra un total de 38 entidades en entorno educativo y productivo comprometidas en la inclusión de personas con discapacidad, sus familias y cuidadores-as  lo que equivale a un 51% de cumplimiento en la meta programada para el período. </t>
  </si>
  <si>
    <t>A partir del reporte efectuado por equipo de la Estrategia de Fortalecimiento para la Inclusión Social, en el mes de noviembre se realizaron 3 articulaciones con entidades públicas y privadas que han permitido  la inclusión en el entorno educativo de personas con discapacidad y cuidadores-as, así como la gestión en el corto y mediano plazo para su inclusión más adelante, es así como se adelantaron gestiones con: 
Entorno Educativo: IED SILVERIA ESPINOZA DE RENDON SEDE C, IED TOMAS CIPRIANO DE MOSQUERA, GIMNASIO INDOAMERICANO  
Es así como en lo corrido de 2022 se han adelantado un total de 149 articulaciones</t>
  </si>
  <si>
    <t>En el mes de octubre se realizaron 5 articulaciones con entidades públicas y privadas que han permitido  la inclusión en los entornos productivo y educativo de personas con discapacidad y cuidadores-as, así como la gestión en el corto y mediano plazo para su inclusión más adelante, es así como se adelantaron gestiones con: 
Entorno Educativo: INSTITUCIÓN EDUCATIVA DISTRITAL NUEVA ESPERANZA, IED CARLOS ARTURO TORRES, COLEGIO RURAL EL UVAL, IED SAN CAYETANO
Entorno Productivo: CONSTRUCTORA VALHER SAS  
Es así como en lo corrido de 2022 se han adelantado un total de 146 articulaciones</t>
  </si>
  <si>
    <t>En el mes de septiembre se realizaron 11 articulaciones con entidades públicas y privadas que han permitido  la inclusión en los entornos productivo y educativo de personas con discapacidad y cuidadores-as, así como la gestión en el corto y mediano plazo para su inclusión más adelante, es así como se adelantaron gestiones con: 
Entorno Educativo: COLEGIO GENERAL SANTANDER, COLEGIO INTEGRAL AVANCEMOS, IED COMPARTIR JORNADA TARDE
COLEGIO SAN FRANCISCO  IED SEDE B, IED EL TESORO DE LA CUMBRE y COLEGIO NICOLAS BUENAVENTURA
Entorno Productivo: MONFRUT, SECRETOS DEL TRÓPICO.  
Es así como en el trimestre se adelantan un total de 29 articulaciones que han permitido la reducción de barreras y la posibilidad de inclusión de personas con discapacidad en dichos entornos y en lo corrido de 2022 se han adelantado un total de 141 articulaciones</t>
  </si>
  <si>
    <t>Durante el mes de junio se realizaron 12 articulaciones con entidades públicas y privadas que permitirán  la inclusión en los entornos productivo y educativo de personas con discapacidad y cuidadores-as, en el corto y mediano plazo, es así como se adelantaron gestiones con: 
Entorno Educativo: INSTITUCIÓN EDUCATIVA DISTRITAL ALEMANIA UNIFICADA SEDE B, COLEGIO NUEVA ZELANDIA IED SEDE B, COLEGIO ENTRE NUBES SUR ORIENTAL SEDE C, COLEGIO LOS ALPES SEDE A, INSTITUCIÓN EDUCATIVA GUSTAVO RESTREPO
Entorno Productivo: DIMATIC SAS y DUGOTEX SA
Es así como se logran en el semestre adelantar 112  gestiones de articulación  que ha permitido la inclusión de personas con discapacidad en los entornos mencionados, lo que equivale al 149% de la meta programada para el indicador, lo anterior gracias a la apertura que tienen tanto el sector educativo como productivo en este periodo postpandemia</t>
  </si>
  <si>
    <r>
      <t xml:space="preserve">En el mes de abril se alcanza un total </t>
    </r>
    <r>
      <rPr>
        <sz val="9"/>
        <rFont val="Arial"/>
        <family val="2"/>
      </rPr>
      <t>de 16</t>
    </r>
    <r>
      <rPr>
        <sz val="9"/>
        <color theme="1"/>
        <rFont val="Arial"/>
        <family val="2"/>
      </rPr>
      <t xml:space="preserve"> articulaciones con entidades públicas y privadas que permitirán la inclusión en los entornos productivo y educativo de personas con discapacidad y cuidadores-as, en el corto y mediano plazo, es así como se destacan gestiones con: 
Entorno Educativo: INSTITUCION EDUCATIVA DISTRITAL SAN FRANCISCO, IED ANTONIO VAN UDEN SEDE C JORNADA MAÑANA, IED COLEGIO SAN AGUSTIN, COLEGIO EL DÍA DE HACER FELIZ, IED CHARRY, COLEGIO REPUBLICA DE BOLIVIA , IED REPUBLICA DE BOLIVIA, IED MINUTO DE DIOS, COLEGIO HERMANOS BELTRAN
Entorno productivo: BIOBOLSA SAS, PEPSICO, UNICA HOTELS CORP COLOMBIA, ARTISTAS SIN LIMITES, PROALIMENTOS LIBER SAS, DUFLO SAS, MESOFOODS, y SECRETARIA DISTRITAL DE INTEGRACIÓN SOCIAL
</t>
    </r>
  </si>
  <si>
    <t>En el primer trimestre se logran 68 procesos de gestión para la inclusión de personas con discapacidad y cuidadores en los entornos educativo y productivo, de las cuales se destaca con: SEGURIDAD MARBELLA LTDA, CATERING SERVICES,  SECRETARIA DISTRITAL DE DESARROLLO ECONOMICO, SEGURIDAD CELTA, UNIDAD DE MANTENIMIENTO VIAL, IED CIUDAD DE VILLAVICENCIO, IED COLEGIO CHARRY, IED FEDERICO GARCIA LORCA SEDE B, , IED FRANCISCO ANTONIO ZEA, COLEGIO DISTRITAL GUSTAVO RESTREPO SEDE C, SUBDIRECCION LOCAL PARA LA INTEGRACION SOCIAL DE ENGATIVA, IED MANUELA AYALA DE GAITAN, SIERRA NEVADA HAMBURGUESAS,  IED REPUBLICA BOLIVARIANA DE VENEZUELA, INSTITUCIÓN EDUCATIVA DISTRITAL LA VICTORIA, IED COLEGIO ALMIRANTE PADILLA, COLEGIO COLOMBO JAPONES,  ALCALDIA LOCAL MARTIRES, IED FERNANDO MAZUERA VILLEGAS, UNIVERSIDAD LA GRAN COLOMBIA, IED JULIO GARAVITO ARMERO SEDE C</t>
  </si>
  <si>
    <t>La Subdirección para la Discapacidad a través de la Estrategia de Fortalecimiento a la Inclusión, logra en 2022 adelantar un total de 6002 ejercicios de sensibilización que han contribuido a la reducción de las barreras y a la promoción de escenarios de visibilización de habilidades y capacidades y la transformación de imaginarios que existen acerca de la discapacidad,  logrando con ello la movilización social, en torno a la necesidad de apostar en la inclusión de las personas con discapacidad en diferentes entornos. Es así como, se  logra un cumplimiento del 100% respecto a la meta programada en el año de 6000 ejercicios de sensibilización, dirigidos a entidades públicas y privadas, ciudadanía en general y actores clave que han apropiado esta labor que viene abanderando la Secretaría Distrital de Integración Social.</t>
  </si>
  <si>
    <t>11/01/2023 Se encuentra que en la base suministrada se encuentran elementos duplicados lo que cambiaria el número de sensibilizaciones para el trimestre.
Observación análisis anual: Se observa que en la base de datos se encuentran valores duplicados  por lo cual se sugiere validar la base de datos y ajustar ya que el número de sensibilizaciones cambiaria para el reporte anual. Adicionalmente se recomienda fortalecer el análisis anual, profundizando en la gestión o logros internos que permitieron el cumplimiento de la meta.
14/01/2023. No se generan observaciones adicionales al reporte y evidencias presentadas en el seguimiento al indicador de gestión.</t>
  </si>
  <si>
    <t xml:space="preserve">La Estrategia de Fortalecimiento a la Inclusión reporta para el mes de diciembre 616 ejercicios de sensibilización y toma de conciencia, para un total de 1289 en el último trimestre de 2022. Entre las entidades con las cuales se adelantaron estos procesos de sensibilización se destacan: 
CAFAM LA FLORESTA, SECRETARIA DISTRITAL DE INTEGRACIÓN SOCIAL- NIVEL CENTRAL, POLICIA NACIONAL ESTACIÓN USME, POLICIA NACIONAL ESTACIÓN TUNJUELITO, MANZANA DEL CUIDADO, COINDERE-PROYECTO ALCALDIA LOCAL, ADPORT SEGURIDAD PRIVADA, FUNDACIÓN MI MUNDO IDEAL. Lo anterior como parte de la apuesta institucional de transformar los imaginarios sobre la discapacidad y reducir barreras actitudinales hacia las personas con discapacidad y sus cuidadores-as . 
Es así como en el último trimestre se logra un 86% de avance, la variación respecto a los demás periodos, se explica porque en el mes de octubre se celebró el mes de la discapacidad, lo que redujo la posibilidad de adelantar los ejercicios programados en el mes en mención. </t>
  </si>
  <si>
    <t xml:space="preserve">La Estrategia de Fortalecimiento a la Inclusión reporta para el mes de noviembre 279 ejercicios de sensibilización y toma de conciencia, para un total de 5386 en lo corrido de la vigencia. Entre las entidades con las cuales se adelantaron estos procesos de sensibilización se destacan: IED MIRAVALLE, MUDANZAS CHICO SEDE CAMARCA, OLIMPICA SA, PARQUE ENTRE NUBES, MUDANZAS CHICO, O3 SMART CITIES SAS, CFTCM-SENA, CTCM-SENA, PARQUE SIMON BOLIVAR, SECRETARIA DE JUSTICIA. Lo anterior con el propósito de dar continuidad al proceso de transformación de los imaginarios sobre la discapacidad y reducir barreras actitudinales hacia las personas con discapacidad. </t>
  </si>
  <si>
    <t xml:space="preserve">La Estrategia de Fortalecimiento a la Inclusión adelantó en el mes de octubre 394 ejercicios de sensibilización y toma de conciencia, para un total de 5107 en lo corrido de la vigencia. Entre las entidades con las cuales en el mes de reporte, se adelantaron estos procesos de sensibilización se destacan: ALCALDIA DE ENGATIVA 
AGENCIA PÚBLICA DE EMPLEO SENA, RECAUDO BOGOTÁ SAS, IED MIGUEL DE CERVANTES SAAVEDRA, RENETUR SA, AVIANCA SA, POLICIA NACIONAL ESTACIÓN BOSA, SATENA SA,  I.E.D. COLEGIO TOMAS CIPRIANO DE MOSQUERA, POLICIA NACIONAL ESTACION CANDELARIA SANTA FE. Lo anterior con el propósito de dar continuidad al proceso de transformación de los imaginarios sobre la discapacidad y reducir barreras actitudinales hacia las personas con discapacidad. </t>
  </si>
  <si>
    <t xml:space="preserve">La Estrategia de Fortalecimiento a la Inclusión adelantó en el mes de septiembre 744 ejercicios de sensibilización y toma de conciencia, para un total de 4713 en lo corrido de la vigencia. Entre las entidades con las cuales en el mes de reporte, se adelantaron estos procesos de sensibilización se destacan: EJERCITO NACIONAL DE COLOMBIA,  DUGOTEX SA, ESTACIÓN DE POLICIA FONTIBÓN, ESTACIÓN DE POLICIA ENGATIVADISPAPELES, RECAUDO BOGOTÁ, COLEGIO IED CHARRY, UNIVERSIDAD NACIONAL DE COLOMBIA, UNIVERSIDAD PILOTO DE COLOMBIA, entre otras. Lo anterior con el propósito de dar continuidad al proceso de transformación de los imaginarios sobre la discapacidad y reducir barreras actitudinales hacia las personas con discapacidad.
Logrando un cumplimiento al 100% de los ejercicios de sensibilización programados en el trimestre gracias al concurso de actores como la comunidad, entidades públicas y privadas del Distrito Capital interesadas en generar transformaciones frente a los imaginarios sobre la discapacidad. Es así como se cuenta con un acumulado en la vigencia de 4713 </t>
  </si>
  <si>
    <t xml:space="preserve">En el mes de junio se adelantaron 497 ejercicios de sensibilización y toma de conciencia con entidades como: LOOPSAS MANUFACTURAS DE COLOMBIA SAS, COLEGIO TOMAS CIPRIANO DE MOSQUERA I.E.D., IED MIGUEL DE CERVANTES, ALCALDIA LOCAL ANTONIO NARIÑO, CENTRO CRECER USAQUEN, CENTRO CRECER PUENTE ARANDA, CENTRO CRECER RINCON, CENTRO CRECER ARBORIZADORA ALTA.  CENTRO CRECER VISTA HERMOSA, CENTRO CRECER BALCANES, SEGURIDAD SCANNER LTDA,  SALON COMUNAL VILLA XIMENA,  entre otras. Lo anterior con el propósito de reducir barreras actitudinales hacia las personas con discapacidad.
Es así como se logró alcanzar un total de 1933 sensibilizaciones en el trimestre superando la meta definida en el indicador equivalente a 129%,  lo anterior debido a que con  el levantamiento progresivo de las restricciones por la emergencia Covid-19  las entidades públicas, privadas y ciudadanía en general han permitido conocer y acercarse a los aspectos que buscan transformar los imaginarios sobre la discapacidad. </t>
  </si>
  <si>
    <t>En el mes de abril se adelantan 741 ejercicios de sensibilización y toma de conciencia con Centros Crecer Balcanes, Mártires, La Victoria, Calandaima, Chapinero, Usaquén, Vista Hermosa, Rafael Uribe, Puente Aranda, RUNT, IED Chuniza, IED Francisco de Paula Santander, IED Porfirio Sede B, Casa Rosada, Cámara de Comercio, Hogar Infantil Soñando Caminos, Comfacundi,  Secretaría de Seguridad,  entre otras, lo anterior con el propósito de seguir transformando los imaginarios existentes sobre la discapacidad y reducir barreras actitudinales hacia las personas con discapacidad.</t>
  </si>
  <si>
    <t>A corte 31 de marzo se han  realizado 1280 ejercicios de sensibilización y toma de conciencia dirigidos a entidades públicas, privadas y ciudadanía en general para avanzar en la transformación de imaginarios frente a la discapacidad y reducir barreras actitudinales hacia las personas con discapacidad., es de resaltar los ejercicios adelantados con BANCOS DAVIVIENDA, AGRARIO, AV VILLAS, CENTROS CRECER, JARDINES INFANTILES, COLEGIOS E INSTITUCIONES DE EDUCACIÓN DISTRITAL, ESCUELA SUPERIOR DE ADMINISTRACION PUBLICA,  POLITECNICO GRANCOLOMBIANO, SENA, SECRETARIA DISTRITAL DE HABITAT, UNIVERSIDAD NACIONAL DE COLOMBIA  entre otras. 
Es así como se logra un cumplimiento del 85% frente a lo programado durante el periodo gracias al trabajo que viene realizando el equipo de la Estrategia de Fortalecimiento para la Inclusión EFI.</t>
  </si>
  <si>
    <t xml:space="preserve">Para la vigencia 2022, la estrategia de Redes de Cuidado Comunitario consolidó la dinamización de Redes de Cuidado Comunitario en las 20 localidades de Bogotá,  mediante el acompañamiento  de los equipos territoriales en la identificación de redes comunitarias que favorecieron la participación y el reconocimiento a personas mayores que desde sus saberes, experiencias y vivencias lograron articular con cooperantes (aliados) públicos y privados la promoción de la oferta de esta Estrategia a nivel distrital. </t>
  </si>
  <si>
    <t xml:space="preserve">16/01/2023 Se recomienda ser más específicos en el análisis reportado, ya que no es claro si se alcanzo la meta, cuales fueron los principales, logros o dificultades, entre otros. Así mismo, registrar el análisis anual del indicador de acuerdo a lo socializado en comité de gestores. 
18/01/2023 No se generan observaciones respecto al análisis reportado para el seguimiento del indicador. </t>
  </si>
  <si>
    <t xml:space="preserve">A diciembre de 2022, la estrategia de Redes de Cuidado Comunitario consolidó la dinamización de Redes de Cuidado Comunitario en las 20 localidades de Bogotá, logrando de esta forma la meta propuesta. Esto se materializo, mediante el acompañamiento  de los equipos territoriales en la identificación de redes comunitarias que favorecieron la participación y el reconocimiento a personas mayores que desde sus saberes, experiencias y vivencias lograron articular con cooperantes (aliados) públicos y privados la promoción de la oferta de esta Estrategia a nivel distrital. 
Cantidad de localidades con redes dinamizadas: 20.
</t>
  </si>
  <si>
    <t xml:space="preserve">Para el periodo reportado (mes de noviembre) la estrategia de Redes de Cuidado Comunitario logra avanzar en las 20 localidades de Bogotá (Ciudad Bolívar, Kennedy, Bosa, Santa Fe, La Candelaria, Suba, Engativá, Teusaquillo, Chapinero, Los Mártires, Barrios Unidos, Usaquén, Fontibón, San Cristóbal, Usme, Puente Aranda, Antonio Nariño, Tunjuelito, Rafael Uribe Uribe, Sumapaz. 
Cantidad de localidades con redes dinamizadas: 20. </t>
  </si>
  <si>
    <t xml:space="preserve">10/11/2022:
No se generan observaciones respecto al análisis reportado para el seguimiento del indicador. </t>
  </si>
  <si>
    <t>Para el periodo reportado (mes de octubre) la Estrategia de Redes de Cuidado Comunitario ha avanzado en las localidades de Teusaquillo,  Barrios Unidos, Usaquén, Ciudad Bolívar, Bosa, Kennedy, Fontibón, San Cristóbal y Puente Aranda, acciones desarrolladas con cooperantes locales, distritales y nacionales, favoreciendo la implementación de las 4 líneas de acción definidas en los espacios Somos Red de Cuidado y Escuela de Familias A Cuidar se Aprende.  En total, desde el inicio de la vigencia se ha avanzado en la consolidación de redes de cuidado comunitario en 10 localidades en 2021 y en lo que va corrido de 2022, se ha logrado avanzar en el proceso con 6 localidades, lo que nos lleva a durante la vigencia a un cubrimiento del 80% de la ciudad, en desarrollo.
Cantidad de localidades con redes dinamizadas. 16</t>
  </si>
  <si>
    <r>
      <t>09/08/2022:
Complementar el reporte indicando, que se está haciendo llegar al total de las localidades.
11/08/2022:
No se generan observaciones respecto al análisis reportado para el seguimiento del indicador</t>
    </r>
    <r>
      <rPr>
        <sz val="9"/>
        <color rgb="FF0070C0"/>
        <rFont val="Arial"/>
        <family val="2"/>
      </rPr>
      <t>.</t>
    </r>
  </si>
  <si>
    <t>Para el semestre comprendido entre enero y junio 2022,  la Estrategia de Redes de Cuidado Comunitario ha realizado un ejercicio de seguimiento a las 10 localidades (Candelaria, Santa fe, Chapinero, Mártires, Kennedy, Bosa, Suba, Ciudad Bolívar, Engativá y Teusaquillo) en las cuales desarrolló intervención en 2021, logrando un documento de sistematización de la experiencia, la integración de los grupos de redes al Servicio Social en la Modalidad Casa de la Sabiduría o Estrategia Centro Día al Barrio de acuerdo a las necesidades de las personas mayores. Y se inició el proceso de implementación gradual de la estrategia con el ajuste a la estructura en el primer semestre de 2022, logrando avanzar con 4 localidades más, con respecto al año 2021, llegando a 14. Las 4 localidades nuevas son:  Usaquén, Puente Aranda, Fontibón y San Cristóbal , en  desarrollo de  intervenciones pedagógicas y culturales entre personas mayores, ciudadanía, organizaciones sociales y comunitarias que contribuyen a la generación de procesos de cuidado colectivo, intergeneracional, y apropiación social del cuidado que configuren entornos para la prevención de violencias contra las personas mayores y reduzcan la segregación por razones de edad, a través de acciones de carácter territorial, móvil y comunitario; las cuales han sido fortalecidos mediante la gestión y articulación con cooperantes institucionales y comunitarios.</t>
  </si>
  <si>
    <t xml:space="preserve">Para el periodo reportado (mes de mayo) se mantiene el proceso de articulación con 14 localidades y los cooperantes, que aportan a la dinamización de redes de cuidado comunitario en el marco de las acciones de prevención de las violencias hacia las personas mayores, reconocimiento de saberes y memorias, promoción del autocuidado y el cuidado colectivo y asesoría en cuidado a personas mayores. Los 8 cooperantes son: Secretarías Distrital de Salud, de la Mujer, de Seguridad, Convivencia y Justicia, Colegio Liceo Francés, IPES, SENA, Orquesta Filarmónica y Fundación Queralt.
Así como, con las Subdirecciones de Infancia y Familia, con quienes se articuló el desarrollo de la Celebración del día de la Familia en el Parque Metropolitano El Tunal y la Conmemoración del día de Decenio Afrodescendiente.    
La mayor participación se logró en las localidades de Teusaquillo, Tunjuelito, Bosa, Ciudad Bolívar, Puente Aranda y Antonio Nariño y San Cristóbal.   </t>
  </si>
  <si>
    <t>Esta estrategia durante la vigencia 2022, desarrolló actividades asociadas a las líneas de acción determinadas por la Estrategia de Redes de Cuidado Comunitario, las cuales fueron: Espacio Somos Red de Cuidado / Espacio Escuela de Familia A Cuidar se Aprende. Es importante mencionar que se continúan generando avances en la identificación de cooperantes y la conformación de grupos para el desarrollo de los procesos locales.
Así mismo, se resalta dentro de los procesos con las personas mayores vinculadas en este segundo semestre de 2022, la finalización del proceso "Yo te cuido y me certifico" donde 109 personas mayores fueron certificadas en ejercicios orientados con la cualificación del cuidado con persona mayor, actividad realizadas con el cooperante SENA.</t>
  </si>
  <si>
    <t xml:space="preserve">16/01/2023 Verificar, las cifras reportadas no coinciden con el análisis realizado, ni con el avance alcanzado. Así mismo, registrar el análisis anual del indicador de acuerdo a lo socializado en comité de gestores. 
18/01/2023 No se generan observaciones respecto al análisis reportado para el seguimiento del indicador. </t>
  </si>
  <si>
    <t xml:space="preserve">Para el segundo semestre de la vigencia 2022, se reportó cumplimiento en la meta de personas vinculadas en la Estrategia de Redes de Cuidado Comunitario, lo cual es complemento del reporte inicial de la meta de la Estrategia Redes de Cuidado (Primer semestre), estas 1,067 personas mayores identificadas y vinculadas (según criterio de participación de mínimo el 75% de participación en actividades de la Estrategia). Para el segundo semestre de 2022, se unen a las 4,124 personas mayores previamente vinculadas en el primer semestre de 2022. 
</t>
  </si>
  <si>
    <t>Para el periodo reportado (mes noviembre) se reporta un avance en la meta en cuanto se vincularon 279 personas a la Red de Cuidado Comunitario, puesto que lograron participar de actividades que asociaron un proceso en orden al cumplimiento del 75% de las líneas de acción determinadas por la Estrategia de Redes de Cuidado Comunitario, de la siguiente manera:
1.	Espacio Somos Red de Cuidado: 21 personas.
2.	Espacio Escuela de Familia A Cuidar se Aprende: 258 personas 
De este modo es importante mencionar que se continúan generando avances en la conformación de grupos y el desarrollo de los procesos en las localidades, pero aún no se llega al 75% de las líneas de acción requerido en varios de los participantes, por lo cual se espera para el próximo reporte se aumente la cantidad de procesos y personas vinculadas a la Estrategia de Redes de Cuidado Comunitario a partir de procesos constituidos en los espacios y líneas de acción de la Estrategia.</t>
  </si>
  <si>
    <t>Se cuenta como persona vinculada a una Red de Cuidado Comunitario, aquella que participa en al menos el 75% de las líneas de acción.  Y que a la fecha se tienen avances importantes en la conformación de grupos y que los procesos se encuentran en desarrollo, de acuerdo a lo planeado, pero aun no se llega al 75%, a continuación se relacionan las acciones que evidencian el proceso alcanzado desde el mes de julio, así:
-Desde la estrategia de Redes de Cuidado Comunitario se atendieron 59 personas mayores de pueblos indígenas en torno al intercambio de saberes desde la medicina ancestral 
-Se adelantó el proceso de construcción y actualización de mapeo de actores comunitarios públicos y/o privados y de organizaciones sociales de las localidades de Chapinero, Usaquén y Suba.
-Se logró avanzar en el proceso de articulación con líderes de la comunidad afrodescendiente de la localidad de Usme para recuperar y fortalecer una iniciativa comunitaria desde la Fundación Fucispac para que desde allí, se puedan generar acciones para la dinamización de redes de cuidado comunitario.
- En articulación con Secretaría Distrital de Salud se logró el proceso de cualificación de Primer Respondiente en modalidad teórico y práctico dirigido al equipo técnico distrital del servicio social Centro Día. 
-Se estableció mesa de trabajo con miembro de la Organización Kuagro Moná ri Palenque, para concertar acciones de trabajo conjuntas desde la Estrategia Redes de Cuidado Comunitario en el marco de las acciones afirmativas. 
- Se generaron acciones de articulación con la Fundación FUCISPAC, Corporación 21 Colombia y con la Secretaría Distrital de Seguridad, Convivencia y Justicia. Todo aportando a la prevención de las violencias contra las personas mayores y la apropiación social del cuidado.
-Se generó una nueva alianza estratégica con el SENA y se mantienen cooperantes como Secretaría de Salud, IPES, Fundación Queralt y Secretaría de Desarrollo Económico a través de los diferentes encuentros con las personas mayores y sus familias en el territorio y unidades operativas.</t>
  </si>
  <si>
    <t>Para el mes de septiembre del 2022, la estrategia de redes de cuidado, reporta un avance en la meta en cuanto se vincularon 296 personas a la Red de Cuidado Comunitario, puesto que lograron participar de actividades que asociaron un proceso en orden al cumplimiento del 75% de las líneas de acción determinadas por la Estrategia de Redes de Cuidado Comunitario, de la siguiente manera:                                                                
-Espacio Somos Red de Cuidado: 245 personas. 
- Espacio Escuela de Familia A Cuidar se Aprende: 51 personas.                                                                             
 De este modo es importante mencionar que se continúan generando avances en la conformación de grupos y el desarrollo de los procesos en las localidades, pero aún no se llega al 75% de las líneas de acción requerido, por lo cual se espera para el próximo reporte se aumente la cantidad de procesos y personas vinculadas a la Estrategia de Redes de Cuidado Comunitario a partir de procesos constituidos en los espacios y líneas de acción de la Estrategia.</t>
  </si>
  <si>
    <r>
      <t xml:space="preserve">Para el periodo reportado (mes julio) se cuenta como persona vinculada a una Red de Cuidado Comunitario, aquella que participa en al menos el 75% de las líneas de acción.  A la fecha se tienen avances importantes en la conformación de grupos y que los procesos se encuentran en desarrollo, de acuerdo a lo planeado, pero aún no se llega al 75% requerido, a continuación, se relacionan las acciones que evidencian el avance alcanzado durante el mes de julio, así:
-Desde la estrategia de Redes de Cuidado Comunitario se atendieron 59 personas mayores de pueblos indígenas en torno al intercambio de saberes desde la medicina ancestral.
-Se adelantó el proceso de construcción y actualización de mapeo de actores comunitarios públicos y/o privados y de organizaciones sociales de las localidades de Chapinero, Usaquén y Suba.
-Se logró avanzar en el proceso de articulación con líderes de la comunidad afrodescendiente de la localidad de Usme para recuperar y fortalecer una iniciativa comunitaria desde la Fundación Fucispac para que, desde allí, se puedan generar acciones para la dinamización de redes de cuidado comunitario.
- En articulación con secretaría Distrital de Salud se logró el proceso de cualificación de Primer Respondiente en modalidad teórico y práctico dirigido al equipo técnico distrital del servicio social Centro Día. 
-Se estableció mesa de trabajo con miembro de la Organización Kuagro Moná ri Palenque, para concertar acciones de trabajo conjuntas desde la Estrategia Redes de Cuidado Comunitario en el marco de las acciones afirmativas. 
- Se generaron acciones de articulación con la Fundación FUCISPAC, Corporación 21 Colombia y con la </t>
    </r>
    <r>
      <rPr>
        <strike/>
        <sz val="9"/>
        <rFont val="Arial"/>
        <family val="2"/>
      </rPr>
      <t>S</t>
    </r>
    <r>
      <rPr>
        <sz val="9"/>
        <rFont val="Arial"/>
        <family val="2"/>
      </rPr>
      <t>ecretarí</t>
    </r>
    <r>
      <rPr>
        <strike/>
        <sz val="9"/>
        <rFont val="Arial"/>
        <family val="2"/>
      </rPr>
      <t>a</t>
    </r>
    <r>
      <rPr>
        <sz val="9"/>
        <rFont val="Arial"/>
        <family val="2"/>
      </rPr>
      <t xml:space="preserve"> Distrital de Seguridad, Convivencia y Justicia. Todo aportando a la prevención de las violencias contra las personas mayores y la apropiación social del cuidado.
-Se generó una nueva alianza estratégica con el SENA y se mantienen cooperantes como </t>
    </r>
    <r>
      <rPr>
        <strike/>
        <sz val="9"/>
        <rFont val="Arial"/>
        <family val="2"/>
      </rPr>
      <t>S</t>
    </r>
    <r>
      <rPr>
        <sz val="9"/>
        <rFont val="Arial"/>
        <family val="2"/>
      </rPr>
      <t>ecretarí</t>
    </r>
    <r>
      <rPr>
        <strike/>
        <sz val="9"/>
        <rFont val="Arial"/>
        <family val="2"/>
      </rPr>
      <t>a</t>
    </r>
    <r>
      <rPr>
        <sz val="9"/>
        <rFont val="Arial"/>
        <family val="2"/>
      </rPr>
      <t xml:space="preserve"> de Salud, IPES, Fundación Queralt y </t>
    </r>
    <r>
      <rPr>
        <strike/>
        <sz val="9"/>
        <rFont val="Arial"/>
        <family val="2"/>
      </rPr>
      <t>S</t>
    </r>
    <r>
      <rPr>
        <sz val="9"/>
        <rFont val="Arial"/>
        <family val="2"/>
      </rPr>
      <t>ecretarí</t>
    </r>
    <r>
      <rPr>
        <strike/>
        <sz val="9"/>
        <rFont val="Arial"/>
        <family val="2"/>
      </rPr>
      <t>a</t>
    </r>
    <r>
      <rPr>
        <sz val="9"/>
        <rFont val="Arial"/>
        <family val="2"/>
      </rPr>
      <t xml:space="preserve">  de Desarrollo Económico a través de los diferentes encuentros con las personas mayores y sus familias en el territorio y unidades operativas.</t>
    </r>
  </si>
  <si>
    <t>La Estrategia de Redes de Cuidado Comunitario en la vigencia 2021 se abordó a partir del desarrollo de actividades que incluían las líneas de acción y el cual contó con una participación de 4.124 personas, lo cual se evidenció en el registro del Banco del Tiempo Mayor .    
Para el primer semestre del año 2022, la Estrategia de Redes de Cuidado Comunitario presentó un ajuste en la estructura, transformación y armonización con la operación del Servicio Social Centro Día, en el que se proyectó el abordaje en las localidades a partir de la conformación de Redes que responden a procesos con periodicidad de cuatro meses.
Adicionalmente, los registros de información fueron actualizados y se definieron así: en el Banco del Tiempo Mayor se registran los actores públicos y/o privados vinculados al proceso como cooperantes por lo que a primer semestre de 2022, se incremento en 6, llegando a 4130, y se estableció que el registro de participantes del proceso se llevará a cabo en la ficha SIRBE, en lo que se está avanzando actualmente y se encuentra en proceso de parametrización.
Así mismo, de acuerdo con la implementación gradual de la Estrategia de Redes de Cuidado Comunitario en 2022 se han desarrollado acciones a partir de las líneas de acción como son Prevención en violencias contra persona mayor, Reconocimiento de Saberes y Memorias de las Personas Mayores, Promoción del Autocuidado y Cuidado Colectivo y Asesoría en Cuidado en Persona Mayor, con lo que se avanza en los procesos que aportan al cumplimiento de la meta que podrá reportarse cuando se cumpla el criterio de participación en al menos el 75 % de las líneas de acción.
Los grupos de personas que están en desarrollo del proceso de conformación de redes se encuentran distribuidos en las localidades de acuerdo a la siguiente relación: Teusaquillo: 199, Ciudad Bolívar: 289, Usaquén: 118, Bosa: 142, Kennedy: 157, Fontibón: 47, Puente Aranda: 97, San Cristóbal:180, Usme:90.                    
Lo que evidencia la participación de 1.319, para ello se espera lograr evidenciar avance cuantitativo en el cumplimiento del indicador para el siguiente semestre.</t>
  </si>
  <si>
    <r>
      <t>Para el periodo reportado (mes de mayo) la Estrategia de Redes de Cuidado Comunitario realizó acciones territoriales y comunitarias, orientadas a promover el cuidado colectivo en favor de las personas mayores en el marco del SIDICU, mediante la promoción de la dinamización de redes para el apoyo permanente de las personas mayores, de acuerdo a lo establecido en la ley 1276 de 2009. Estas acciones se realizaron a través de espacios de interacción como son lo son:
a) Escuela de familias "</t>
    </r>
    <r>
      <rPr>
        <i/>
        <sz val="9"/>
        <rFont val="Arial"/>
        <family val="2"/>
      </rPr>
      <t>A cuidar se aprende</t>
    </r>
    <r>
      <rPr>
        <sz val="9"/>
        <rFont val="Arial"/>
        <family val="2"/>
      </rPr>
      <t>" mediante la cual se trabajó en espacio pedagógico virtual denominado "</t>
    </r>
    <r>
      <rPr>
        <i/>
        <sz val="9"/>
        <rFont val="Arial"/>
        <family val="2"/>
      </rPr>
      <t>Saber escuchar a las personas mayores</t>
    </r>
    <r>
      <rPr>
        <sz val="9"/>
        <rFont val="Arial"/>
        <family val="2"/>
      </rPr>
      <t>", dirigidos a reconocer las labores de cuidado que realizan las(los) cuidadores de personas mayores, con la participación de 83 personas de las diferentes localidades de la ciudad, de las cuales 66 son personas mayores y 17 ciudadanía y actores interesados (en articulación con la Fundación Queralt).
b) Se dio inicio al proceso de consolidación de una EXPERIENCIA DE TRABAJO COMUNITARIO DENOMINADA COMUNIDAD DE CUIDADO DE PERSONAS MAYORES con la participación de los Barrios El Triunfo, Bosques de San Bernardino, San Antonio, San Joaquín, la Ruleta y la Vega Baja de San Bernardino de la Localidad de Bosa; ejercicio articulado desde la Estrategia Redes de Cuidado Comunitario, la Fundación Queralt y líderes comunitarios de personas mayores participantes del Centro Día Rincón Intercultural de Bosa.
c) Se realizó también, en articulación con el CDC de Usme, la orquesta Filarmónica de Bogotá, Centro Día Casa de la Sabiduría Celebra la Vida y ERCC, el Encuentro Intergeneracional "</t>
    </r>
    <r>
      <rPr>
        <i/>
        <sz val="9"/>
        <rFont val="Arial"/>
        <family val="2"/>
      </rPr>
      <t>Familias Cultivando el Envejecimiento y la Vejez</t>
    </r>
    <r>
      <rPr>
        <sz val="9"/>
        <rFont val="Arial"/>
        <family val="2"/>
      </rPr>
      <t>", con la participación de 107 personas mayores y sus familias.
d)Somos Red de Cuidado: mediante espacios de interacción en los que se fortalece el autocuidado, la solidaridad generacional y se propicia la conformación de redes de apoyo entre las personas mayores vinculadas al Servicio Social Centro Día, con hogares unipersonales, se logró la participación de 377 personas mayores a través de procesos de articulación logrados con los cooperantes así:
-Formación de Promotores de Cuidado Emocional: 280 personas mayores y 25 profesionales de la SDIS en articulación con la Dirección de Participación y Servicio al Ciudadano de la secretaria Distrital de Salud.
-Inscripción para proceso de formación de 5 Certificadores de Cuidadores de Personas Mayores, a través del SENA con quien se promoverá la certificación de competencia laborales de 100 cuidadores de personas mayores en la ciudad. 
-Voluntariado Encuentro intergeneracional: 6 personas mayores en articulación con los estudiantes del Colegio Liceo Francés y Fundación Queralt.
-Socialización del proceso redes de cuidado comunitario para conformación de Red en Teusaquillo Barrios Unidos: 40 personas mayores con el Equipo Distrital de Redes de Cuidado Comunitario.                                             
-Taller Cuidado Cognitivo: 51 personas mayores en articulación con la Secretaría Distrital de la Mujer. 
-Concertación de inicio de proceso de formación de 300 "</t>
    </r>
    <r>
      <rPr>
        <i/>
        <sz val="9"/>
        <rFont val="Arial"/>
        <family val="2"/>
      </rPr>
      <t>Gestores de convivencias para la protección de los derechos de las personas mayores</t>
    </r>
    <r>
      <rPr>
        <sz val="9"/>
        <rFont val="Arial"/>
        <family val="2"/>
      </rPr>
      <t xml:space="preserve">" en articulación con la Secretaría de Seguridad, Convivencia y Justicia.  </t>
    </r>
  </si>
  <si>
    <t xml:space="preserve">Para el periodo reportado (mes de abril) respecto al cumplimiento de la meta, ésta se cumplió dado que la Estrategia de Redes de Cuidado Comunitario se socializa con los equipos de líderes de las 20 localidades y en el marco del SIDICU se avanza en la articulación entre Casas de Sabiduría y 5 Cooperantes, construyendo los procesos a desarrollar y efectuando acciones mediante los espacios de cuidado así:                                                              
ESCUELA DE FAMILIAS - A CUIDAR SE APRENDE: 
1. Fundación Queralt, mediante Taller de Estimulación Neurocognitiva con 46 personas mayores en el Centro Día Tierra de Saberes.         
2. Establecimiento de cupo de 100 personas mayores cuidadoras de personas mayores participantes del Servicio Social Centro Día a cualificar mediante proceso de Competencias laborales con el SENA, en las normas: 
*Cuidar personas según protocolos de actividades básicas cotidianas y grado de autonomía y, 
*Atender necesidades de acompañamiento según preferencias espirituales y emocionales.
3. Establecimiento de cupo de *15 profesionales que se certificarán como evaluadores de competencias laborales con el SENA en las normas relacionadas con el cuidado de personas mayores, cualificando a los cuidadores y a los colaboradores para la promover el autocuidado y cuidado colectivo, la apropiación social del cuidado y el servicio social a través de la ERRC.                                                                   
Somos Red de Cuidado:
 * Colegio Liceo Frances con la acción intergeneracional de cuidado colectivo con 17 personas mayores en el Centro Día Tierra de Saberes.
COMPONENTE PARTICIPACION Y REDES: 
* Estadio Nemesio Camacho El Campin, como espacio y medio para romper barreras de acceso y visibilización del proceso de vejez y envejecimiento conto con participación de 313 personas mayores y sus familias con IPES
COMPONENTE OCUPACION HUMANA:
* Definición de unidades operativas para la conformación de 14 grupos entorno a unidades productivas de cocina y preparación de alimentos y 6 grupos en la línea de confección con IPES.
De acuerdo con la variable de método de cálculo la participación de las personas registradas en estas actividades no constituye cumplimiento, se reportarán una vez cumplido el proceso definido con cada grupo.                                                                                 </t>
  </si>
  <si>
    <t>A lo largo de la vigencia 2022, se realizaron sesiones del Comité Operativo de Envejecimiento y Vejez los meses de febrero, abril,  julio, septiembre, octubre y diciembre. En estas sesiones, se abordaron los temas estratégicos de la implementación de la Política Pública Social para el Envejecimiento y la Vejez dentro de los cuales se destacan: 1. El seguimiento a la implementación del Plan de Acción de la PPSEV. 2. El análisis de la investigación que adelantó durante el año la Subdirección para la Vejez 3. El análisis de la  nueva Política Nacional de Envejecimiento y Vejez. 4. La preparación de la Celebración del Mes del Envejecimiento y la Vejez. 5. La realización de la Asamblea Distrital de Sabios y Sabias. 
De esta manera se culminó el ejercicio de secretaría técnica de la PPSEV dando cumplimiento a la normatividad vigente (Resolución 511 de 2011 y 883 de 2018) y a las proyecciones establecidas desde el Proyecto de inversión 7770 en el año 2022, con un total de 6 sesiones del Comité Operativo de Envejecimiento y Vejez, 4 mesas técnicas y 1 sesiones extraordinaria, para un total 11 sesiones en la anualidad.</t>
  </si>
  <si>
    <t xml:space="preserve">16/01/2023 Verificar cifras, no concuerda. Así mismo, registrar el análisis anual del indicador de acuerdo a lo socializado en comité de gestores.
19/01/2023 No se generan observaciones respecto al análisis reportado para el seguimiento del indicador. </t>
  </si>
  <si>
    <t xml:space="preserve">Durante el último trimestre se realizaron 2 sesiones del Comité Operativo de Envejecimiento y Vejez, de las cuales 1 se realizó en modalidad presencial y el restante se realizó en modalidad virtual. 
En la primera sesión, se realizó la presentación de Diana Carolina Mora como nueva subdirectora para la Vejez. Seguidamente, se trataron los avances  en el proceso de reformulación de la Ruta de Atención Intersectorial para las Personas Mayores, presentación de los avances en la elaboración del  Estudio Implicaciones Emergencia Sanitaria, Económica y Social por Covid-19, en las Personas Mayores en Bogotá; y se comentaron los avances en el reporte de seguimiento a la implementación del plan de acción de la política pública y las recomendaciones para el siguiente reporte.
En la última sesión del Comité Operativo de Envejecimiento y Vejez fue convocado el 9 de diciembre con el propósito de brindar retroalimentación sobre el Tomo I del Estudio Implicaciones de la Emergencia Sanitaria, Económica y Social por Covid-19 en las Personas Mayores en Bogotá, el cual fue comentado por los delegados y delegadas, haciendo aportes de gran relevancia para que el estudio tuviese la mayor precisión y profundidad. Asimismo, en esta sesión se recibieron opiniones y observaciones sobre la Campaña Enveje-Ser Sin Miedo al Abandono que se reimpulsó con el fin de seguir promoviendo la prevención del abandono en las personas mayores y sensibilizando sobre esta problemática.
</t>
  </si>
  <si>
    <t xml:space="preserve">Durante el mes de noviembre se realizaron los espacios de articulación y coordinación de la Política Pública Social para el Envejecimiento y la Vejez, a saber: La Mesa Técnica de Envejecimiento y Vejez realizada el día 2 de noviembre y el Comité Operativo de Envejecimiento y Vejez realizado el martes 29 de noviembre del presente año.
De esta manera, en el primer espacio se abordaron los siguientes temas: 
1.	Socialización agenda Asamblea Distrital
2.	Grupo focal con participantes de la MTEV
En el segundo espacio se abordaron los siguientes temas: 
1.	Balance de la Asamblea Distrital de Sabios y Sabias
2.	Grupo Focal con delegados/as al COEV
De esta manera, se ha venido avanzando en una agenda concreta de cara al cierre de la vigencia, para dar cumplimiento a los objetivos proyectados, en el marco de la secretaría técnica de la PPSEV.  </t>
  </si>
  <si>
    <t xml:space="preserve">Durante el mes de octubre, fueron convocados los espacios de coordinación y articulación de acciones de la PPSEV, a saber, la Mesa Técnica de Envejecimiento y Vejez realizada el 19 de octubre en modalidad virtual donde se trataron los siguientes temas: 
- Balance eventos octubre - Día Internacional de las Personas de Edad – 1° de Octubre
- Sectores
- Avances Estudios 2022
- Avances Plan de Acción de la PPSEV
- Varios: Asamblea, COEV, Diagramación RAIPM.
Así mismo, se realizó el Cuarto Comité Operativo de Envejecimiento y Vejez realizado del 26 de octubre en las instalaciones de la Secretaría Distrital de Ambiente. Los temas abordados en la reunión fueron:
1. Presentación a cargo de Diana Carolina Mora, Subdirectora para la Vejez.
2. Avances Ruta de Atención Intersectorial para las Personas Mayores.
3. Asamblea Distrital de Sabios y Sabias.
4. Avances Estudio Implicaciones Emergencia Sanitaria COVID-19, en las Personas Mayores en Bogotá.
5. Avances Plan de Acción- PPSEV
De esta manera, se valora positivamente la continuidad en el desarrollo de la Secretaría Técnica de la PPSEV, dando cumplimiento a lo proyectado para la vigencia. </t>
  </si>
  <si>
    <t>Durante el mes de julio se realizó la secretaría técnica de los espacios de articulación y coordinación de la Política Pública Social para el Envejecimiento y la Vejez, a través de la sesión de la Mesa Técnica de Envejecimiento y Vejez – MTEV realizada el 6 de julio y del Comité Operativo de Envejecimiento y Vejez realizados el 15 de julio y el 22 de julio de manera extraordinaria. En la sesión de Mesa Técnica de Envejecimiento y Vejez, se abordaron los siguientes temas: 
1. Plan de Acción.
2. Comité Operativo de Envejecimiento y Vejez – 15 de julio: se proyectaron los puntos de este escenario.
3. Mes del Envejecimiento y la Vejez – 2022: se presentó la proyección que en esa fecha se tenía para la celebración del mes del Envejecimiento y la Vejez.
En cuanto a las sesiones del Comité Operativo de Envejecimiento y Vejez del 15 de julio, se trató lo relacionado con las modificaciones al Plan de Acción de la PPSEV, las orientaciones para el reporte del segundo trimestre y el informe de gestión de la PPSEV correspondiente a lo estipulado en el Decreto 345 de 2010. En segundo lugar, la socialización del Informe de Barreras de Inclusión Social y Productiva para la población mayor en Bogotá, a cargo de la Secretaría Distrital de Planeación. En tercer lugar, la Socialización de la Política Pública Nacional de Envejecimiento y Vejez a cargo del Ministerio de Salud. En cuarto lugar, un punto de proposiciones y varios.
La proyección de actividades para la Celebración del Mes del Envejecimiento y la Vejez quedó aplazada para la sesión extraordinaria del COEV que se realizó el 22 de julio donde fueron analizadas las acciones proyectadas y aprobadas por parte del comité.
De esta manera, se da cumplimiento al desarrollo de la Secretaría Técnica de la PPSEV en todos los espacios previstos para este mes.</t>
  </si>
  <si>
    <r>
      <t xml:space="preserve">08/04/2022:
Ajustar la redacción y las cifras, recuerden que se reporta el avance trimestral, no solo de marzo. Adicionalmente en las evidencias, están adjuntando solo lo del mes de marzo, faltan las evidencias del mes de enero y febrero (el reporte cuantitativo es trimestral). tener en cuenta la redacción utilizada en los reportes anteriores para ajustar la de este reporte.
19/04/2022: 
Recuerden que en el ejecutado y programado, para este caso deben indicar la sumatoria de  enero a marzo, </t>
    </r>
    <r>
      <rPr>
        <u/>
        <sz val="9"/>
        <rFont val="Arial"/>
        <family val="2"/>
      </rPr>
      <t>no solo marzo, lo mismo en la redacción del análisis</t>
    </r>
    <r>
      <rPr>
        <sz val="9"/>
        <rFont val="Arial"/>
        <family val="2"/>
      </rPr>
      <t xml:space="preserve">.  En cuanto a las evidencias, tienen programado entregar Informes de seguimiento y evaluación de resultados, los cuales no se adjuntan, a cambio están las actas de las dos ultimas mesas, lo que no cumple con la evidencia planteada, deben adjuntar lo que dejaron que iba a ser la evidencia, adicionalmente hay que adjuntar las evidencias de los meses de enero y febrero, también.
20/04/2022:
No se generan observaciones respecto al análisis y evidencias reportados para el seguimiento del indicador.  </t>
    </r>
  </si>
  <si>
    <t xml:space="preserve">En el marco de la prestación del servicio integral de bienestar y cuidado para personas mayores, Modalidad Comunidad de Cuidado, se observa que para la vigencia 2022, cada persona mayor que participó en dicha modalidad, contó con su respectivo plan de atención integral individual (PAIIN). Sin embargo, para efectos del indicador, durante la vigencia 2022 solo se reportaron las personas que contaban con el formato diligenciado en cada una de las etapas (conociendo, planeando, monitoreando). Se encontró que el porcentaje de Personas Mayores que contaban con el PAIIN nunca fue inferior al 96%. Lo anterior, teniendo en cuenta que el PAIIN debe diligenciarse durante el primer mes de su ingreso a la modalidad. </t>
  </si>
  <si>
    <t xml:space="preserve">16/01/2023 Se recomienda tener en cuenta la estructura sugerida para el análisis del indicador, ya que se esta anexando información no requerida. Así mismo indicar los porcentajes y cifras obtenidas para no generar falsas interpretaciones. Adicionalmente, registrar el análisis anual del indicador de acuerdo a lo socializado en comité de gestores.
18/01/2023 No se generan observaciones respecto al análisis reportado para el seguimiento del indicador. </t>
  </si>
  <si>
    <t>Para el periodo reportado (trimestre octubre a diciembre) en la modalidad de Comunidad de Cuidado se brindó una atención integral a 1.955 personas mayores. Para ello, se cuenta con un Plan de Atención Integral Individual (PAIIN), que es una herramienta de planeación interdisciplinaria que da cuenta de las acciones propuestas para la persona mayor en el ámbito personal y que incorpora a la familia en caso de requerirse, que promueve el reconocimiento individual de las habilidades, capacidades, potencialidades de las personas mayores, así como el desarrollo de la autonomía, la seguridad, la protección y el envejecimiento activo, desde un lenguaje lúdico y artístico que da cuenta de los gustos e intereses de las personas desde su identidad cultural.                                                                                                                    
Para el periodo reportado, los participantes de la Modalidad de Comunidad de Cuidado cuentan con el Plan de Atención Integral Individual, no obstante, para efectos del indicador, solo se reportan las personas que cuentan con el formato diligenciado en cada una de las etapas. Teniendo en cuenta lo anterior, 1.933 participantes cuentan con el formato que soporta las acciones realizadas dentro del Plan de atención integral individual, dando un cumplimiento del indicador para el periodo reportado del 99%.
Es importante aclarar que la información del número total de las personas mayores atendidas durante el trimestre, se saca del reporte de conteo de metas, de la siguiente manera: Se tiene como línea base el número de personas mayores atendidas en el mes de octubre reportado en el archivo "Denominador Indicador Trimestre 4, hoja Modalidad mes Octubre", en este caso 1914 personas mayores y las personas nuevas que ingresaron en los meses de noviembre y diciembre, dato que se obtiene de la diferencia de personas mayores que se atendieron durante la vigencia con corte a diciembre y con corte al mes de octubre, que se evidencian en las hojas "Modalidad Vigo Diciembre y Modalidad Vigo Octubre", es decir 41 personas mayores nuevas, dando como resultado las 1955 personas mayores.</t>
  </si>
  <si>
    <t xml:space="preserve">Para el periodo reportado (noviembre) en la modalidad de Comunidad de Cuidado se brindó una atención integral a 1.909 personas mayores. 
Para ello, se cuenta con un Plan de Atención Integral Individual (PAIIN), que es una herramienta de planeación interdisciplinaria que da cuenta de las acciones propuestas para la persona mayor en el ámbito personal y que incorpora a la familia en caso de requerirse, que promueve el reconocimiento individual de las habilidades, capacidades, potencialidades de las personas mayores, así como el desarrollo de la autonomía, la seguridad, la protección y el envejecimiento activo, desde un lenguaje lúdico y artístico que da cuenta de los gustos e intereses de las personas desde su identidad cultural. El PAIIN contempla 3 fases: I. Conociendo, en donde se indaga y reconocen las necesidades, gustos e intereses de la persona mayor. 
Esta etapa inicia desde que la persona mayor ingresa a la Comunidad de Cuidado y durante el primer mes de permanencia; II. Planeando, en esta etapa se concretan los objetivos que se quieren lograr con la persona mayor y las actividades que se proyectan realizar para dar cumplimiento a estos objetivos; III. Actuando, se refiere a las acciones que se desarrollan para cumplir los objetivos de la etapa anterior y los resultados que se obtienen. 
Para el periodo reportado, el 100% de los participantes (1.909) en la Modalidad de Comunidad de Cuidado cuentan con el Plan de Atención Integral Individual, no obstante, para efectos del indicador, solo se reportan las personas que cuentan con el formato diligenciado en cada una de las etapas. Teniendo en cuenta lo anterior, 1.878 participantes cuentan con el formato que soporta las acciones realizadas dentro del Plan de atención integral individual. </t>
  </si>
  <si>
    <t>Para el periodo reportado (octubre) en la modalidad de Comunidad de Cuidado se brindó una atención integral a 1.914 personas mayores. Para lograr esto último, se cuenta con un Plan de Atención Integral Individual (PAIIN), que una herramienta de planeación interdisciplinaria que da cuenta de las acciones propuestas para la persona mayor en el ámbito personal y que incorpora a la familia en caso de requerirse, que promueve el reconocimiento individual de las habilidades, capacidades, potencialidades de las personas mayores, así como el desarrollo de la autonomía, la seguridad, la protección y el envejecimiento activo, desde un lenguaje lúdico y artístico que correspondan a los gustos e intereses de las personas desde su identidad cultural. El PAIIN contempla 3 fases: I. Conociendo, en donde se indaga y reconocen las necesidades, gustos e intereses de la persona mayor. Esta etapa inicia desde que la persona mayor ingresa a la Comunidad de Cuidado y durante el primer mes de permanencia. Planeando, en esta etapa se concretan los objetivos que se quieren lograr con la persona mayor y las actividades que se proyectan realizar para dar cumplimiento a estos objetivos. Actuando, se refiere a las acciones que se desarrollan para cumplir los objetivos de la etapa anterior y los resultados que se obtienen. Para el periodo reportado, el 100% de los participantes (1.914) en la Modalidad de Comunidad de Cuidado cuentan con el Plan de Atención Integral Individual, no obstante, para efectos del indicador, solo se reportan las personas que cuentan con el formato diligenciado en cada una de las etapas. Teniendo en cuenta lo anterior, 1.891 participantes cuentan con el formato que soporta las acciones realizadas dentro del Plan de atención integral individual.</t>
  </si>
  <si>
    <r>
      <t xml:space="preserve">Para el periodo reportado (Agosto) en la modalidad de Comunidad de Cuidado se brinda una atención integral a las personas mayores participantes, dentro de esta se genera un Plan de atención integral individual que responde a las necesidades, gustos e intereses de cada uno, este plan de atención contempla 3 fases: 1. Conociendo, en donde se indaga y reconocen dichas necesidades, gustos e intereses, esta etapa inicia desde que la persona mayor ingresa al centro y durante el primer mes de permanencia, 2. Planeando, en esta etapa se concretan los objetivos que se quieren lograr con las personas mayores y que actividades se van a desarrollar para ello y 3. Actuando que se refiere a las acciones que se desarrollan para cumplir los objetivos de la etapa anterior y los resultados que se obtienen. En este sentido, el 100% de los participantes en la Modalidad cuentan con el Plan de atención individual, no obstante, para efectos del indicador, solo se reportan las personas que cuentan con el formato diligenciado en cada una de las etapas. 
</t>
    </r>
    <r>
      <rPr>
        <sz val="9"/>
        <color rgb="FFFF0000"/>
        <rFont val="Arial"/>
        <family val="2"/>
      </rPr>
      <t xml:space="preserve">
</t>
    </r>
    <r>
      <rPr>
        <sz val="9"/>
        <rFont val="Arial"/>
        <family val="2"/>
      </rPr>
      <t>Teniendo en cuenta lo anterior, 1.526 participantes cuentan con el formato que soporta las acciones realizadas dentro del Plan de atención integral individual.</t>
    </r>
  </si>
  <si>
    <t xml:space="preserve">En la modalidad de Comunidad de Cuidado se brinda una atención integral a las personas mayores participantes, dentro de esta se genera un Plan de atención integral individual que responde a las necesidades, gustos e intereses de cada uno, este plan de atención contempla 3 fases: 1. Conociendo, en donde se indaga y reconocen dichas necesidades, gustos e intereses, esta etapa inicia desde que la persona mayor ingresa al centro y durante el primer mes de permanencia, 2. Planeando, en esta etapa se concretan los objetivos que se quieren lograr con las personas mayores y que actividades se van a desarrollar para ello y 3. Actuando que se refiere a las acciones que se desarrollan para cumplir los objetivos de la etapa anterior y los resultados que se obtienen. En este sentido, el 100% de los participantes en la Modalidad cuentan con el Plan de atención individual, no obstante, para efectos del indicador, solo se reportan las personas que cuentan con el formato diligenciado en cada una de las etapas. 
Teniendo en cuenta lo anterior, 1.873 participantes de 1.920 cuentan con el formato que soporta las acciones realizadas dentro del Plan de atención integral individual. El caso de las personas mayores que no cuentan con el PAIIN, se debe a que son ingresos recientes a la modalidad de atención y no cumplen todavía con las fechas establecidas para el diligenciamiento del formato. </t>
  </si>
  <si>
    <t xml:space="preserve"> 
Dado el tipo de modalidad de atención y de población atendida, en lo que respecta a la vigencia 2022, se observa una variación en el porcentaje de la participación de las personas mayores en los encuentros de autocuidado y dignificación que se desarrollaron en los Centros de Cuidado Transitorio, ya que la participación en estos encuentros es voluntaria, respetando siempre la autonomía y toma de decisiones de las personas mayores participantes. En todo caso, durante la vigencia se implementaron diferentes estrategias, como la motivación e invitación permanente a estos espacios, con el fin de fomentar la participación de las personas mayores. De igual forma, se promovieron diversos tipos de actividades centradas en los gustos e interés de las personas mayores, con el fin de cumplir con la meta formulada.</t>
  </si>
  <si>
    <t xml:space="preserve">16/01/2023 Se recomienda ser más específicos en análisis reportando, de tal forma que permita visualizar cuales fueron los principales logros, retos y cumplimiento con la meta. Adicionalmente, registrar el análisis anual del indicador de acuerdo a lo socializado en comité de gestores.
18/01/2023 No se generan observaciones respecto al análisis reportado para el seguimiento del indicador. </t>
  </si>
  <si>
    <t xml:space="preserve">Para el periodo reportado (octubre a diciembre) de los 538 participantes atendidos en la modalidad de Cuidado Transitorio, 516 participaron en encuentros de Autocuidado y dignificación; registrándose una participación del 96% de las personas mayores atendidas en los encuentros en mención. 
</t>
  </si>
  <si>
    <t xml:space="preserve">Para el periodo reportado (noviembre) la Modalidad de Cuidado Transitorio día comprende la atención transitoria en medio institucional, brindada a las personas mayores de 60 años o más que se encuentran en riesgo o situación de habitabilidad en calle en la ciudad Bogotá a través de una atención básica con servicios de alojamiento, alimentación y aseo personal, desarrollando acciones que promueven el autocuidado, la dignificación y el ejercicio de derechos, favoreciendo la autonomía y el envejecimiento activo de las personas mayores a través del cuidado y atención integral. 
Para la medición del indicador, se tomó como referencia el seguimiento a la participación de las personas mayores en los encuentros y actividades del Plan de Atención Institucional PAI. Estos encuentros buscan promover el autocuidado y la dignificación de la persona mayor. En los encuentros se abordan temáticas como: promoción de derechos humanos y activación de rutas de atención; habilidades para la vida; fortalecimiento de habilidades físicas, cognitivas, comunicativas y sociales; transformación de imaginarios adversos sobre la vejez; salud mental; hábitos de autocuidado; promoción del buen trato y prevención de violencias. Así las cosas, de los 455 participantes atendidos en la modalidad de Cuidado Transitorio durante el mes de noviembre, 409 participaron en estos encuentros; registrándose una participación del 90% de las personas mayores atendidas en los encuentros señalados.
Con relación a la disminución porcentual de las personas que participan en las actividades, en comparación con el mes anterior, cabe recordar que la participación en cada uno de los encuentros es voluntaria, respetando siempre la autonomía y toma de decisiones de las personas mayores participantes. Sin embargo, se continuará realizando sensibilización con las personas mayores para que participen en las diferentes actividades ofertadas en los Centros de Cuidado Transitorio. </t>
  </si>
  <si>
    <t xml:space="preserve">Para el periodo reportado (octubre) la Modalidad  de Cuidado Transitorio día  comprende la atención transitoria en medio institucional, brindada a las personas mayores de 60 años o más que se encuentran en riesgo o situación de habitabilidad en calle en la ciudad Bogotá a través de una atención básica con servicios de alojamiento, alimentación y aseo personal, desarrollando acciones que promueven el autocuidado, la dignificación y el ejercicio de derechos, favoreciendo la autonomía y el envejecimiento activo de las personas mayores a través del cuidado y atención integral. 
Para la medición del indicador, se tomó como referencia el seguimiento a la participación de las personas mayores en los encuentros y actividades del Plan de Atención Institucional PAI. En estos se  busca promover el autocuidado y la dignificación de la persona mayor. En los encuentros se abordan temáticas como: promoción de derechos humanos y  activación de rutas de atención; habilidades para la vida; fortalecimiento de habilidades físicas, cognitivas, comunicativas y sociales; transformación de imaginarios adversos sobre la vejez; salud mental; hábitos de autocuidado; promoción del buen trato y prevención de violencias. Así las cosas,  de los 427 participantes atendidos en la modalidad durante el  mes de octubre, 398  participaron en estos encuentros; registrándose una participación del 93% de las personas  mayores atendidas en los encuentros señalados.
Este incremento en la participación, con relación al mes anterior, se debe al fortalecimiento de la sensibilización  con las personas mayores para que participen en las diferentes actividades. Además de la generación de actividades con mayor interés de las personas mayores que motivaran su participación. </t>
  </si>
  <si>
    <r>
      <t xml:space="preserve">Para el periodo reportado (Agosto) la modalidad de Cuidado Transitorio día noche está dirigida a personas mayores en riesgo o situación de habitabilidad en calle, en esta se desarrollan de manera permanente actividades de autocuidado y dignificación desde que la persona mayor ingresa hasta que sale de la unidad operativa, en donde reciben beneficios de aseo personal, alimentación saludable, descanso, acompañamiento interdisciplinario y actividades que promueven de manera directa el autocuidado y dignificación de las personas mayores participantes; para efectos de la medición del presente indicador, se tiene en cuenta la participación de los participantes en estas últimas actividades, en donde se trabaja la transformación de imaginarios adversos a la vejez, fortalecimiento de habilidades cognitivas, físicas, comunicativas y sociales, promoción del buen trato y prevención de violencias, hábitos de autocuidado, salud mental, entre otras. 
</t>
    </r>
    <r>
      <rPr>
        <sz val="9"/>
        <color rgb="FFFF0000"/>
        <rFont val="Arial"/>
        <family val="2"/>
      </rPr>
      <t xml:space="preserve">
</t>
    </r>
    <r>
      <rPr>
        <sz val="9"/>
        <rFont val="Arial"/>
        <family val="2"/>
      </rPr>
      <t>La participación en las actividades anteriormente descritas es voluntaria, respetando siempre la autonomía y toma de decisiones de las personas mayores participantes, encontrando que de los 423 participantes atendidos en la modalidad, 353 participaron en dichas actividades. 
Es importante recalcar que la no participación de las personas mayores en las actividades de autocuidado y dignificación, se debe a que siempre se respeta la autonomía y decisión de las personas mayores y quien decide no participar en dichas actividades y solo tomar la atención básica de la modalidad, no es obligado a hacerlo.</t>
    </r>
  </si>
  <si>
    <t xml:space="preserve">Para el periodo reportado (mes de abril)  respecto al cumplimiento de la meta, se cumplió la misma dado que se llevaron a cabo  encuentros orientados al cuidado y dignificación de las personas mayores. En dichos encuentros participaron 459 personas, las cuales continuaron fortaleciendo sus procesos de autonomía, independencia y reinducción. De igual forma, por medio de estos encuentros las personas mayores continúan adquiriendo herramientas para fortalecer sus dimensiones personales, se fortalece su salud mental y física. Por medio de los encuentros de autocuidado se fortalecen las habilidades fíco-motoras, se fortalece la convivencia en el Centro de Cuidado Transitorio y se promueven prácticas que fortalece la autoimagen de la persona mayor. </t>
  </si>
  <si>
    <r>
      <t xml:space="preserve">08/04/2022:
Ajustar la redacción y las cifras, recuerden que se reporta el avance trimestral, no solo de marzo. Adicionalmente en las evidencias, están adjuntando solo lo del mes de marzo, faltan las evidencias del mes de enero y febrero (el reporte cuantitativo es trimestral). tener en cuenta la redacción utilizada en los reportes anteriores para ajustar la de este reporte.
19/04/2022: 
En la redacción no se evidencias las cifras reportadas hablan de encuentros y el indicador mide número de personas atendidas, por lo tanto no es claro lo que se reporta ni si lo que están reportando corresponde a la gestión realizada durante el trimestre (ajustar), recuerden que en el ejecutado y programado, para este caso deben indicar la sumatoria de  enero a marzo, </t>
    </r>
    <r>
      <rPr>
        <u/>
        <sz val="9"/>
        <rFont val="Arial"/>
        <family val="2"/>
      </rPr>
      <t>no solo marzo</t>
    </r>
    <r>
      <rPr>
        <sz val="9"/>
        <rFont val="Arial"/>
        <family val="2"/>
      </rPr>
      <t xml:space="preserve">. Hay que complementar la redacción indicando, el porqué se sobre pasó la meta y que se está haciendo para mejorar esto. En cuanto a las evidencias, acá se tiene registrado que las evidencias son listados de asistencia, y están adjuntando un reporte sirbe, ajustar.
20/04/2022:
No se generan observaciones respecto al análisis y evidencias reportados para el seguimiento del indicador.  </t>
    </r>
  </si>
  <si>
    <t xml:space="preserve">Para el periodo reportado (mes de enero), se realizaron 94 encuentros en la modalidad de Cuidado Transitorio orientados al autocuidado y dignificación de las personas mayores, donde se identificó que se contribuyó al fortalecimiento y establecimiento de hábitos salubres, así como el aporte a la calidad de vida mediante la dignificación humana y descanso integral. Estos encuentros permitieron fortalecer los proceso de autonomía, e independencia de las personas mayores. Así mismo, a partir de dichos encuentros se logró un impacto positivo en las personas mayores en la medida que atreves de ellos se promueven las buenas prácticas asociadas a la salud física y emocional, el cuidado y autocuidado, así como el autorreconocimiento y la autoimagen. También a través de estos encuentros se potencializaron las capacidades y habilidades personales, las habilidades motoras y mentales. </t>
  </si>
  <si>
    <t>Para la vigencia 2022, se presentó una sobre ejecución de la meta, debido a la operación del servicio en referencia acorde al lineamiento técnico del servicio Social Centro Día, donde se amplío la oferta de participación en las jornadas diarias, pasando de 2 jornadas en el 2021 a 3 jornadas en 2022.
Adicionalmente, para el año 2022 se dio inicio la operación a la estrategia Centro Día al Barrio, la cual, para el primer semestre del 2022 habilito 12,600 cupos en el distrito, permitiendo que personas mayores que no tenían posibilidad de acceso a las unidades operativas lograran participar en las actividades del servicio de forma extramural en diferentes equipamientos distritales.</t>
  </si>
  <si>
    <t xml:space="preserve">16/01/2023 Se recomienda verificar el análisis, ya que como el indicador es trimestral, este de  contener la información consolidada del último trimestre. Así mismo, se recomienda indicar el motivo por el cuál se atiende mas población dela programada, lo que arroja un 17% de sobrecumplimiento. Adicionalmente, registrar el análisis anual del indicador de acuerdo a lo socializado en comité de gestores.
18/01/2023 No se generan observaciones respecto al análisis reportado para el seguimiento del indicador. </t>
  </si>
  <si>
    <t xml:space="preserve">A corte 31 de diciembre de 2022, se presentan en Atención 35.661 personas mayores como beneficiarios del servicio social Centro Día, modalidad Casa de la Sabiduría y estrategia Centro Día al Barrio (personas mayores con 75% de participación).
Para este trimestre, se presenta un crecimiento de 571 personas mayores atendidas respecto al reporte anterior, toda vez que las unidades operativas realizaron actividades de identificación de nuevos participantes como respuesta al ejercicio de egreso (por cumplimiento de proceso/ retiro voluntario / inasistencia) que se adelantan periódicamente en cada unidad operativa.
Así mismo, para fortalecer el ejercicio de atención desde la oferta del Servicio Social Centro Día, se avanzó en la inducción y alistamiento de la operación tercerizada con siete (07) asociados que implementaran la estrategia de Centro Día al Barrio y la modalidad Casa de la Sabiduría, desde los lotes adjudicados.
</t>
  </si>
  <si>
    <r>
      <t>Al 30 de noviembre 2022, se han beneficiado 35.412 personas mayores a través del Servicio Social Centro Día, a través de 25 unidades operativas de la modalidad Casa de la Sabiduría.
Se suscribieron 15 convenios de asociación para la operación tercerizada de 15 lotes con capacidad de atención de 8.640 cupos, de los cuales 900 operarán mediante casas de sabiduría y 7.740 a través de la estrategia Centro Día al Barrio.
Se realizó el encuentro intergeneracional previsto para la prevención del consumo de alcohol y tabaco, que reunió a 220 personas mayores y sus redes de apoyo de las Casas de la Sabiduría de Sierra Morena y Luz de Esperanza, en cumplimiento de lo establecido en la política pública de SPA.
Se conmemoró el día internacional de la eliminación de la no violencia contra la mujer durante la semana del buen trato, la cual contó con la participación de 2.808 personas mayores pertenecientes a las casas de la sabiduría de las localidades de Fontibón, Santa Fe, Ciudad Bolívar, Tunjuelito, Usme, Bosa, Chapinero, Suba, Kennedy, Engativá y San Cristóbal. 
Se realizaron 16 encuentros intergeneracionales en donde se abordaron temas en el marco de la semana del buen trato y el día internacional de la no violencia contra la mujer los cuales contaron con la participación de 1.022 persona</t>
    </r>
    <r>
      <rPr>
        <sz val="9"/>
        <color theme="4"/>
        <rFont val="Arial"/>
        <family val="2"/>
      </rPr>
      <t>s</t>
    </r>
    <r>
      <rPr>
        <sz val="9"/>
        <rFont val="Arial"/>
        <family val="2"/>
      </rPr>
      <t xml:space="preserve"> mayores y 408 integrantes de sus redes de apoyo.</t>
    </r>
  </si>
  <si>
    <t xml:space="preserve">A corte del mes de  octubre 2022, se han beneficiado 35.412 personas mayores a través del Servicio Social Centro Día y 20.708 personas mayores en atención desde la modalidad Casa de la Sabiduría.
• Se lograron adjudicar 13 convenios de asociación para dar continuidad a la implementación de la estrategia Centro Día al Barrio y 2 tercerizados para la modalidad Casa de la Sabiduría los cuales están en proceso perfeccionamiento. 
• Se graduaron 47 mujeres mayores del proceso “ella hace historia” como parte del fortalecimiento en el manejo de las TIC en articulación con la fundación COLNODOS y la Alta Consejería para las TIC.
• Hubo avances en la prevención del consumo de alcohol y tabaco a través de un encuentro intergeneracional que reunió a las personas mayores y sus redes de apoyo de las Casas de la Sabiduría de Ciudad Bolívar. 
•Se conmemoró el día mundial de la salud mental el cual conto con la participación de 1541 personas mayores pertenecientes a las Casas de la Sabiduría de Carlos Gaviria, Bella Flor, Luz de Esperanza, Rincón Intercultural, Tejedores de Sueños, Macondo, La Fraternidad, Andares, El Bosque, Acacias, Tierra de Saberes, Sumak Kawsay, Años Dorados, Celebra la Vida, Sierra Morena, Porvenir, Alegría de Vivir, Monseñor, Mi Refugio, Caminos de Vida y Amaru. 
Para este mes se implementaron 22 encuentros intergeneracionales en donde se abordaron temas como cartografía de las emociones, parranda de disfraces, olimpiadas locales, yoga, prevención de consumo de sustancias psicoactivas, en las Casas de la Sabiduría de las localidades de Engativá, Puente Aranda, Usaquén, Ciudad Bolívar, Bosa, Usme, Mártires, Kennedy y Tunjuelito. </t>
  </si>
  <si>
    <t>Para el segundo trimestre de 2022,  respecto al cumplimiento de la meta, se ha logrado llegar a 27.482 personas únicas atendidas, en 25 unidades operativas en las 20 localidades de la ciudad; mediante más de 5.000 encuentros generacionales diurnos y 30 Encuentros intergeneracionales.
Se avanza en la transformación del servicio y se inicia la implementación del lineamiento que enmarca la operación en 3 componentes: Ocupación Humana, Participación y Redes, y estilos de vida saludable, con sus 11 líneas de atención. Se adoptan los Estándares de calidad del Servicio Social Centro Día, se actualizan y formalizan los documentos en el SG, aportando a la adecuada prestación del servicio que fomenta el desarrollo integral de las personas mayores de 60 años, a partir del reconocimiento y potenciación de sus capacidades, la integración a la vida familiar, social, comunitaria, cultural, económica y política de la ciudad, mediante un conjunto de estrategias, acciones y recursos teniendo en cuenta los enfoques de: derechos, territorial, poblacional, género, desarrollo humano, diferencial, participación y cultura ciudadana, que permitan aportar al mejoramiento de su calidad de vida y ampliar sus oportunidades para vivir como se quiere en la vejez.
Mediante la estrategia Centro Día al Barrio, se logra una ampliación de cobertura adicional de 11,471 personas mayores en 18 localidades de la ciudad,  garantizando derechos, fomentando el desarrollo integral y el reconocimiento de capacidades de las personas mayores.
Adicional a lo anterior, se logró la reubicación de la unidad operativa Monseñor Oscar A. Romero de la localidad Rafael Uribe Uribe con capacidad de atención de 720 personas mayores y entraron en operación las unidades operativas de la modalidad Casa de la Sabiduría: Rincón intercultural de Bosa con (1.440), Sumak Kawsay con (1.080) y Bella Flor con (720) con capacidad de atención a personas mayores, respectivamente; lo cual impacta positivamente la capacidad de atención en la ciudad, aportando al cumplimiento de los objetivos del plan de desarrollo y el cumplimiento de la PPSEV 2010 - 2025.
Además, se logra avanzar en la articulación con 17 cooperantes estratégicos (públicos y privados) para el fortalecimiento de los procesos en el Servicio Social, en beneficio de las personas mayores, dentro de los que se incluyen Secretarías:
Distrital de Salud y Subredes integradas de servicios, de Ambiente, Movilidad - Tarjeta tu llave. También la Alcaldía Mayor de Bogotá - Oficina TIC, IDARTES, Museo Nacional, Museo de Arte Moderno, Museo Interactivo Maloka, Fundación Colnodos, Fundación Gilberto Álzate Avendaño, NC - Arte, Cinemateca Distrital y Tigo.</t>
  </si>
  <si>
    <t xml:space="preserve">Para el periodo reportado (mes de mayo) respecto al cumplimiento de la meta han participado 26.837 personas mayores, dando cumplimiento a la implementación de la línea de atención a través de los 3 componentes definidos en el lineamiento general del Servicio Social  Centro Día, que son: Ocupación Humana, Participación y Redes, y estilos de vida saludable;  con sus 11 líneas de atención, mediante más de 1.200 encuentros generacionales diurnos y 5 Encuentros intergeneracionales con la participación de 729 personas en las Localidades de Ciudad Bolívar, Rafael Uribe Uribe, Usaquén, Teusaquillo y Fontibón, en cumplimiento  de lo establecido en la canasta mínima de servicios, de la ley 1276 de 2009. 
Actualmente se encuentran en estado "en atención" un total de 21.341 personas mayores en el servicio social en las 25 Unidades Operativas de la Modalidad Casa de la Sabiduría y 11.961 personas mayores en estado "en atención" en la Estrategia Centro Dia al Barrio en 18 localidades de la ciudad, garantizando derechos y oportunidades para vivir como se quiere en la vejez.
Se amplió la cobertura de la Casa de la Sabiduría Rincón intercultural de Bosa, pasando de 1260 a 1440 personas mayores.
Por último, se logra avanzar en la articulación con 17 cooperantes estratégicos (públicos y privados) para el fortalecimiento de los procesos en el Servicio Social, en beneficio de las personas mayores, dentro de los que se incluyen: 
Secretarías: 
Distrital de Salud y Subredes integradas de servicios.
De Ambiente.
Movilidad - Tarjeta tu llave . 
Alcaldía Mayor de Bogotá - Oficina TIC, IDARTES, Museo Nacional, Museo de Arte Moderno, Museo Interactivo Maloka, Fundación Colnodos, Fundación Gilberto Alzate Avendaño, NC - Arte, Cinemateca Distrital y Tigo. </t>
  </si>
  <si>
    <r>
      <t xml:space="preserve">08/04/2022:
Ajustar la redacción y las cifras, recuerden que se reporta el avance trimestral, no solo de marzo. Adicionalmente en las evidencias, están adjuntando solo lo del mes de marzo, faltan las evidencias del mes de enero y febrero (el reporte cuantitativo es trimestral). tener en cuenta la redacción utilizada en los reportes anteriores para ajustar la de este reporte.  
19/04/2022: 
Recuerden que en el ejecutado y programado, para este caso deben indicar la sumatoria de  enero a marzo, </t>
    </r>
    <r>
      <rPr>
        <u/>
        <sz val="9"/>
        <rFont val="Arial"/>
        <family val="2"/>
      </rPr>
      <t>no solo marzo, lo mismo en la redacción del análisis</t>
    </r>
    <r>
      <rPr>
        <sz val="9"/>
        <rFont val="Arial"/>
        <family val="2"/>
      </rPr>
      <t xml:space="preserve">. Hay que complementar la redacción indicando, el porqué se sobre pasó la meta y que se está haciendo para mejorar esto. En cuanto a las evidencias, no se identifica en que archivo esta el total programado por mes y deben revisar porque solo están adjuntando un archivo y de acuerdo a las evidencias que plantean son dos archivos los que deben adjuntar.
20/04/2022:
No se generan observaciones respecto al análisis y evidencias reportados para el seguimiento del indicador.  </t>
    </r>
  </si>
  <si>
    <t>El servicio de apoyos económicos para la vigencia 2022, entregó 86.842 apoyos económicos del total de 89,843 cupos programados con un cumplimiento del 99%, los cuales aportan a cubrir alguna de las necesidades básicas, el servicio presento una ejecución presupuestal $95.148.180.213, para la entrega del apoyo económico de $130.000 mensuales, es de aclarar que la Entidad realizó la gestión para el giro de los apoyos económicos a las personas mayores mensualmente. Atendiendo los diferentes puntos de control establecidos en la subdirección para la vejez no se realizo el giro de el 100% de los apoyos económicos, sin embargo se avanzo en la depuración de los casos que presentan bloqueo o alguna novedad.</t>
  </si>
  <si>
    <t xml:space="preserve">16/01/2023 Revisar el periodo del que se esta reportando la gestión, es diciembre y no octubre. Así mismo, registrar el análisis anual del indicador de acuerdo a lo socializado en comité de gestores. 
19/01/2023 No se generan observaciones respecto al análisis reportado para el seguimiento del indicador. </t>
  </si>
  <si>
    <t>Para este periodo se logra un cumplimiento del indicador del 97%, teniendo en cuenta que en el mes diciembre se realizó el giro de los apoyos económicos a 37,653 a personas mayores de los apoyos tipo A, B, B, desplazados y 49.189 personas mayores del apoyo económico cofinanciado D, lo cual permitió que 86.842 personas mayores contarán con un apoyo económico de $130.0000 para cubrir algunas de sus necesidades básicas.
El no cumplimiento del indicador obedece a los puntos de control que tiene el servicio como el bloqueo preventivo de las tarjetas y las suspensiones del apoyo económico cofinanciado, así como los cupos vacíos que se tenían al cierre del mes de diciembre, lo que impacta el resultado final. 
Para el cumplimiento del indicador, las Subdirecciones locales y la Subdirección para la Vejez vienen avanzando en la depuración de los casos bloqueados para definir la situación de cada uno de las personas mayores bloqueadas si continúan en el servicio o este cupo es liberado para permitir el ingreso de personas mayores que se encuentran en lista de espera del servicio de apoyos económicos para personas mayores. Así mismo se han realizado mesas de trabajo con el DPS y se ha oficiado la situación, con el objetivo de definir las acciones y proceso adelantar para cubrir estos cupos vacíos.</t>
  </si>
  <si>
    <t xml:space="preserve">13/12/2022:
Revisar las cifras reportadas, no coinciden con las evidencias adjuntas.
14/12/2022:
No se generan observaciones respecto al análisis y evidencias reportados para el seguimiento del indicador. </t>
  </si>
  <si>
    <r>
      <t>Para este periodo el indicador logra un cumplimiento del 97%, teniendo en cuenta que en el mes noviembre se realizó el giro de los apoyos económicos a 37.622</t>
    </r>
    <r>
      <rPr>
        <sz val="9"/>
        <color rgb="FFFF0000"/>
        <rFont val="Arial"/>
        <family val="2"/>
      </rPr>
      <t xml:space="preserve"> </t>
    </r>
    <r>
      <rPr>
        <sz val="9"/>
        <rFont val="Arial"/>
        <family val="2"/>
      </rPr>
      <t>a personas mayores de los apoyos tipo A, B, B, desplazados y 49.433 personas mayores del apoyo económico cofinanciado D, lo cual permitió que 87.055 personas mayores contarán con un apoyo económico de $130.0000 para cubrir algunas de sus necesidades básicas.
El no cumplimiento del indicador obedece a los puntos de control que tiene el servicio como el bloqueo preventivo de las tarjetas y las suspensión del apoyo económico cofinanciado, así como los cupos vacíos que se tenían al cierre del mes de</t>
    </r>
    <r>
      <rPr>
        <sz val="9"/>
        <color rgb="FFFF0000"/>
        <rFont val="Arial"/>
        <family val="2"/>
      </rPr>
      <t xml:space="preserve"> </t>
    </r>
    <r>
      <rPr>
        <sz val="9"/>
        <rFont val="Arial"/>
        <family val="2"/>
      </rPr>
      <t>noviembre, lo que impacta el resultado final. 
Para lograr un mayor cumplimiento de la meta del indicador, las Subdirecciones locales y la Subdirección para la Vejez vienen avanzando en la depuración de los casos bloqueados para definir la situación de cada uno de las personas mayores bloqueadas, si contin</t>
    </r>
    <r>
      <rPr>
        <sz val="9"/>
        <color theme="4"/>
        <rFont val="Arial"/>
        <family val="2"/>
      </rPr>
      <t>ú</t>
    </r>
    <r>
      <rPr>
        <sz val="9"/>
        <rFont val="Arial"/>
        <family val="2"/>
      </rPr>
      <t>an en el servicio o este cupo es liberado para permitir el ingreso de personas mayores que se encuentran en lista de espera del servicio de apoyos económicos para personas mayores. Así mismo se han realizado mesas de trabajo con el DPS y se ha oficiado la situación, con el objetivo de definir las acciones y proceso adelantar para cubrir estos cupos vac</t>
    </r>
    <r>
      <rPr>
        <sz val="9"/>
        <color theme="4"/>
        <rFont val="Arial"/>
        <family val="2"/>
      </rPr>
      <t>í</t>
    </r>
    <r>
      <rPr>
        <sz val="9"/>
        <rFont val="Arial"/>
        <family val="2"/>
      </rPr>
      <t>os.</t>
    </r>
    <r>
      <rPr>
        <sz val="9"/>
        <color rgb="FF0070C0"/>
        <rFont val="Arial"/>
        <family val="2"/>
      </rPr>
      <t xml:space="preserve">
</t>
    </r>
  </si>
  <si>
    <t xml:space="preserve">10/11/2022:
No se generan observaciones respecto al análisis y evidencias reportados para el seguimiento del indicador. </t>
  </si>
  <si>
    <t>Para este periodo el indicador logra un cumplimiento del 97%, teniendo en cuenta que en el mes octubre se realizó el giro de los apoyos económicos a 37.658 a personas mayores de los apoyos tipo A, B, B desplazados y 49.675 personas mayores del apoyo económico cofinanciado D, lo cual permitió que 87.333 personas mayores contaran con un apoyo económico de $130.0000 para cubrir algunas de sus necesidades básicas.
La variación de un (1) cupo para este periodo obedece a la transformación de un cupo del apoyo tipo A que se ve reflejado en el apoyo tipo B.
El cumplimiento del indicador obedece a los puntos de control que tiene el servicio como el bloqueo preventivo de las tarjetas y las suspensión del apoyo económico cofinanciado, lo que impacta el resultado final. 
Para lograr el cumplimiento del indicador, las Subdirecciones locales y la Subdirección para la Vejez vienen avanzando en la depuración de los casos bloqueados para definir la situación de cada uno de las personas mayores bloqueadas si continúan en el servicio o este cupo es liberado para permitir el ingreso de personas mayores que se encuentran en lista de espera del servicio de apoyos económicos para personas mayores.</t>
  </si>
  <si>
    <r>
      <t>Para este periodo el indicador logra un cumplimiento del  97%, teniendo en cuenta que en el  mes julio se realizó el giro de los apoyos económicos a 37.352  apoyos económicos a  personas mayores de los apoyos tipo A, B, B, desplazados y 49.919 personas mayores del apoyo económico cofinanciado D, lo cual permitió que 87.271 personas mayores contarán con un apoyo económico de $130.0000 para cubrir alguna de sus necesidades básicas.
El  no cumplimiento del indicador en este periodo</t>
    </r>
    <r>
      <rPr>
        <sz val="9"/>
        <color theme="4"/>
        <rFont val="Arial"/>
        <family val="2"/>
      </rPr>
      <t xml:space="preserve"> </t>
    </r>
    <r>
      <rPr>
        <sz val="9"/>
        <rFont val="Arial"/>
        <family val="2"/>
      </rPr>
      <t>obedece a los puntos de control que tiene el servicio como el bloqueo preventivo de las tarjetas y las suspensión del apoyo económico Cofinanciado, lo que impacta el resultado final. 
Para el cumplimiento del indicador, las Subdirecciones locales y la Subdirección para la Vejez vienen avanzando en la depuración de los casos bloqueados para definir la situación de cada uno de las personas mayores bloqueadas y definir</t>
    </r>
    <r>
      <rPr>
        <sz val="9"/>
        <color theme="4"/>
        <rFont val="Arial"/>
        <family val="2"/>
      </rPr>
      <t xml:space="preserve"> </t>
    </r>
    <r>
      <rPr>
        <sz val="9"/>
        <rFont val="Arial"/>
        <family val="2"/>
      </rPr>
      <t>si continúan en el servicio o este cupo es liberado para permitir el ingreso de personas mayores que se encuentran en lista de espera del servicio de apoyos económicos para personas mayores.</t>
    </r>
  </si>
  <si>
    <r>
      <t xml:space="preserve">08/04/2022:
Ajustar la redacción y las cifras, recuerden que se reporta el avance trimestral, no solo de marzo. Adicionalmente en las evidencias, están adjuntando solo lo del mes de marzo, faltan las evidencias del mes de enero y febrero (el reporte cuantitativo es trimestral). tener en cuenta la redacción utilizada en los reportes anteriores para ajustar la de este reporte.
19/04/2022: 
Recuerden que en el ejecutado y programado, para este caso deben indicar la sumatoria de  enero a marzo, </t>
    </r>
    <r>
      <rPr>
        <u/>
        <sz val="9"/>
        <rFont val="Arial"/>
        <family val="2"/>
      </rPr>
      <t>no solo marzo</t>
    </r>
    <r>
      <rPr>
        <sz val="9"/>
        <rFont val="Arial"/>
        <family val="2"/>
      </rPr>
      <t xml:space="preserve">. Hay que complementar la redacción indicando, el porqué se sobre pasó la meta y que se está haciendo para mejorar esto. En cuanto a las evidencias, no se identifica en que archivo esta el total programado por mes y de donde salen los 87.050.
20/04/2022:
No se generan observaciones respecto al análisis y evidencias reportados para el seguimiento del indicador.  </t>
    </r>
  </si>
  <si>
    <t>* Sistema de Información y Registro de Beneficiarios (SIRBE) (A, B y B Desplazados).
* Informes de Nómina al Corte (Cofinanciado), proveniente del Administrador Fiduciario del Programa Colombia Mayor.                          
*Base en Excel de los abonos autorizados en el mes</t>
  </si>
  <si>
    <t>Durante la vigencia 2022 el servicio de apoyos económicos atendió a 95.654 personas mayores de total de personas programadas para la vigencia,  entregando un apoyo económico de $130,000 mensuales los cuales aportan a cubrir alguna de las necedades básicas. La meta presento una ejecución del 99%, debido a que se presentaron 1,069 cupos vacíos del Apoyo Económico Cofinanciado D - Programa Colombia Mayor, teniendo en cuenta que el Departamento de Prosperidad Social no ha realizado los ingresos al servicio, situación que genero cerrar la vigencia con 1,069 cupos vacíos, afectando el cumplimiento del indicador, igualmente la no liberación de cupos para tener una mayor rotación, lo cual afecta el indicador.</t>
  </si>
  <si>
    <t xml:space="preserve">16/01/2023 Se recomienda complementar el segundo párrafo, ya que no es claro si se atendieron a las 235 personas, ya que no se evidencian en el numerador y no se identifica la respectiva justificación. Así mismo, se recomienda verificar cifras, ya que de acuerdo a lo reportado, los datos no concuerdan. Adicionalmente, registrar el análisis anual del indicador de acuerdo a lo socializado en comité de gestores.
19/01/2023 No se generan observaciones respecto al análisis reportado para el seguimiento del indicador. </t>
  </si>
  <si>
    <t>Para este periodo de (octubre, noviembre y diciembre) se logró un cumplimiento del indicador del 100%, de acuerdo con lo programado para lo corrido de la vigencia 2022. Lo anterior teniendo en cuenta que, en el mes de diciembre de 2022, se atendieron a 95,654 personas mayores, teniendo en cuenta la rotación de cupos que se da por egresos del servicio.
Igualmente, en el mes de noviembre ingresan al servicio 235 personas mayores teniendo en cuenta la validación y verificación del cumplimiento de criterios de ingreso de las personas que se encontraban en lista de espera.</t>
  </si>
  <si>
    <t>Para este periodo no se cuenta con la información de personas mayores atendidas teniendo en cuenta la armonización y parametrización del sistema de Información - SIRBE.
Sin embargo a continuación relacionamos el total de personas mayores que ingresaron al servicio en el mes de noviembre (266  Personas mayores), teniendo en cuenta la validación y verificación del cumplimiento de criterios de ingreso de las personas que se encontraban en lista de espera, para así garantizar que cuente con un ingreso económico que aporta a sus necesidades básicas.
Para el cierre de este mes de noviembre se presentaron cupos vacíos teniendo en cuenta el egreso de personas mayores en apoyos económicos e ingreso al servicio de comunidad de cuidado y 833 cupos vacíos del Apoyo Económico Cofinanciado teniendo en cuenta que el Departamento de prosperidad social no ingresó al servicio, situación que genero cerrar el mes con 837 cupos vacíos, afectando el cumplimiento del indicador, igualmente la no liberación de cupos para tener una mayor rotación afecta el indicador.</t>
  </si>
  <si>
    <t xml:space="preserve">
Para este periodo el indicador logró un cumplimiento del 89%, de acuerdo con lo programado para lo corrido de la vigencia 2022. Lo anterior teniendo en cuenta que, en el mes de octubre de 2022, se atendieron a 90.032 personas mayores, esto en el marco de la rotación de cupos que se da por egresos del servicio. 
Para dar cumplimiento con el indicador este mes ingresaron 305 personas mayores al servicio de apoyos económicos, teniendo en cuenta la validación y verificación del cumplimiento de criterios de ingreso de las personas que se encontraban en lista de espera, para así garantizar que cuente con un ingreso económico que aporta a sus necesidades básicas.
Para el cierre del mes de octubre se presentaron cupos vacíos teniendo en cuenta el egreso de personas mayores en apoyos económicos e ingreso al servicio de comunidad de cuidado y 376 cupos vacíos del Apoyo Económico Cofinanciado teniendo en cuenta que el Departamento de prosperidad social no ingresó al servicio, situación que generó cerrar el mes con 398 cupos vacíos, afectando el cumplimiento del indicador, igualmente la no liberación de cupos influye en tener una mayor rotación afecta el indicador.</t>
  </si>
  <si>
    <r>
      <t xml:space="preserve">
Para este periodo el indicador logró un cumplimiento del 89% de acuerdo con lo programado para lo corrido de la vigencia 2022. Lo anterior teniendo en cuenta que en el mes de julio de 2022, se atendieron a 90.366 personas mayores,  debido a</t>
    </r>
    <r>
      <rPr>
        <sz val="9"/>
        <color theme="4"/>
        <rFont val="Arial"/>
        <family val="2"/>
      </rPr>
      <t xml:space="preserve"> </t>
    </r>
    <r>
      <rPr>
        <sz val="9"/>
        <rFont val="Arial"/>
        <family val="2"/>
      </rPr>
      <t>la rotación de cupos que se da por egresos del servicio. 
Para dar cumplimiento con el indicador en este mes ingresaron 563 personas al servicio  teniendo en cuenta la validación y verificación del cumplimiento de criterios de ingreso de las personas que se encontraban en lista de espera, para así garantizar que cuente con un ingreso económico que aporta a sus necesidades básicas.
Para el cierre de este mes de julio se presentaron cupos vacíos teniendo en cuenta el egreso de personas mayores en apoyos económicos e ingreso al servicio de comunidad de cuidado, situación que generó cerrar con 24 cupos vacíos, afectando el cumplimiento del indicador, igualmente la no liberación de cupos para tener una mayor rotación afecta el indicador.</t>
    </r>
  </si>
  <si>
    <r>
      <t xml:space="preserve">08/04/2022:
Ajustar la redacción y las cifras, en el resultado numérico indican que el cumplimiento es del 100% y en la descripción indican que fue del 89%, además recuerden que el reporte es del trimestre, sería bueno que discriminaran por mes la cantidad realizadas, completar y ajustar. Adicionalmente en las evidencias, están adjuntando solo lo del mes de marzo, faltan las evidencias del mes de enero y febrero (el reporte cuantitativo es trimestral), tener en cuenta la redacción utilizada en los reportes anteriores para ajustar la de este reporte.
19/04/2022: 
Las cifras no coinciden, en el texto indican que lograron un cumplimiento del 89% y en el resultado numérico indican que del 92%, recuerden que en el ejecutado y programado, para este caso deben indicar la sumatoria de  enero a marzo, </t>
    </r>
    <r>
      <rPr>
        <u/>
        <sz val="9"/>
        <rFont val="Arial"/>
        <family val="2"/>
      </rPr>
      <t>no solo marzo y en la redacción del análisis también se debe hacer a nivel trimestral</t>
    </r>
    <r>
      <rPr>
        <sz val="9"/>
        <rFont val="Arial"/>
        <family val="2"/>
      </rPr>
      <t xml:space="preserve">. Hay que complementar la redacción indicando, el porqué no se logró el 95% establecido como meta (esto si al hacer el consolidado igual no alcanzan la meta) y que acciones se establecieron para poder mejorar. En cuanto a las evidencias, no se identifica en que archivo esta el total programado por mes.
20/04/2022:
No se generan observaciones respecto al análisis y evidencias reportados para el seguimiento del indicador.  </t>
    </r>
  </si>
  <si>
    <t>Durante la vigencia 2022, se programó la entrega de 8 soportes que dieron cuenta de las tareas ejecutadas durante toda la vigencia, para dar cumplimiento al plan de acción del proyecto de inversión 7768, el cual fue aprobado en el mes de enero del 2022.
El indicador conto con una actualización durante la vigencia que fue radicada por medio de memorando RAD: I2022031125 del 15 de septiembre del 2022.
Al cierre de la vigencia se reporta el cumplimiento del 100% del indicador de gestión por medio de las tareas realizadas, sobre las tareas programadas del plan de acción los cuales dan cuenta de su ejecución.
Los soportes programados y entregados dan cumplimiento a todas las tareas programadas para las metas proyecto No. 1, 2, 3 y 4, y realizadas durante toda la vigencia, los cuales hacen referencia a la fase de la implementación de la estrategia de acompañamiento a hogares pobres con mayor pobreza evidente y oculta en Bogotá, y el acompañamiento familiar propuesto por el servicio Tropa Social a tu Hogar, para el proyecto de inversión 7768.
La verificación del indicador de gestión, puede ser constatado por medio del Plan de Acción del proyecto, en lo concerniente a la programación de Tareas y Soportes, el cual da cuenta del número de soportes programados y entregados durante la vigencia 2022.</t>
  </si>
  <si>
    <t>13/01/2023. Se debe verificar la cantidad de tareas reportadas, pues se refieren dos cifras (8 tareas y 7 soportes), y se describen 7 tareas, mientras que la evidencia registra 8 tareas. En este sentido, también se debe confirmar el total del trimestre (14 o 15 tareas).
Adicionalmente, se debe presentar el "análisis anual" del indicador (columna CC), en el cual se debe describir brevemente el desempeño del indicador durante el año, presentando conclusiones sobre el resultado obtenido, los factores de éxito, dificultades y aspectos que justifiquen el resultado.
19/01/2023. No se generan observaciones adicionales respecto al análisis y evidencias presentadas en el seguimiento al indicador de gestión.</t>
  </si>
  <si>
    <t>Durante el periodo de reporte se programaron 7 tareas que permiten la implementación de cada una de las metas del proyecto, la realización de estas tareas se evidencia mediante la entrega de siete (7) soportes, los cuales consolidan las actividades desarrolladas por el proyecto
Actualmente se avanza para la medición del indicador en el desarrollo de las siguientes tareas por cada meta:
META 1.
Tarea 1. Se implemento un (1) plan de recorridos en los territorios priorizados para la identificación de hogares por la Tropa Social, que permita el reconocimiento de las dinámicas que fomentan la segregación socioespacial de las poblaciones a través de los resultados de las caracterizaciones; esta tarea tiene un avance del 70% en el tercer trimestre de la actual vigencia.  
Soporte 1. Matriz de planeación, caracterización y seguimiento de recorridos territoriales de la Tropa Social.
Tarea 2. Se construyo un documento sobre el reconocimiento de las dinámicas de segregación socioespacial, que permita profundizar en la lectura del contexto territorial de los hogares caracterizados por la Tropa Social  
Soporte 2. Documento técnico de reconocimiento de las dinámicas de segregación socioespacial resultado del proceso de caracterización de la Tropa Social
META 2
Tarea 1. Se continuó con las acciones de acompañamiento y enrutamiento a la oferta público social y privada del Distrito, en el marco de la modalidad de acompañamiento a hogares de jefatura femenina pobres y hogares en riesgo de pobreza del servicio Tropa Social a tu Hogar
Soporte 1. Informe de las acciones de acompañamiento y enrutamiento a la oferta público social y privada del Distrito, en el marco de la modalidad de acompañamiento a hogares de jefatura femenina pobres y hogares en riesgo de pobreza del servicio Tropa Social a tu Hogar
META 3
Tarea 1. Se elaboró un (1) tablero de control con el monitoreo de logros, avances y dificultades de los compromisos concertados en los contratos sociales familiares suscritos por los hogares acompañados por el servicio Tropa Social a tu Hogar; esta tarea tiene un avance del 70% en el tercer trimestre de la actual vigencia.  
Soporte 1. Tablero de control y monitoreo de logros, avances y dificultades de los compromisos concertados en los contratos sociales familiares suscritos por los hogares acompañados por el servicio Tropa Social a tu Hogar, donde se reportan los resultados del proceso de gestión de compromisos individuales de las mujeres jefas de hogar atendidas por el servicio, además de la identificación y gestión de las alertas reconocidas en el proceso de concertación de contratos sociales familiares.
Tarea 2: Se elaboró un (1) documento técnico y conceptual, a partir de los resultados del proceso de monitoreo de logros, avances y dificultades de las condiciones que permiten la movilidad social de las mujeres jefas de hogar y sus familias
Soporte1: Documento técnico y conceptual sobre movilidad social 
META 4
Tarea 1: Reactivar los proyectos de vida de 1500 personas identificadas en pobreza oculta y priorizadas para su atención en el servicio Tropa social a tu hogar y su modalidad Redes de soporte social para la reactivación de proyectos de vida de personas adultas y sus familias en pobreza oculta
Soporte 1: Se realizó informe del proceso de alistamiento, acompañamiento y enrutamiento a las redes de soporte para la reactivación de proyectos de vida, de 1500 personas identificadas en pobreza oculta y priorizadas para su atención.
Tarea 2. Se continuó trabajando en la reactivación de los proyectos de vida de 1536 personas identificadas en pobreza oculta y priorizadas para su atención en el servicio Tropa social a tu hogar y su modalidad Redes de soporte social para la reactivación de proyectos de vida de personas adultas y sus familias en pobreza oculta; esta tarea tiene un avance del 75% en el tercer trimestre de la actual vigencia.  
Soporte 1. Informe del proceso de identificación, caracterización, priorización y oferta de servicios del distrito a la población en situación de pobreza oculta.</t>
  </si>
  <si>
    <t>13/12/2022: No se generan  observaciones respecto al análisis reportado para el seguimiento del indicador</t>
  </si>
  <si>
    <t xml:space="preserve">Durante el periodo de reporte se programaron 3 tareas que permitieron la implementación de cada una de las metas del proyecto de inversión. La realización de estas tareas se evidencio mediante la entrega de 4 soportes, los cuales consolidan las actividades desarrolladas por el proyecto de inversión:
Actualmente se avanza para la medición del indicador en el desarrollo de las siguientes tareas por cada meta proyecto:
META 1.
Tarea 1. Se implementó un (1) plan de recorridos en los territorios priorizados para la identificación de hogares por la Tropa Social a Tú Hogar, que permitieron el reconocimiento de las dinámicas que fomentan la segregación socioespacial de las poblaciones a través de los resultados de las caracterizaciones.
Soporte 1. Matriz de planeación, caracterización y seguimiento de recorridos territoriales de la Tropa Social.
META 3
Tarea 1. Se elaboró un (1) tablero de control donde se evidencio el monitoreo de logros, avances y dificultades de los compromisos concertados en los contratos sociales familiares suscritos por los hogares acompañados por el servicio Tropa Social a tu Hogar.
Soporte 1. Tablero de control y monitoreo de logros, avances y dificultades de los compromisos concertados en los contratos sociales familiares suscritos por los hogares acompañados por el servicio Tropa Social a tu Hogar, donde se reportan los resultados del proceso de gestión de compromisos individuales de las mujeres jefas de hogar atendidas por el servicio, además de la identificación y gestión de las alertas reconocidas en el proceso de concertación de contratos sociales familiares.
META 4
Tarea 1: Se avanza en el informe de las acciones de identificación, caracterización y priorización a la población en situación de pobreza oculta.
Soporte 1: Informe del proceso de identificación, caracterización, priorización y oferta de servicios del distrito a la población en situación de pobreza oculta.
</t>
  </si>
  <si>
    <t xml:space="preserve">Durante el periodo de reporte se programaron 4 tareas que permiten la implementación de cada una de las metas del proyecto, la realización de estas tareas se evidencia mediante la entrega de 4 soportes, los cuales consolidan las actividades desarrolladas por el proyecto
Actualmente se avanza para la medición del indicador en el desarrollo de las siguientes tareas por cada meta:
META 1.
Tarea 1. Se implemento un (1) plan de recorridos en los territorios priorizados para la identificación de hogares por la Tropa Social, que permita el reconocimiento de las dinámicas que fomentan la segregación socioespacial de las poblaciones a través de los resultados de las caracterizaciones.
Soporte 1. Matriz de planeación, caracterización y seguimiento de recorridos territoriales de la Tropa Social.
META 2
Tarea 2. Se sigue trabajando en la vinculación al servicio Tropa Social a tu Hogar a 7.644 hogares, para su atención y el fortalecimiento de proyectos de vida de personas identificadas en pobreza, vulnerabilidad y fragilidad social.
Soporte 1.Informe de la vinculación de 7.644 hogares al servicio Tropa Social a tu Hogar, para el fortalecimiento de proyectos de vida de personas identificadas en pobreza, vulnerabilidad y fragilidad social.
META 3
Tarea 1. Se elaboró un (1) tablero de control con el monitoreo de logros, avances y dificultades de los compromisos concertados en los contratos sociales familiares suscritos por los hogares acompañados por el servicio Tropa Social a tu Hogar; esta tarea tiene un avance del 70% en el tercer trimestre de la actual vigencia.  
Soporte 1. Tablero de control y monitoreo de logros, avances y dificultades de los compromisos concertados en los contratos sociales familiares suscritos por los hogares acompañados por el servicio Tropa Social a tu Hogar, donde se reportan los resultados del proceso de gestión de compromisos individuales de las mujeres jefas de hogar atendidas por el servicio, además de la identificación y gestión de las alertas reconocidas en el proceso de concertación de contratos sociales familiares.
META 4
Tarea 2: Reactivar los proyectos de vida de 1500 personas identificadas en pobreza oculta y priorizadas para su atención en el servicio Tropa social a tu hogar y su modalidad Redes de soporte social para la reactivación de proyectos de vida de personas adultas y sus familias en pobreza oculta
Soporte 1: Se realizado informe del proceso de alistamiento, acompañamiento y enrutamiento a las redes de soporte para la reactivación de proyectos de vida, de 1500 personas identificadas en pobreza oculta y priorizadas para su atención.
</t>
  </si>
  <si>
    <t>Durante el periodo de reporte se programaron 8 tareas que permiten la implementación de cada una de las metas del proyecto, la realización de estas tareas se evidencia mediante la entrega de 8 soportes, los cuales consolidan las actividades desarrolladas por el proyecto
Actualmente se avanza para la medición del indicador en el desarrollo de las siguientes tareas por cada meta:
META 1.
Tarea 1. Se implemento un (1) plan de recorridos en los territorios priorizados para la identificación de hogares por la Tropa Social, que permita el reconocimiento de las dinámicas que fomentan la segregación socioespacial de las poblaciones a través de los resultados de las caracterizaciones; esta tarea tiene un avance del 70% en el tercer trimestre de la actual vigencia.  
Soporte 1. Matriz de planeación, caracterización y seguimiento de recorridos territoriales de la Tropa Social.
Tarea 2. Se continua construyendo un (1) documento sobre el reconocimiento de las dinámicas de segregación socioespacial, que permita profundizar en la lectura del contexto territorial de los hogares caracterizados por la Tropa Social; esta tarea tiene un avance del 75% en el tercer trimestre de la actual vigencia.  
Soporte 1. Documento técnico de reconocimiento de las dinámicas de segregación socioespacial resultado del proceso de caracterización de la Tropa Social
META 2
Tarea 1. Se continua con las acciones de acompañamiento y enrutamiento a la oferta público social y privada del Distrito, en el marco de la modalidad de acompañamiento a hogares de jefatura femenina pobres y hogares en riesgo de pobreza del servicio Tropa Social a tu Hogar
Soporte 1. Informe de las acciones de acompañamiento y enrutamiento a la oferta público social y privada del Distrito, en el marco de la modalidad de acompañamiento a hogares de jefatura femenina pobres y hogares en riesgo de pobreza del servicio Tropa Social a tu Hogar
Tarea 2. Se sigue trabajando en la vinculación al servicio Tropa Social a tu Hogar a 7.644 hogares, para su atención y el fortalecimiento de proyectos de vida de personas identificadas en pobreza, vulnerabilidad y fragilidad social.
Soporte 1.Informe de la vinculación de 7.644 hogares al servicio Tropa Social a tu Hogar, para el fortalecimiento de proyectos de vida de personas identificadas en pobreza, vulnerabilidad y fragilidad social
META 3
Tarea 1. Se elaboró un (1) tablero de control con el monitoreo de logros, avances y dificultades de los compromisos concertados en los contratos sociales familiares suscritos por los hogares acompañados por el servicio Tropa Social a tu Hogar; esta tarea tiene un avance del 70% en el tercer trimestre de la actual vigencia.  
Soporte 1. Tablero de control y monitoreo de logros, avances y dificultades de los compromisos concertados en los contratos sociales familiares suscritos por los hogares acompañados por el servicio Tropa Social a tu Hogar, donde se reportan los resultados del proceso de gestión de compromisos individuales de las mujeres jefas de hogar atendidas por el servicio, además de la identificación y gestión de las alertas reconocidas en el proceso de concertación de contratos sociales familiares.
Tarea 2: Se elaborar un (1) documento técnico y conceptual, a partir de los resultados del proceso de monitoreo de logros, avances y dificultades de las condiciones que permiten la movilidad social de las mujeres jefas de hogar y sus familias
Soporte1: Documento técnico y conceptual sobre movilidad social 
META 4
Tarea 1: Reactivar los proyectos de vida de 1500 personas identificadas en pobreza oculta y priorizadas para su atención en el servicio Tropa social a tu hogar y su modalidad Redes de soporte social para la reactivación de proyectos de vida de personas adultas y sus familias en pobreza oculta
Soporte 1: Se realizado informe del proceso de alistamiento, acompañamiento y enrutamiento a las redes de soporte para la reactivación de proyectos de vida, de 1500 personas identificadas en pobreza oculta y priorizadas para su atención.
Tarea 2. Se sigue trabajando en la reactivación de los proyectos de vida de 1536 personas identificadas en pobreza oculta y priorizadas para su atención en el servicio Tropa social a tu hogar y su modalidad Redes de soporte social para la reactivación de proyectos de vida de personas adultas y sus familias en pobreza oculta; esta tarea tiene un avance del 75% en el tercer trimestre de la actual vigencia.  
Soporte 1. Informe del proceso de identificación, caracterización, priorización y oferta de servicios del distrito a la población en situación de pobreza oculta.</t>
  </si>
  <si>
    <t>A la fecha del reporte se encuentran programadas 5 tareas según el plan de acción del proyecto aprobado en el mes de enero del 2022 las cuales registran su avance mediante 5 soportes
Actualmente se avanza para la medición del indicador en el desarrollo de las siguientes tareas por cada meta:
META 1.
Tarea 1. Implementar un (1) plan de recorridos en los territorios priorizados para la identificación de hogares por la Tropa Social, que permita el reconocimiento de las dinámicas que fomentan la segregación socioespacial de las poblaciones a través de los resultados de las caracterizaciones
Soporte 1. Matriz de planeación, caracterización y seguimiento de recorridos territoriales de la Tropa Social 
META 2
Tarea 1. Desarrollar un (1) informe de las acciones de acompañamiento y enrutamiento a la oferta público social del Distrito, en el marco de la modalidad de acompañamiento a hogares de jefatura femenina pobres y hogares en riesgo de pobreza del servicio Tropa Social a tu Hogar.
Soporte 1. Informe de las acciones de acompañamiento y enrutamiento a la oferta público social y privada del Distrito, en el marco de la modalidad de acompañamiento a hogares de jefatura femenina pobres y hogares en riesgo de pobreza del servicio Tropa Social a tu Hogar.
Tarea 2. Vincular al servicio Tropa Social a tu Hogar a 7.644 hogares, para su atención y el fortalecimiento de proyectos de vida de personas identificadas en pobreza, vulnerabilidad y fragilidad social
Soporte 2. Informe de la vinculación de 7.644 hogares al servicio Tropa Social a tu Hogar, para el fortalecimiento de proyectos de vida de personas identificadas en pobreza, vulnerabilidad y fragilidad social.
META 3
Tarea 1. Elaborar un (1) tablero de control con el monitoreo de logros, avances y dificultades de los compromisos concertados en los contratos sociales familiares suscritos por los hogares acompañados por el servicio Tropa Social a tu Hogar.
Soporte 1. Tablero de control y monitoreo de logros, avances y dificultades de los compromisos concertados en los contratos sociales familiares suscritos por los hogares acompañados por el servicio Tropa Social a tu Hogar.
META 4
Tarea 1. Desarrollar un (1) informe de las acciones de identificación, caracterización y priorización a la población en situación de pobreza oculta.
Soporte 1.Informe del proceso de identificación, caracterización, priorización y oferta de servicios del distrito a la población en situación de pobreza oculta.</t>
  </si>
  <si>
    <t xml:space="preserve">16/03/2022 se recomienda actualizar el indicador de acuerdo a lo socializado en el comité de gestores </t>
  </si>
  <si>
    <t>La medición de este indicador incorporó a 388 personas habitantes de calle y en riesgo atendidas por el proyecto. De estas personas, 258 (66%) reportaron avances superiores a 40% en la ejecución de sus compromisos u objetivos de trabajo. Al contrastar esta cifra con la meta de 55% de cumplimiento formulada para la vigencia, se obtuvo un avance total de 121%. Por ende, el desempeño del indicador superó ampliamente las expectativas tocantes a su programación.
El ejercicio permitió identificar a ciudadanas y ciudadanos con distintos grados de avance en sus procesos de inclusión. Sin embargo, en ocasiones se notó desconocimiento de los objetivos o compromisos planteados para el efecto. Algunas veces, los seguimientos de los equipos psicosociales no se desarrollaron de cara a compromisos claros, no dieron cuenta de los objetivos formulados, o no se realizaron con regularidad suficiente.</t>
  </si>
  <si>
    <t>17/01/2023 No se generan observaciones respecto al análisis reportado para el seguimiento del indicador.</t>
  </si>
  <si>
    <t>En lo pertinente a este indicador, se revisaron historias sociales y planes de atención individual para el desarrollo de capacidades en diferentes modalidades de servicio del  proyecto. Se hizo verificación del cumplimiento y el no cumplimiento de procesos de trabajo individuales, de acuerdo con los compromisos establecidos por las y los participantes y con los seguimientos realizados por los equipos psicosociales. La medición mostró particularidades a nivel de cada modalidad de servicio.
Se encontraron ciudadanas y ciudadanos con avances en sus procesos de inclusión, aunque también, en ocasiones, se notó desconocimiento de los objetivos o compromisos planteados para el efecto. Algunas veces, los seguimientos de los equipos psicosociales no se desarrollaron de cara a compromisos claros, no dieron cuenta de los objetivos formulados, o no se realizaron con regularidad suficiente.</t>
  </si>
  <si>
    <t>13/12/2022 No se generan observaciones respecto al análisis reportado para el seguimiento del indicador.</t>
  </si>
  <si>
    <t>Se avanzó en la socialización y verificación de las herramientas de sistematización implementadas a través del aplicativo ODK en lo pertinente al indicador. Igualmente se recopilaron datos como ejercicio previo al reporte anual del indicador, para dar consistencia a la medición y procurar la aplicación oportuna de correctivos, de ser necesario. Por último, se inició la consolidación de la base de personas a partir de la cual se realizará la última fase de medición.</t>
  </si>
  <si>
    <t>09/11/2022 No se generan observaciones respecto al análisis reportado para el seguimiento del indicador.</t>
  </si>
  <si>
    <t>Se retomó la socialización y verificación, con los equipos de las distintas modalidades, de las herramientas de sistematización implementadas en la plataforma ODK respecto al indicador de avances en los procesos de inclusión social de la población atendida. Así mismo se recopilaron datos relevantes al indicador como ejercicio previo a su reporte anual, para dar consistencia a la medición y procurar la aplicación oportuna de correctivos, de ser necesario. Por último, se inició la consolidación de la base de ciudadanos y ciudadanas a partir de la cual se realizará la última fase de medición.</t>
  </si>
  <si>
    <t>La medición de este indicador englobó 2 estrategias territoriales y 10 unidades operativas. La ponderación arrojó 10 servicios (83%) adaptados por enfoques de trabajo, lo que, cotejado con la meta de 55% de cumplimiento establecida para la vigencia, representó un avance total de 152%. Con ello, el desempeño del indicador superó por mucho las expectativas correspondientes a su programación anual.
Se observó que los servicios están desarrollando acciones orientadas a la adaptación de servicios con enfoque diferencial, de género y territorial, permitiendo un cumplimiento en el desarrollo del indicador. Sin embargo, se hace necesario fortalecer a nivel pedagógico el desarrollo de las acciones, pues algunas de éstas se ajustan a los enfoques evaluados, mas no están construidas a partir de ellos.</t>
  </si>
  <si>
    <t>En el mes de diciembre finalizó la medición del indicador de adaptación de servicios con enfoque diferencial, de género y territorial en el proyecto 7757, abordando hogares de paso, comunidades de vida, centros diferenciales, tercerizados y territorios, mediante la aplicación del instrumento construido y evaluado. Esto permite realizar la obtención del indicador y la generación de recomendaciones.
Se evidenció que los servicios están desarrollando acciones orientadas a la adaptación de servicios con enfoque diferencial, de género y territorial, permitiendo un cumplimiento en el desarrollo del indicador. Sin embargo, se hace necesario fortalecer a nivel pedagógico el desarrollo de las acciones, pues algunas de éstas se ajustan a los enfoques evaluados, mas no están construidas a partir de ellos.</t>
  </si>
  <si>
    <t>Se continuó con el proceso de adaptabilidad del servicio social en sus distintas modalidades, como base para garantizar una atención bajo enfoque diferencial, de género y territorial. A la vez, se socializaron y verificaron los instrumentos de sistematización implementados a través del aplicativo ODK, y se recopilaron datos relevantes al indicador como ejercicio previo a su reporte anual. Esto último se llevó a cabo para dar consistencia a la medición y procurar la aplicación oportuna de correctivos, en caso de ser necesario.</t>
  </si>
  <si>
    <t>Se retomó la socialización y verificación, con los equipos de las distintas modalidades, de los instrumentos de sistematización implementados en la plataforma ODK respecto al indicador de adaptación de acciones bajo enfoque diferencial, de género y territorial. Así mismo se recopilaron datos relevantes al indicador como ejercicio previo a su reporte anual, para dar consistencia a la medición y procurar la aplicación oportuna de correctivos, en caso de ser necesario.</t>
  </si>
  <si>
    <r>
      <t>Como análisis anual del presente indicador se obtiene un porcentaje de cumplimiento de</t>
    </r>
    <r>
      <rPr>
        <sz val="9"/>
        <color rgb="FF7030A0"/>
        <rFont val="Arial"/>
        <family val="2"/>
      </rPr>
      <t xml:space="preserve"> 50%, </t>
    </r>
    <r>
      <rPr>
        <sz val="9"/>
        <rFont val="Arial"/>
        <family val="2"/>
      </rPr>
      <t xml:space="preserve"> respecto del número de personas que participan en las acciones propuestas por la estrategia de abordaje comunitario. Por lo tanto se evidencia un rezago de</t>
    </r>
    <r>
      <rPr>
        <sz val="9"/>
        <color rgb="FF7030A0"/>
        <rFont val="Arial"/>
        <family val="2"/>
      </rPr>
      <t xml:space="preserve"> 50%</t>
    </r>
    <r>
      <rPr>
        <sz val="9"/>
        <rFont val="Arial"/>
        <family val="2"/>
      </rPr>
      <t xml:space="preserve"> frente a la meta fijada para la vigencia. 
En consecuencia, se debe mantener este indicador durante el año 2023 y cualificar a los equipos territoriales para mejorar algunos aspectos de la sistematización de información. A su turno, se deben analizar estrategias a fin de generar interés y adhesión por parte de la comunidad a los espacios de dialogo comunitario, y a otros espacios de incidencia como las mesas y comités operativos locales de habitabilidad en calle.
</t>
    </r>
  </si>
  <si>
    <r>
      <t>Durante el mes de diciembre se llevaron a cabo 73</t>
    </r>
    <r>
      <rPr>
        <sz val="9"/>
        <color rgb="FFFF0000"/>
        <rFont val="Arial"/>
        <family val="2"/>
      </rPr>
      <t xml:space="preserve"> </t>
    </r>
    <r>
      <rPr>
        <sz val="9"/>
        <rFont val="Arial"/>
        <family val="2"/>
      </rPr>
      <t>espacios de diálogo comunitario sobre el fenómeno de habitabilidad en calle. A su vez, a lo largo de la vigencia se identificaron y caracterizaron en total 1.673 actores estratégicos, de los cuales 497 tomaron parte en ejercicios de diálogo comunitario. En el marco de los diálogos realizados se promovió el fortalecimiento de la convivencia ciudadana, la mitigación de conflictos existentes entre actores y la resignificación del fenómeno de habitabilidad en calle.</t>
    </r>
  </si>
  <si>
    <t xml:space="preserve">Se dio continuidad a la implementación de diálogos comunitarios sobre el fenómeno de habitabilidad en calle. Estos escenarios permitieron el intercambio de percepciones, emociones y necesidades, así como la definición de acuerdos y compromisos con miras a la transformación de conflictos alrededor del fenómeno. Como base de ello se promovió un ambiente de corresponsabilidad entre los diferentes actores de los territorios.
Los ejercicios de diálogo permitieron identificar que los mayores conflictos existentes en torno a la habitabilidad de calle en la ciudad, remiten a la percepción de inseguridad, al uso del espacio público, al expendio y consumo de sustancias psicoactivas, y a las relaciones interpersonales entre actores.
</t>
  </si>
  <si>
    <t>Se realizaron procesos de cualificación técnica con los coordinadores locales y el equipo interdisciplinario, en aras de mejorar la recolección de información pertinente a los diálogos comunitarios sobre el fenómeno de habitabilidad en calle. A su vez se adelantaron ejercicios de diálogo en zonas donde se presentan conflictos, especialmente en cuanto al uso del espacio público por parte de la población habitante de calle y carretera.
El equipo llevó a cabo ejercicios de participación ciudadana en diferentes escenarios, bajo coordinación con referentes locales de distintas entidades. Esto permitió concertar nuevos espacios para el desarrollo de diálogos, vinculando a actores estratégicos no identificados anteriormente. 
Las acciones realizadas promovieron la transformación de imaginarios y el mejoramiento de la convivencia ciudadana en torno a la habitabilidad en calle.</t>
  </si>
  <si>
    <t xml:space="preserve">
Respecto a los resultados obtenidos para el presente indicador, se precisa que su cumplimiento fue de 92%. A lo largo del año, se observó la apertura, reformulación y cierre de planes de atención individual para el desarrollo de capacidades en territorio. Debido al cambio de zonas o puntos de ubicación, se vio la necesidad de cerrar algunos planes de atención por falta de contacto con las y los ciudadanos habitantes de calle, viéndose limitado el accionar Institucional.
Sería conveniente ampliar la base de potenciales participantes en planes de atención individual, para dar mayor alcance al indicador. Empero, las limitaciones de talento humano del proyecto lo dificultan.
Es recomendable mantener este indicador en la vigencia 2023, con la misma magnitud de meta.</t>
  </si>
  <si>
    <t>17/01/2023 Se recomienda adicionar en diciembre, el análisis del trimestre, las cifras reportadas y el análisis del porcentaje de cumplimiento.
20/01/2023 No se generan observaciones respecto al análisis reportado para el seguimiento del indicador.</t>
  </si>
  <si>
    <t xml:space="preserve">Durante el último trimestre de la vigencia se realizaron modificaciones a la implementación de los Planes De Atención Individual para el Desarrollo de Capacidades - PAIDC existentes, en aras de fortalecer los procesos interdisciplinares para la generación de planes continuos y flexibles. Así mismo se realizó apertura de nuevos planes de atención, teniendo en cuenta los enfoques diferencial, territorial y de género, así como las necesidades de las y los ciudadanos. Se brindó acompañamiento y orientación a nivel individual y/o grupal para el manejo de emociones, el fortalecimiento de redes familiares y sociales, y la mitigación de daños asociados a la vida en calle.
En total, entre octubre y diciembre se abrieron 11 planes de trabajo, que arrojaron 4 atenciones efectivamente realizadas. El nivel de avance que de aquí se deduce fue inferior al de los tres primeros trimestres del año, en los cuales se observó una tendencia a la sobre ejecución del indicador. Por ende, al integrar los datos de todos los periodos se obtuvo un nivel de avance muy cercano a la magnitud programada.
Se resalta que desde los territorios, ciudadanos y ciudadanas habitantes de calle han tomado la decisión de iniciar procesos institucionalizados para la deshabituación de la vida en calle y el desarrollo de nuevos planes de vida. </t>
  </si>
  <si>
    <t>Se llevaron a cabo acciones de acompañamiento y seguimiento con miras al desarrollo de planes de atención individual para el desarrollo de capacidades previamente abiertos. En este contexto, se procuró fortalecer la orientación psicosocial para dar continuidad y flexibilidad a los planes de trabajo, y avanzar en la dignificación de la vida de las ciudadanas y los ciudadanos atendidos.</t>
  </si>
  <si>
    <t>Se llevaron a cabo acciones itinerantes de acompañamiento psicosocial para la dignificación de las condiciones de vida de personas habitantes de calle, mediante el desarrollo de planes de atención individual para el desarrollo de capacidades. Se identificaron temas de interés reiterado para la población, como el acceso a educación formal e informal, el aprovechamiento de oportunidades laborales y de generación de ingresos, el restablecimiento de redes de apoyo familiar y la mitigación del uso de sustancias psicoactivas. De cara a estos temas, se procuró fortalecer el abordaje de los equipos territoriales a las y los ciudadanos con PAIDC activos.</t>
  </si>
  <si>
    <t>Se obtuvo un porcentaje de cumplimiento de 87% en la identificación y atención de población en riesgo de habitar calle. Así mismo es preciso señalar que partiendo de la autonomía y decisión propia de los ciudadanos, son ellos quienes deciden la apertura o no de la ruta de atención. 30 ciudadanos no aceptaron la apertura de la ruta de atención, lo que generó un margen de rezago en el avance del indicador.
Conviene analizar la posibilidad de fortalecer la oferta de servicios de la entidad, a fin de generar mejores procesos de adherencia y aceptación en la apertura de rutas de atención. Se sugiere mantener este indicador para la vigencia 2023, con la misma magnitud de meta, esperando fortalecer las estrategias de trabajo a fin de cumplir la programación en nivel sobresaliente.</t>
  </si>
  <si>
    <t>17/01/2023 Se recomienda adicionar en diciembre, el análisis del trimestre, debido a la periodicidad del indicador.
20/01/2023 No se generan observaciones respecto al análisis reportado para el seguimiento del indicador.</t>
  </si>
  <si>
    <t>Durante el cuarto trimestre de la vigencia, el equipo interdisciplinar realizó actividades de abordaje territorial que permitieron la identificación de 43 personas en riesgo de habitar calle, personas de las cuales 33 aceptaron emprender rutas de atención según sus necesidades, potencialidades e intereses. De las personas atendidas, 4 se encontraron en riesgo bajo, 19 se encontraron en riesgo intermedio y 10 en riesgo alto. Los factores de riesgo más recurrentes incluyeron la baja tolerancia a la frustración, la baja autoestima, necesidades básicas insatisfechas y la desintegración de redes familiares.
Adicionalmente, se hizo reconocimiento de entornos de riesgo y de necesidades integrales por parte de la población, para su posterior abordaje.</t>
  </si>
  <si>
    <t>El equipo interdisciplinario realizó actividades de abordaje territorial, que permitieron la identificación de escenarios propicios para el inicio de vida en calle y de personas en riesgo de habitar la calle. Se aplicó el instrumento de tamizaje del riesgo, y se activaron rutas de servicio según el interés y las necesidades de la población. Las personas que aceptaron la oferta del equipo recibieron beneficios como ayudas humanitarias, apoyo para el acceso a servicios de salud, acompañamiento psicosocial, acceso a oportunidades de inclusión socio-ocupacional, tratamiento para el consumo problemático de sustancias psicoactivas y programas en casos de flujo migratorio.
Durante el mes de noviembre, los factores de riesgo más recurrentes entre la población abordada incluyeron la baja tolerancia a la frustración, la baja autoestima, necesidades básicas insatisfechas y la desintegración de redes familiares.</t>
  </si>
  <si>
    <t>A lo largo del periodo, el equipo interdisciplinario avanzó en la identificación y atención de personas en riesgo de habitar la calle. Se aplicó el instrumento construido para el tamizaje de los niveles de riesgo y se activaron rutas de servicio, según el interés y las necesidades de las y los ciudadanos abordados. Las personas atendidas recibieron beneficios como apoyo para el acceso a servicios de salud, ayudas humanitarias, acceso a oportunidades de inclusión laboral, acompañamiento psicosocial para el desarrollo de capacidades, acceso a programas para población en flujo migratorio y tratamiento en casos de consumo problemático de sustancias psicoactivas.</t>
  </si>
  <si>
    <r>
      <t xml:space="preserve">En lo corrido del mes de mayo el equipo interdisciplinar realizó actividades de fortalecimiento territorial, contribuyendo al desarrollo de redes y entornos protectores en nuevos escenarios a personas identificadas en riesgo de habitar calle a través de la ruta de atención de la entidad. Entre las actividades pertinentes a la estrategia, se dio lugar al estudio de entornos de riesgo locales y al desarrollo de actividades conjuntas con actores clave, tales como la </t>
    </r>
    <r>
      <rPr>
        <i/>
        <sz val="9"/>
        <color theme="1"/>
        <rFont val="Arial"/>
        <family val="2"/>
      </rPr>
      <t>Fundación Oasis de Vida</t>
    </r>
    <r>
      <rPr>
        <sz val="9"/>
        <color theme="1"/>
        <rFont val="Arial"/>
        <family val="2"/>
      </rPr>
      <t xml:space="preserve">, la cual acoge a ciudadanos que se encuentran en alto riesgo de habitabilidad en calle, el </t>
    </r>
    <r>
      <rPr>
        <i/>
        <sz val="9"/>
        <color theme="1"/>
        <rFont val="Arial"/>
        <family val="2"/>
      </rPr>
      <t>Instituto de la caridad universal ICU, Fundaciones jóvenes para la transformación social, Organización protectora de animales maltratados - OPAM, JAC el Sociego, Jóvenes líderes de la localidad Antonio Nariño, Biblioteca itinerante biblioFucha, empresa KOJUMOTOS y entidades el Orden Distrital como Personería, Unidad Administrativa Especial de Servicios Públicos -UAESP, Instituto Distrital para la Protección de la Niñez y la Juventud – IDIPRON, Secretaría Distrital de Gobierno para la Unidad para la Atención y Reparación Integral a las Víctimas, Instituto Para La Economía Social – IPES, Secretaria Distrital de Salud, Promoambiental Distrito S.A.S ESP, Alcaldías Locales y del orden Nacional como Policía Metropolitana de Bogotá - MEBOG, Ejército Nacional de Colombia</t>
    </r>
    <r>
      <rPr>
        <sz val="9"/>
        <color theme="1"/>
        <rFont val="Arial"/>
        <family val="2"/>
      </rPr>
      <t xml:space="preserve"> entre otros; así mismo, se genera la activación de rutas y atención integral a población que se encuentre en riesgo de habitabilidad en calle. Para este mismo periodo de tiempo reportado, se realizaron jornadas de prevención universal en las localidades de Ciudad Bolívar, Tunjuelito, Usme, San Cristóbal, Fontibón, Engativá.
En este mismo sentido y en lo relacionado a la dinámica de los factores de riesgo de habitabilidad en calle, se hizo mayor énfasis a los factores relacionados con lo individual, familiar y de contexto en cada zona social y las acciones desde los enfoques de género y diferencial que se realizan desde territorio. 
</t>
    </r>
  </si>
  <si>
    <t>La dinámica en los factores de riesgo de habitabilidad en calle, para el mes de febrero de 2022, presentó mayor incidencia en los factores relacionados con lo individual y lo eventual, en este sentido los discursos de los y las personas a las cuales se les aplicó el instrumento de tamizaje, permitió evidenciar que, los factores relacionados con fluctuación de emociones, sentimientos de desprotección, temor, soledad y baja tolerancia a la frustración, se encuentran presentes de forma reiterativa. En este sentido, los otros factores que inciden hacen referencia a la presión de grupo, el consumo problemático de sustancias psicoactivas legales o no con presencia de policonsumo y a la relación directa de haber afrontado situaciones relacionadas con violencia por conflicto armado, atención por centros de protección y cumplimiento de penas privativas de la libertad por actos delictivos.
Así mismo y en coherencia lo antes mencionado, se considera que otros de los factores principales que han acercado a la población, generando riesgo de habitar la calle, son aquellos asociados con pérdidas o duelos en relación con ruptura de vínculos de pareja y perdida por fallecimiento de familiares y/o personas que fueron fundamentales para la estabilidad emocional y/o económica de estas. Lo anterior también se refleja en las personas identificadas en riesgo, por la pérdida de empleo o de las actividades que les permitían el acceso a los recursos para la manutención propia o de su núcleo familiar y repercusión debido a las afectaciones por la emergencia sanitaria referente al COVID 19, enfatizando en la limitación por barreras de acceso a la atención medica en salud física y mental, relacionada con el virus u otras afectaciones.</t>
  </si>
  <si>
    <t>Para el mes de enero de 2022 se identificó que, uno de los principales factores de riesgo de habitabilidad en calle hace referencia a aquellos aspectos y dinámicas internas de cada persona, en este sentido, los discursos de los y las personas a las cuales se les aplicó el instrumento de tamizaje permitieron evidenciar que, los factores relacionados con la salud mental están altamente presentes especialmente frente a la baja autoestima, fluctuación de emociones, sentimientos de desprotección, soledad y baja tolerancia a la frustración. También se destacan como factores determinantes, aspectos relacionados con la presión de grupo, capacidad de toma de decisiones y aceptación de opiniones propias por parte de otros interlocutores.
Así mismo se destaca que, otro aspecto relevante en los factores de riesgo identificados, es el consumo problemático de sustancias psicoactivas legales o no, donde se evidenció policonsumo especialmente de mezclas entre el tabaco, alcohol, marihuana y bazuco.
En este sentido y según los análisis realizados se determina que, otros factores que han acercado a la población al riesgo de habitar la calle, son aspectos relacionados con la fragilidad de redes de apoyo, necesidades básicas insatisfecha y dificultad a la resolución de conflictos. Por otro lado, se ven enfrentados a riesgos relacionados con la cercanía a actividades delictivas, las cuales pasan por vía familiar, de amigos o personas de su entorno o contexto, aspectos estrechamente relacionados con factores individuales de codependencia y consumo de sustancias psicoactivas.</t>
  </si>
  <si>
    <t>Durante la vigencia 2022, el seguimiento a este indicador permitió evidenciar todas las acciones de gestión que realizan los profesionales en psicología y trabajo social de todas las unidades operativas asociadas al proyecto de inversión 7756 "Compromiso Social por la Diversidad en Bogotá". Lo anterior representa un logro en los procesos de planeación y seguimiento interno, debido a que el conteo de metas del proyecto se mide únicamente a través de personas únicas, y esto evita visibilizar la cantidad de atenciones que una misma persona puede recibir en un mismo mes o en el mismo año, desde uno o varios componentes de orientación y acompañamiento psicosocial. 
Este formato de seguimiento también se consolidó como un insumo importante para considerar en el proceso de proyección y planeación de talento humano que se necesita para la operación de los servicios en las unidades operativas, teniendo en cuenta la demanda que existe entre personas de los sectores sociales LGBTI, sus familias y redes de apoyo, por los procesos de orientación y acompañamiento psicosocial con enfoque diferencial, que solamente se ofertan desde proyecto de inversión 7756 "Compromiso Social por la Diversidad en Bogotá".
También se evidenció durante el proceso de seguimiento a este indicador de gestión, que su ejecución superó la expectativa de programación, ya que superó el 50% en todos los reportes cuantitativos mensuales.</t>
  </si>
  <si>
    <t>13/01/2023
Por favor emplear el formato que contiene las anotaciones de segunda línea de defensa del mes de noviembre de 2022, que fue compartido por la profesional del Equipo SG el mes anterior.
La evidencia presentada no concuerda con el dato cuantitativo reportado de 31 personas con más de una atención en el mes de diciembre. Por favor verificar y remitir el registro en el que pueda verificarse el dato.
Así mismo se sugiere emplear el formato Registro del Seguimiento psicosocial (FOR-PSS-424) sin modificaciones de forma en su encabezado y de los ítems de diligenciamiento, ya que es un formato controlado en el Sistema de Gestión de la Entidad.
Ajustar ortografía del análisis mensual. 
16/01/2023
No se generan observaciones adicionales frente al periodo reportado. Se sugiere para la siguiente vigencia ajustar la programación y meta del indicador, así como verificar y ajustar la descripción del método de cálculo en relación con los ítems a filtrar para facilitar la verificación de los datos reportados.</t>
  </si>
  <si>
    <t>En el mes de diciembre 2022, el 100% de las personas LGBTI, sus familias y redes de apoyo, recibieron mas de una atención en el mismo mes, por parte del equipo de profesionales psicosociales de las cuatro casas LGBTI del proyecto 7756 "Compromiso Social por la Diversidad en Bogotá", ubicadas en las localidades de Mártires, Teusaquillo, Suba y Rafael Uribe Uribe.
Adicional a lo anterior, cabe resaltar que, durante el mes de diciembre 2022, se fortaleció el proceso de seguimiento y acompañamiento al equipo psicosocial de las cuatro casas LGBTI y la Unidad Contra la Discriminación, con el fin de garantizar los cierres de caso de las personas de los sectores sociales LGBTI, sus familias y redes de apoyo, que ya finalizaron proceso de atención en la vigencia 2022, desde el componente de orientación psicosocial individual. Esto con el fin de modificar sus estados de actuación en el Sistema de Información Misional de la entidad y no alterar el conteo de metas del proyecto de inversión para la vigencia 2023. También para garantizar el cumplimiento de los procedimientos asociados a la gestión documental de las historias sociales generadas durante la vigencia 2022 en las distintas unidades operativas de la Subdirección para Asuntos LGBTI.</t>
  </si>
  <si>
    <t>09/12/2022 No se generan observaciones respecto al análisis reportado para el seguimiento del indicador.</t>
  </si>
  <si>
    <t>Durante el mes de Noviembre 2022, el equipo de profesionales en psicología y trabajo social de la Subdirección para Asuntos LGBTI, atendió 56 personas de los sectores sociales LGBTI, sus familias y redes de apoyo, desde el componente de orientación psicosocial individual. Cabe resaltar que, 39 de ellas, recibieron más de una atención en el mes, por lo cual es posible concluir que el 70% de las personas atendidas en noviembre 2022, recibieron más de una atención en el mismo mes. 
Los procesos de orientación psicosocial individual de la Subdirección para Asuntos LGBTI se realizan a demanda y de acuerdo a las necesidades de las personas de los sectores sociales LGBTI, sus familias o redes de apoyo. De igual forma, es importante destacar que, antes de iniciar el proceso de orientación y acompañamiento psicosocial individual, el equipo profesional realiza un una identificación de las necesidades a abordar y propone un plan de atención que es compartido con la persona participante, con el fin de ser socializado, apropiado y para promover un ejercicio de corresponsabilidad consciente durante el desarrollo del proceso. El número de sesiones a las cuales asistirá la persona participante, también se define dentro de este plan de atención individual, que se enmarca en el protocolo de atención psicosocial de la Subdirección para Asuntos LGBTI.
Teniendo en cuenta lo anterior, es posible concluir, que el 70% de las personas atendidas desde el componente de orientación psicosocial individual, está generando adherencia a los procesos que acompañan los/as profesionales psicosociales de las unidades operativas asociadas al proyecto 7756 "Compromiso Social por la Diversidad en Bogotá".
Finalmente, resulta fundamental mencionar que, durante el mes de diciembre 2022, se está realizando un proceso de seguimiento y acompañamiento al equipo psicosocial de las cuatro casas LGBTI y la Unidad Contra la Discriminación, con el fin de garantizar los cierres de caso de las personas de los sectores sociales LGBTI, sus familias y redes de apoyo, que ya finalizaron proceso de atención en la vigencia 2022, desde el componente de orientación psicosocial individual. Esto con el fin de modificar sus estados de actuación en el Sistema de Información Misonal de la entidad y no alterar el conteo de metas del proyecto de inversión para la vigencia 2023. También para garantizar el cumplimiento de los procedimientos asociados a la gestión documental de las historias sociales generadas durante la vigencia 2022 en las distintas unidades operativas de la Subdirección para Asuntos LGBTI.</t>
  </si>
  <si>
    <t>09/11/2022 Se recomienda ser más específicos en el análisis reportando, de tal forma que se evidencie toda la gestión que realiza el proyecto.
15/11/2022 No se generan observaciones respecto al análisis reportado para el seguimiento del indicador.</t>
  </si>
  <si>
    <t>En Octubre 2022, el equipo de profesionales psicosociales de las cuatro casas LGBTI del proyecto 7756 "Compromiso Social por la Diversidad en Bogotá", ubicadas en las localidades de Mártires, Teusaquillo, Suba y Rafael Uribe Uribe, atendió 57 personas de los sectores sociales LGBTI, sus familias y redes de apoyo, desde el componente de orientación psicosocial individual. Cabe resaltar que, 40 de ellas, recibieron más de una atención en el mes, por lo cual es posible concluir que el 70% de las personas atendidas en octubre 2022, recibieron más de una atención en el mismo mes. 
Los procesos de orientación psicosocial individual  se realizan a demanda y de acuerdo a las necesidades de las personas de los sectores sociales LGBTI, sus familias o redes de apoyo. Las unidades operativas asociadas al proyecto 7756 Compromiso Social por la Diversidad en Bogotá, no generan procesos de atención supeditados a cupos o metas locales. De igual forma, es importante destacar que, antes de iniciar el proceso de orientación y acompañamiento psicosocial individual, el equipo profesional realiza un una identificación de las necesidades a abordar y propone un plan de atención que es compartido con la persona participante, con el fin de ser socializado, apropiado y para promover un ejercicio de corresponsabilidad consciente durante el desarrollo del proceso. El número de sesiones a las cuales asistirá la persona participante, también se define dentro de este plan de atención individual, que se enmarca en el protocolo de atención psicosocial de la Subdirección para Asuntos LGBTI.
Teniendo en cuenta lo anterior, es posible concluir, que el 70% de las personas atendidas desde el componente de orientación psicosocial individual, está generando adherencia a los procesos que acompañan los/as profesionales en psicología y trabajo social de las unidades operativas asociadas a la Subdirección para Asuntos LGBTI.</t>
  </si>
  <si>
    <t>10/10/2022 Por favor verificar, la ubicación de los avances cuantitativos, ya que al parecer están trastocados. Así mismo, anexar en el análisis las cifras reportadas y el resultado (%) obtenido.
18/10/2022 No se generan observaciones respecto al análisis reportado para el seguimiento del indicador.</t>
  </si>
  <si>
    <t xml:space="preserve">Durante el mes de septiembre 2022, el equipo de profesionales en psicología y trabajo social de las cuatro casas LGBTI del proyecto 7756 "Compromiso Social por la Diversidad en Bogotá", ubicadas en las localidades de Mártires, Teusaquillo, Suba y Rafael Uribe Uribe, atendió 39 personas de los sectores sociales LGBTI, sus familias y redes de apoyo, desde el componente de orientación psicosocial individual. Cabe resaltar que, 24 de ellas, recibieron más de una atención en el mes. Por lo cual es posible concluir que el 62% de las personas atendidas en septiembre 2022, recibieron más de una atención en el mes. </t>
  </si>
  <si>
    <t>El indicador se construyó en la vigencia 2022 y fue publicado para iniciar con sus reportes en el segundo semestre del año, se crea para hacer seguimiento a las convocatorias de estos espacios de interés que permiten la expresión y aprendizaje  a los asistentes en temas de su educación sexual,  la primera sala de escucha tiene un resultado al seguimiento del 100% gracias a los espacios que abren los colegios para este tipo de temas, sin embargo es muy pronto para determinar si es factible el cambio en la meta del indicador,  es importante definir las acciones que puedan llevar a construir una línea base de atención, no sólo por nivel de asistencia, sino también de capacidad del equipo del proyecto 7753-Prevención de la maternidad y la paternidad temprana en Bogotá.</t>
  </si>
  <si>
    <t>16/01/2023. El reporte de lo ejecutado (BX) y lo programado (BY) no corresponde a lo definido en la formula de cálculo del indicador (ver columnas K y M); se debe corregir en términos del número de jóvenes y ajustar el análisis mensual con los datos correctos.
Las cifras reportadas deben estar correctamente soportadas con las evidencias definidas (ver columna O), y las evidencias deben corresponder al periodo que se reporta, es decir el segundo semestre de 2022; los listados de asistencia anexados corresponden al mes de mayo por tanto no hacen parte del periodo que se esta midiendo.
Respecto al "Análisis anual", es necesario que este se ajuste bajo los siguientes criterios: debe resumir el desempeño del indicador durante todo el tiempo en que fue monitoreado; debe presentar de manera estratégica la gestión realizada desde el proyecto, que permitió el cumplimiento de la meta, o el sobrecumplimiento, en caso que aplique; si hubo sobrecumplimiento, debe explicar cómo se va a corregir la programación para la siguiente vigencia; y debe explicar cómo el cumplimiento de la meta de este indicador le aporta a los objetivos del servicio y de la Subdirección.
17/01/2023. No se generan observaciones adicionales respecto al análisis y las evidencias presentadas en el seguimiento al indicador de gestión.</t>
  </si>
  <si>
    <t>Se logra realizar el seguimiento al indicador de gestión, logrando una asistencia del 100%  de las y los jóvenes invitados a participar con un total de 13 jóvenes convocados y que asistieron a la salas de escucha. Si bien se había planteado una meta de 60%, la realidad en territorio permitió cumplir con una asistencia del 100%. Este resultado se debe principalmente a que las salas de escucha se realizaron en espacios donde la asistencia estaba asegurada y de fácil acceso para las y los jóvenes, como son los colegios. Es recomendable para la vigencia 2023 mantener el indicador, aclarando que el análisis se realizará con participantes por programación y en espacios donde no se tiene población constante.</t>
  </si>
  <si>
    <t>15/12/2022:  No se generan observaciones respecto al análisis reportado para el seguimiento del indicador.</t>
  </si>
  <si>
    <t>Se realizó sesión de salas de escucha durante el mes de noviembre, en articulación con la Secretaría Distrital de Salud, para brindar una atención integral a las y los jóvenes de la ciudad, haciendo más atractiva la oferta y mejorando la asistencia de la población objetivo, para lograr la meta del indicador de gestión.</t>
  </si>
  <si>
    <t>10/11/2022:  No se generan observaciones respecto al análisis reportado para el seguimiento del indicador.</t>
  </si>
  <si>
    <t>Durante el mes de octubre, el proyecto 7753 avanzó en la construcción y sistematización del piloto de las salas de escucha, lo que aporta al indicador al permitir la descripción de las lecciones aprendidas sobre estas salas, logrando tener mayor claridad sobre la intención en las mismas y lo que podría interesar a las y los jóvenes de la ciudad, para que así se comprometieran con el proceso y asistieran a las salas de escucha. Con este ejercicio de asistencia se planea cumplir el indicador y lograr definir una línea base.</t>
  </si>
  <si>
    <r>
      <t xml:space="preserve">Determinar el número de jóvenes que asisten a sesiones </t>
    </r>
    <r>
      <rPr>
        <sz val="9"/>
        <rFont val="Arial"/>
        <family val="2"/>
      </rPr>
      <t>de las Salas de Escucha-Siente tu sexualidad, después de ser programados, para identificar la línea base de alcance de este nuevo beneficio para las y los jóvenes de la ciudad</t>
    </r>
  </si>
  <si>
    <t xml:space="preserve">Durante la vigencia  2022, en los Centros Proteger se ha dado continuidad a la atención integral a niñas y niños con medida de ubicación institucional, atendiendo al 85% de niñas y niños remitidos por autoridad competente (Comisario (a) de Familia / Defensor (a) de Familia), en los meses de enero a diciembre se atendieron 444 oportunamente de 520 niñas y niños, en el transcurso del año ingresaron al servicio 427 niñas y niños.
Así mismo, se presentaron 392 egresos, de los cuales 377  fueron por  reintegro familiar, 6 por adopción y 9 por traslado institucional. 
Durante la vigencia 2022 se avanzó en cada uno de los procesos adelantados con las familias vinculadas a Procesos Administrativos de Restablecimiento de derechos (PARD), en la implementación de estrategias de intervención y acompañamiento que permiten la creación de entornos protectores y seguros, el fortalecimiento de capacidades, garantizando que las niñas y los niños permanezcan en prevalencia de derechos, promoviendo el reintegro a su medio familiar y el no reingreso a los sistemas de protección. 
Se ha avanzado en realizar seguimiento oportuno mediante la realización de estudios de casos, con la participación del equipo técnico de la Subdirección para la familia, aportando a los planes de acción establecidos, y movilizando recursos que permitan avanzar en los procesos de restablecimiento de derechos de niñas y niños con medida de ubicación institucional, y en los planes de acción establecidos de acuerdo a la problemática asociada, propendiendo por la garantía de los derechos. 
En la vigencia 2022 se dio continuidad a procesos de intervención y acompañamiento a las familias vinculadas y a las niñas y los niños en una apuesta interdisciplinar desarrollar planes de acción que permiten superar la condición de vulneración de derechos y la garantía de los mismos.  
En coherencia con los lineamientos establecidos, se garantizó el restablecimiento de los de derechos de las niñas y niños que ingresan con medida de ubicación institucional al servicio, se realizó movilización de los casos y activación de las redes familiares, sociales e institucionales de apoyo que se han requerido en cada caso particular. </t>
  </si>
  <si>
    <t>13/01/2023
Se solicita presentar la evidencia que soporte la atención de 179 casos en el segundo semestre de la vigencia, ya que el informe final remitido indica la atención de un total de 550 niños para la vigencia 2022 y no concuerda con los datos cuantitativos presentados para junio y diciembre, así como los acumulados para el indicador.
Así mismo, se solicita ajustar el análisis anual del indicador ya que se menciona la atención del 100% de niños y niños pero en el acumulado para la vigencia el indicador tiene un resultado del 96%.
20/01/2023
No se generan observaciones ni sugerencias adicionales frente al periodo de reporte.</t>
  </si>
  <si>
    <t>Durante el periodo de julio a diciembre de  2022, en los Centros Proteger se ha dado continuidad a la atención integral a niñas y niños con medida de ubicación institucional, atendiendo al 85% de niñas y niños remitidos por autoridad competente (Comisario (a) de Familia / Defensor (a) de Familia), durante el segundo semestre se atendieron 309 niñas y niños oportunamente de 363, de igual forma se adelantaron 211 egresos del servicio por reintegro familiar .
En los meses de julio a diciembre  se avanzó en cada uno de los procesos adelantados con las familias vinculadas a Procesos Administrativos de Restablecimiento de derechos (PARD), en la implementación de estrategias de intervención y acompañamiento que permiten la creación de entornos protectores y seguros, el fortalecimiento de capacidades, garantizando que las niñas y los niños permanezcan en prevalencia de derechos, promoviendo el reintegro a su medio familiar y el no reingreso a los sistemas de protección. 
Se ha avanzado en realizar seguimiento oportuno mediante la realización de estudios de casos, con la participación del equipo técnico de la Subdirección para la familia, aportando a los planes de acción establecidos, y movilizando recursos que permitan avanzar en los procesos de restablecimiento de derechos de niñas y niños con medida de ubicación institucional, y en los planes de acción establecidos de acuerdo a la problemática asociada, propendiendo por la garantía de los derechos. 
En el periodo se dio continuidad a procesos de intervención y acompañamiento a las familias vinculadas y a las niñas y los niños en una apuesta interdisciplinar desarrollar planes de acción que permiten superar la condición de vulneración de derechos y la garantía de los mismos.  
En coherencia con los lineamientos establecidos, se garantizó el restablecimiento de los de derechos de las niñas y niños que ingresan con medida de ubicación institucional al servicio, se realizó movilización de los casos y activación de las redes familiares, sociales e institucionales de apoyo que se han requerido en cada caso particular.</t>
  </si>
  <si>
    <t xml:space="preserve">
09/12/2022 No se generan más observaciones respecto al análisis reportado para el seguimiento del indicador.</t>
  </si>
  <si>
    <t xml:space="preserve">
Durante el mes de noviembre de 2022, en los Centros Proteger se ha dado continuidad a la atención integral a niñas y niños con medida de ubicación institucional, atendiendo el 100% de niñas y niños remitidos por autoridad competente (Comisario (a) de Familia / Defensor (a) de Familia).  
Durante este mes se avanzó en cada uno de los procesos adelantados con las familias vinculadas a Procesos administrativos de Restablecimiento de derechos (PARD), en la implementación de estrategias de intervención y acompañamiento que permiten la creación de entornos protectores y seguros , el fortalecimiento de capacidades garantizando  que las niñas y los niños permanezcan en prevalencia de derechos, promoviendo el reintegro a su medio familiar y el no reingreso a los sistemas de protección. 
Se ha dado continuidad al  seguimiento oportuno de casos en los Centros Proteger , aportando a los planes de acción establecidos, y movilizando recursos que permitan avanzar en los procesos de restablecimiento de derechos de niñas y niños con medida de ubicación institucional, y en los planes de acción establecidos de acuerdo a la problemática asociada, propendiendo por la garantía de los derechos. 
En el periodo se dio continuidad a procesos de intervención y acompañamiento a las familias vinculadas y a las niñas y los niños en una apuesta interdisciplinar que permite el desarrollo de planes de acción que permiten superar la condición de vulneración de derechos y la garantía de los mismos.  
En coherencia con los lineamientos establecidos, se garantizó el restablecimiento de los  derechos de las niñas y niños que ingresan con medida de ubicación institucional al servicio, se realizó movilización de los casos y activación de las redes familiares, sociales e institucionales de apoyo que se han requerido en cada caso particular. 
</t>
  </si>
  <si>
    <t xml:space="preserve">
09/11/2022 No se generan más observaciones respecto al análisis reportado para el seguimiento del indicador.</t>
  </si>
  <si>
    <t xml:space="preserve">
Durante el mes de octubre de 2022, en los Centros Proteger se ha dado continuidad a la atención integral a niñas y niños con medida de ubicación institucional, atendiendo el 100% de niñas y niños remitidos por autoridad competente (Comisario (a) de Familia / Defensor (a) de Familia), atención de 224 niñas y niños, de igual forma se adelantaron 32 egresos del servicio, y 37 ingresos.  
Durante este mes se avanzó en cada uno de los procesos adelantados con las familias vinculadas a Procesos administrativos de Restablecimiento de derechos (PARD), en la implementación de estrategias de intervención y acompañamiento que permiten la creación de entornos protectores y seguros , el fortalecimiento de capacidades garantizando  que las niñas y los niños permanezcan en prevalencia de derechos, promoviendo el reintegro a su medio familiar y el no reingreso a los sistemas de protección. 
Se ha avanzado en realizar seguimiento oportuno mediante la realización de estudios de casos, con la participación del equipo técnico de la Subdirección para la familia, aportando a los planes de acción establecidos, y movilizando recursos que permitan avanzar en los procesos de restablecimiento de derechos de niñas y niños con medida de ubicación institucional, y en los planes de acción establecidos de acuerdo a la problemática asociada, propendiendo por la garantía de los derechos. 
En el periodo se dio continuidad a procesos de intervención y acompañamiento a las familias vinculadas y a las niñas y los niños en una apuesta interdisciplinar que permite el desarrollo de planes de acción que permiten superar la condición de vulneración de derechos y la garantía de los mismos.  
En coherencia con los lineamientos establecidos, se garantizó el restablecimiento de los de derechos de las niñas y niños que ingresan con medida de ubicación institucional al servicio, se realizó movilización de los casos y activación de las redes familiares, sociales e institucionales de apoyo que se han requerido en cada caso particular. 
</t>
  </si>
  <si>
    <t xml:space="preserve">
Durante el mes de septiembre de 2022, en los Centros Proteger se ha dado continuidad a la atención integral a niñas y niños con medida de ubicación institucional, atendiendo el 100% de niñas y niños remitidos por autoridad competente (Comisario (a) de Familia / Defensor (a) de Familia).  
Durante este mes se avanzó en cada uno de los procesos adelantados con las familias vinculadas a Procesos administrativos de Restablecimiento de derechos (PARD), en la implementación de estrategias de intervención y acompañamiento que permiten la creación de entornos protectores y seguros , el fortalecimiento de capacidades garantizando  que las niñas y los niños permanezcan en prevalencia de derechos, promoviendo el reintegro a su medio familiar y el no reingreso a los sistemas de protección. 
En coherencia con los lineamientos establecidos, se garantizó el restablecimiento de los de derechos de las niñas y niños que ingresan con medida de ubicación institucional al servicio, se realizó movilización de los casos y activación de las redes familiares, sociales e institucionales de apoyo que se han requerido en cada caso particular. 
En el periodo se dio continuidad a procesos de intervención y acompañamiento a las familias vinculadas y a las niñas y los niños en una apuesta interdisciplinar que permite el desarrollo de planes de acción que permiten superar la condición de vulneración de derechos y la garantía de los mismos.  
Se ha avanzado en realizar seguimiento oportuno mediante la realización de estudios de casos, con la participación del equipo técnico de la Subdirección para la familia, aportando a los planes de acción establecidos, y movilizando recursos que permitan avanzar en los procesos de restablecimiento de derechos de niñas y niños con medida de ubicación institucional, y en los planes de acción establecidos de acuerdo a la problemática asociada, propendiendo por la garantía de los derechos. </t>
  </si>
  <si>
    <t>07/07/2022 Se recomienda revisar el análisis reportado, ya que se indica que se atendieron el 100% de los niños pero no se indica el porcentaje (86,0)  de niños que se atendieron oportunamente, siendo este el objetivo del indicador.
Por otra parte, se realizaron ajustes de redacción y cambio en el avance cuantitativo reportado, por favor verificar.
Adicionalmente, se recomienda verificar la evidencia reportada, ya que se adjunta una base y no el "Informe parcial de atención a niños y niñas con corte a la fecha", de acuerdo a lo formulado.
08/07/2022 No se generan más observaciones respecto al análisis reportado para el seguimiento del indicador.</t>
  </si>
  <si>
    <t xml:space="preserve">Durante el mes de junio de 2022, en los Centros Proteger se ha dado continuidad a la atención integral a niñas y niños con medida de ubicación institucional, atendiendo el 86% de niñas y niños remitidos por autoridad competente (Comisario (a) de Familia / Defensor  (a) de Familia). En este mismo periodo, se atendieron integralmente 238 niñas y niños en los Centros Proteger, en este mismo mes, 42 niñas y niños fueron reintegrados a su medio familiar.  
En los meses de enero a junio del año 2022, de los 157 niños, se atendieron oportunamente 135, equivalente al 86 %,  en los Centros Proteger y 166 se reintegraron a su medio familiar. Lo anterior indica el avance en los procesos adelantados con las familias vinculadas a Procesos Administrativos de Restablecimiento de Derechos (PARD) avanzando en la creación de entornos protectores que garanticen que las niñas y los niños permanezcan en prevalencia de derechos y no reingresen a los sistemas de protección. En este periodo y en coherencia con los lineamientos establecidos, se garantizó el restablecimiento de los de derechos de las niñas y niños que ingresan con medida de ubicación institucional al servicio, se realizó movilización de los casos y activación de las redes familiares, sociales e institucionales de apoyo que se han requerido en cada caso particular. De igual manera, se dio continuidad a procesos de intervención y acompañamiento a las familias de acuerdo con su problemática específica con el propósito de crear y fortalecer capacidades de cuidado y protección de sus hijas e hijos, lo que permitió el reintegro de  niñas y niños a su medio familiar evidenciando el trabajo de los equipos interdisciplinarios  y el avance  los procesos corresponsables que se adelantan con las familias. </t>
  </si>
  <si>
    <r>
      <t xml:space="preserve">En los Centros Proteger se ha dado continuidad a la atención de niños,  niñas  y sus familias en el marco de la protección integral. Durante el mes de enero </t>
    </r>
    <r>
      <rPr>
        <sz val="9"/>
        <color theme="1"/>
        <rFont val="Arial"/>
        <family val="2"/>
      </rPr>
      <t>se dio continuidad a la modalidad de atención integral de niños y niñas con medida de ubicación institucional atendiendo el 100% de niños y niñas remitidos por autoridad competente. 
Durante este mes</t>
    </r>
    <r>
      <rPr>
        <sz val="9"/>
        <color theme="1"/>
        <rFont val="Arial"/>
        <family val="2"/>
      </rPr>
      <t xml:space="preserve"> se atendieron un total de 184 niñas y niños en los Centros Proteger, en coherencia con los lineamientos establecidos,  garantizando el restablecimiento de los de derechos de las niñas y niños que ingresan con medida de ubicación institucional al servicio, en una apuesta inter disciplinar se desarrollan procesos de intervención y acompañamiento con el propósito de crear y fortalecer capacidades de las familias.
Fueron reintegrados a su medio familiar un total de 7 niños y niñas lo cual muestra el trabajo de los equipos interdisciplinarios, se realizaron egresos en los 6 Centros Proteger, de igual forma se han movilizado los casos de los niños y niñas que se encuentran con medida de ubicación institucional de acuerdo con su problemática específica y se han activado las redes familiares, sociales e institucionales de apoyo que se han requerido en cada caso particular.</t>
    </r>
  </si>
  <si>
    <t xml:space="preserve">
“Durante el año 2022, se atendió por EDRAN Social con el diligenciamiento del formato de registro de población afectada (F05) un total de 576 hogares, realizando orientación e información a un total de 280 hogares, con lo cual el porcentaje de seguimiento fue de 49 %, que corresponde a un cumplimiento 62% por encima de lo programado en la meta del indicador. Aunque fue un logro el cumplimiento de la meta, el sobrecumplimiento pudo estar relacionado con:
*El empoderamiento del equipo de Gestión del Riesgo en la realización de las orientaciones.
*El seguimiento y acompañamiento realizado a los profesionales del servicio, por parte del coordinador del servicio, recordando y reportando en todas las reuniones mensuales el avance del indicador.
*La no existencia de una línea base, por ser un indicador nuevo.
*La programación inicial baja del indicador.
*Las características particulares del Servicio y de las emergencias que permitieron a los profesionales del servicio de Gestión del Riesgo realizar orientaciones a las familias, durante el año, en un porcentaje superior al programado.
Se puede evidenciar entonces el fortalecimiento en la orientación e información a los hogares atendidos con la EDRAN Social, pues para el primer trimestre se logró un 36% de cumplimiento, para el segundo trimestre se logró un 33%, para el tercer trimestre se logró un 63% de cumplimiento y para el cuarto trimestre 64%. Teniendo en cuenta la tendencia de crecimiento de los reportes trimestrales, se concluye la necesidad de ajustar la meta del indicador para el 2023”.</t>
  </si>
  <si>
    <t>11/01/2023
En el análisis anual del indicador por favor ajustar el porcentaje de seguimiento al 49% para que concuerde con los resultados acumulados obtenidos.
13/01/2023
No se generan observaciones ni sugerencias adicionales para el periodo reportado.</t>
  </si>
  <si>
    <t>Durante el mes de diciembre el cumplimiento del indicador corresponde a 71 %, dado que se atendió por EDRAN Social con el diligenciamiento del formato de registro de población afectada (F05) a 39 hogares de los cuales se orientó e informo a 28.
Durante el cuarto trimestre de 2022, se atendió por EDRAN Social con el diligenciamiento del formato de registro de población afectada (F05) un total de 184 hogares, realizando orientación e información a un total de 118 hogares, con lo cual el porcentaje de seguimiento fue de 64 %, que corresponde a un cumplimiento del 38% por encima de  la meta del indicador. Este sobrecumplimiento puede relacionar con:
• El empoderamiento del equipo de Gestión del Riesgo en la realización de las orientaciones.
• El seguimiento y acompañamiento realizado a los profesionales del servicio, por parte del coordinador, en relación con el diligenciamiento y consolidación de la información durante los meses de octubre, noviembre y diciembre.
• Las características particulares del Servicio y de las emergencias que permitieron a los profesionales del servicio de Gestión del Riesgo realizar las respectivas orientaciones a las familias, durante el trimestre. 
Debido al proceso de armonización del sistema misional de la entidad, el reporte SIRBE para el indicador de gestión a corte diciembre 2022, presentó inconsistencias en relación al número del total de hogares registrados en la modalidad de EDRAN Social, por lo cual no fue posible validar la información reportada. Por lo anterior, para el cálculo del denominador del indicador se tomó la información registrada en el formato consolidado de hogares afectados (FOR-PSS-115), en el cual el servicio de Gestión del Riesgo diligencia la información de los hogares afectados y atendidos con EDRAN Social.</t>
  </si>
  <si>
    <t>09/12/2022 No se generan observaciones respecto al análisis y evidencias  reportadas para el seguimiento del indicador.</t>
  </si>
  <si>
    <t>Para el mes de noviembre se brinda orientación e información de diferentes servicios sociales internos y externos a la Secretaría Distrital de Integración Social (SDIS) a 66 hogares afectados por emergencias de origen natural o antrópico, para los cuales se realizó la evaluación de daños, riesgo asociado y análisis de necesidades en el ámbito social - EDRAN Social, con el diligenciamiento del formato Registro de población afectada (F05). 
Se puede observar que el equipo de Gestión del Riesgo ha ido incrementando el número de orientaciones e informaciones a la comunidad afectada con respecto a la población atendida durante el período reportado.
Teniendo en cuenta la tendencia que ha presentado el indicador en los últimos reportes de orientación e información a familias afectadas por emergencias de origen natural o antrópico, para las cuales se realizó EDRAN Social; en este trimestre se analizará y evaluará qué medidas se tomarán con respecto al indicador para la vigencia 2023.</t>
  </si>
  <si>
    <t>09/11/2022 No se generan observaciones respecto al análisis y evidencias  reportadas para el seguimiento del indicador.</t>
  </si>
  <si>
    <t xml:space="preserve">Para el mes de octubre se brinda orientación e información de diferentes servicios sociales internos y externos a la Secretaría Distrital de Integración Social (SDIS) a 24 familias afectadas por emergencias de origen natural o antrópico, para las cuales se realizó la evaluación de daños, riesgo asociado y análisis de necesidades en el ámbito social - EDRAN Social, con el diligenciamiento del formato Registro de población afectada (F05). 
Se puede observar que el equipo de Gestión del Riesgo ha ido incrementando porcentualmente el desarrollo del proceso, orientando e informando a la comunidad afectada en el período reportado.
Como parte del fortalecimiento del proceso de orientación e información durante este mes, nuevamente se realizó reunión con el equipo del servicio para dar instrucciones e  información necesaria para el reporte del indicador.
Teniendo en cuenta la tendencia que presentado el indicador en los últimos reportes de orientación e información a familias afectadas por emergencias de origen natural o antrópico, para las cuales se realizó EDRAN Social; en este trimestre se analizará y evaluará qué medidas se tomaran con respecto al indicador para la vigencia 2023.
</t>
  </si>
  <si>
    <t xml:space="preserve">Para el mes de abril se realizó orientación a diferentes servicios sociales internos y externos a la Secretaría Distrital de Integración Social (SDIS) a 21 familias afectadas por emergencias de origen natural o antrópico, para las cuales se realizó la Evaluación de daños, riesgo asociado y análisis de necesidades en el ámbito social - EDRAN Social, con el diligenciamiento del formato de registro de población afectada (F05). 
Dado que es el tercer mes que está en funcionamiento el indicador, el equipo de Gestión del Riesgo se va adaptando al proceso, orientando e informando a la comunidad afectada, tanto para los servicios que ofrece la SDIS, como para los ofertados por otras entidades del Sistema Distrital para la Gestión de Riesgos y Cambio Climático o gestiones necesarias ante ellos.
Con respecto a la sobre-ejecución que se presento en el primer trimestre es importante señalar que el Servicio de Gestión del Riesgo no cuenta con una línea base asociada a este indicador, de manera que la medida que se tomará para ajustar la meta será las siguiente: se hará seguimiento al número familias orientadas con relación al número de familias atendidas con EDRAN Social con registro de población afectada (F05) para identificar la tendencia que se presente en el indicador y una vez se cuente con el Reporte Trimestral SIRBE de EDRAN Social con registro de población afectada (F05.) se evaluara el ajuste de la meta de acuerdo con la tendencia. </t>
  </si>
  <si>
    <r>
      <t>Para el año 2022 se tiene como resultado del proceso, que 9659</t>
    </r>
    <r>
      <rPr>
        <sz val="9"/>
        <color rgb="FFFF0000"/>
        <rFont val="Arial"/>
        <family val="2"/>
      </rPr>
      <t xml:space="preserve"> </t>
    </r>
    <r>
      <rPr>
        <sz val="9"/>
        <color theme="1"/>
        <rFont val="Arial"/>
        <family val="2"/>
      </rPr>
      <t xml:space="preserve">personas fueran referenciadas a los diferentes servicios de la Secretaría y a otros servicios de entidades públicas o privadas del Distrito Capital, de las cuales las localidades con más personas referenciadas fueron Kennedy con 1.167, seguida de San Cristóbal con 971 y Ciudad Bolívar con 920; las entidades a las que se realizaron mayor cantidad de referenciaciones fueron: la secretaría Distrital de Integración Social (SDIS) con 5,036 seguido de la  Secretaría Distrital de Salud con 905 y la  Secretaría Distrital de Desarrollo Económico con 780;  los servicios a los que más se referenció fueron  Nutrición_ Alimentaria con 3.254 seguido de Generación de ingresos con 1.413, además los beneficios a los que más se referencia son el Comedores Locales con un total de 2.340, seguido de Atención Especializada en salud, con un total de 977; en cuanto a la población que más se atendió son las mujeres  con un total de 6,735”.
De acuerdo con el comportamiento del indicador durante la vigencia, se define que este debe mantenerse para lograr el cumplimiento de la meta”.
</t>
    </r>
  </si>
  <si>
    <t>11/01/2023
El número de personas atendidas en emergencia social, referenciadas a los servicios sociales en el periodo de acuerdo con la evidencia sería de 2373 y no 2343, por favor verificar y ajustar lo pertinente.
Verificar y ajustar el análisis anual del indicador, ya que el resultado acumulado del número de personas atendidas en emergencia referenciadas a servicios sociales para 2022 es de 9629 y en el análisis se menciona un total de 8893.
13/01/2023
No se generan observaciones ni sugerencias adicionales para el periodo reportado.</t>
  </si>
  <si>
    <t>“Durante el mes de diciembre, se da continuidad al proceso de referenciación a la ciudadanía atendida a través de diferentes servicios de la Secretaría y a otros servicios de entidades públicas o privadas del Distrito Capital o del nivel nacional, según sus necesidades y siguiendo con lo establecido en el procedimiento Orientación, Información y Referenciación (PCD-PSS-006) de la entidad. En el mes de diciembre se realizaron 879 referenciaciones a personas evidenciándose un incremento de estas con respecto al mes de noviembre.
Para el trimestre octubre, noviembre y diciembre, se referenciaron a los diferentes servicios sociales internos y externos a 2,373 personas, de un total de 3,857 personas atendidas en el servicio de Respuesta Social en dicho periodo, logrando así un cumplimiento del 61% que está relacionado tanto con el empoderamiento del equipo humano en las unidades operativas en la realización del procedimiento Orientación, Información y Referenciación (PCD-PSS-006), como con el seguimiento y acompañamiento realizado a los profesionales del servicio, por parte del equipo coordinador”.</t>
  </si>
  <si>
    <t>Durante el mes de noviembre, continuando con el proceso de referenciación de población a los servicios de la secretaria Distrital de Integración Social (SDIS) y a otros servicios de entidades tanto del sector público como del privado, se hizo el registro respectivo en el formato de “Seguimiento a la referenciación de población (FOR-PSS-086)" de acuerdo con lo establecido en el procedimiento Orientación, información y referenciación (PCD-PSS-006) de la entidad.
En el desarrollo del proceso de referenciación  del mes de noviembre se ha evidenciado una disminución  en la cantidad de personas referenciadas con relación al mes de octubre, lo cual está asociado también a la disminución de personas atendidas en el servicio. Cabe anotar que el servicio atiende a demanda y según los beneficios disponibles.</t>
  </si>
  <si>
    <t>En el mes de octubre, continuando con el proceso de referenciación de población a los servicios de la Secretaria Distrital de Integración Social (SDIS) y a otros servicios de entidades tanto del sector público como del privado, se hizo el registro respectivo en el formato de “Seguimiento a la referenciación de población (FOR-PSS-086)" de acuerdo con lo establecido en el procedimiento Orientación, información y referenciación (PCD-PSS-006) de la entidad.
Para el mes de octubre, en el desarrollo del proceso de referenciación, se ha evidenciado un aumento en la cantidad de personas referenciadas con relación al mes de septiembre, lo cual esta relacionado con:
• El empoderamiento del equipo humano en las unidades operativas en la realización del procedimiento Orientación, Información y Referenciación (PCD-PSS-006).
• El seguimiento y acompañamiento realizado a los profesionales del servicio, por parte del equipo coordinador.</t>
  </si>
  <si>
    <t>Durante el mes de septiembre se da continuidad el proceso de referenciación a las y los ciudadanos a los diferentes servicios de la Secretaría y a otros servicios de entidades públicas o privadas del Distrito Capital o del nivel nacional según sus necesidades y siguiendo con lo establecido en el procedimiento Orientación, Información y Referenciación (PCD-PSS-006) de la entidad. En el mes de septiembre se realizaron 667 referenciaciones a personas evidenciándose una ligera reducción de estas con respecto al mes de agosto. 
Para el trimestre julio, agosto, septiembre se referenciaron a los diferentes servicios sociales internos y externos a 1673 personas, de un total de 2455 personas atendidas en el servicio de Respuesta Social en el mismo periodo, logrando así un cumplimiento del 68% que corresponde a un cumplimiento del 14% por encima de lo programado en la meta del indicador. Este sobrecumplimiento está relacionado con:
• El empoderamiento del equipo humano en las unidades operativas en la realización del procedimiento Orientación, Información y Referenciación (PCD-PSS-006).
• El seguimiento y acompañamiento realizado a los profesionales del servicio, por parte del equipo coordinador.
Teniendo en cuenta que mediante circular SG 029 del 26 de septiembre del 2022 se actualizo la meta de este indicador durante el cuarto trimestre se evaluara el comportamiento de este frente al ajuste a la meta propuesta.</t>
  </si>
  <si>
    <t>En el mes de agosto, continuando con  el proceso de referenciación de población a los servicios de la Secretaria Distrital de Integración Social (SDIS) y a otros servicios de entidades tanto del sector público como del privado, se hizo el registro respectivo en el formato de “Seguimiento a la referenciación de población (FOR-PSS-086)" de acuerdo con lo establecido en el procedimiento Orientación, información y referenciación (PCD-PSS-006) de la entidad.
Para el mes de agosto, en el desarrollo del proceso de referenciación, se ha evidenciado un aumento en la cantidad de personas referenciadas con relación al mes de julio, lo cual está asociado también al aumento de personas atendidas en el servicio. Cabe anotar que el servicio atiende a demanda y según los beneficios disponibles y de personal para realizar dichas atenciones; para el mes de agosto se presentó un aumento en la disponibilidad de beneficios y debido a la contratación de personal asociado a la prestación del servicio se aumentó la capacidad operativa en algunas localidades. Teniendo en cuenta que el indicador ha presentado sobrecumplimiento en los dos primeros trimestres de la vigencia 2022, en este mes se ha tramitado la actualización del mismo y esta se hará efectiva a partir del mes de septiembre de 2022.</t>
  </si>
  <si>
    <r>
      <t xml:space="preserve">En el mes de abril se continúa el proceso de referenciación de la población a los servicios de la Secretaria Distrital de Integración Social (SDIS) y a otros servicios de entidades tanto del sector público como del privado, lo que es registrado en el  formato de “Seguimiento a la referenciación de población (FOR-PSS-086)" de acuerdo con lo establecido en el procedimiento Orientación, Información y Referenciación (PCD-PSS-006) de la entidad.
En el desarrollo del proceso de referenciación, durante el mes en curso, se ha evidenciado un aumento en la cantidad de las mismas con respecto al mes de marzo. Se espera continuar fortaleciendo la referenciación de la población que se atiende desde el servicio de Respuesta Social. 
</t>
    </r>
    <r>
      <rPr>
        <sz val="9"/>
        <rFont val="Arial"/>
        <family val="2"/>
      </rPr>
      <t xml:space="preserve">
Con respecto a la sobre-ejecución que se presento en el primer trimestre es importante señalar que el Servicio de Respuesta Social se encuentra a la espera de los resultados del cargue de información extemporánea, esta información se requiere para evaluar la tendencia que tomara el indicador, una vez se cuente con esta el servicio considerara la necesidad de ajustar a la meta a la tendencia que se presente al finalizar el segundo trimestre. </t>
    </r>
  </si>
  <si>
    <t>La medición final del indicador se realiza teniendo en cuenta el reporte de participación en acciones IEC en las modalidades de atención con apoyo alimentario, a cargo de la Dirección de Nutrición y Abastecimiento: bonos canjeables por alimentos del proyecto 7745, comedores comunitarios - cocinas populares y canastas alimentarias (afro, rural e indígena). En 2022 se reporta la participación en acciones de IEC para PHEVS de un total de 19.322 personas únicas beneficiarias de estos apoyos alimentarios, llegando a un total de 45.859 personas únicas en lo corrido del cuatrienio (2020-2022). Es pertinente aclarar que una persona puede participar en varias de las acciones IEC convocadas a lo largo del año, pero para efectos del reporte, solo se cuenta una vez.
Se va a derogar el indicador para la vigencia 2023.</t>
  </si>
  <si>
    <t>16/01/2023 Se tiene las siguientes observaciones respecto al análisis presentado en el seguimiento al indicador de gestión:
1. El valor registrado en lo ejecutado (celda BX14) debemos tener en cuenta que las decimales están separadas por una coma y debe ser con punto, igual que el valor registrado en lo programado (celda BY14). Así poder hacer la división respectiva en el resultado (celda BZ14).
2. El valor registrado en los ejecutado (45.859 participantes únicos) este valor creería que es la suma de último trimestre, ósea lo reportado cualitativamente en el mes de octubre, noviembre y diciembre. Si es así, la suma de los valores reportados en estos meses no coincide.
3. Frente a la evidencia compartida para este indicador no cuenta con la información registrada en lo ejecutado. En la(s) evidencia(s) debe ser legible la suma de lo que están registrando en lo ejecutado.
4. No se hizo el análisis anual.
20/01/2023 No se generan observaciones y/o recomendaciones respecto al análisis presentado en el seguimiento al indicador de gestión.</t>
  </si>
  <si>
    <t>Durante el mes de diciembre se realizaron actividades desarrolladas con 5.142 personas que participaron en las acciones de IEC para PHEVS de los servicios de apoyo alimentario del Proyecto 7745.Se aclara que en el mes de noviembre no se contó con información validada de cruce SIRBE por efectos de la armonización del sistema. En este sentido, la información validada a cierre de vigencia fue la siguiente: octubre 6.172 personas, noviembre 1.236 personas y diciembre 5.142, para un total acumulado del trimestre de 12.550 participantes en acciones IEC. Para 2022, se tiene reporte valido de participación de un total de 19.322 personas y un acumulado de 45.859 personas únicas en lo corrido del cuatrienio (2020-2022).
Se encuentra en proceso la transición del reporte de acciones para la promoción de estilos de vida saludable: se realizó la articulación para la activación de digitadores para el reporte de datos a través de la plataforma SIRBE. Se gestiona con la Subdirección de Diseño, Evaluación y Sistematización para generar un proceso conjunto que permita asociar los cursos de promoción de estilos de vida saludable al perfil de digitadores SIRBE de manera masiva.
Continua en revisión la formulación del indicador pues se realizará ajuste en su magnitud de la meta y adicionalmente, se identifican inconsistencias en la fuente de los datos tomados para la aplicación de la formula, en los meses anteriores.</t>
  </si>
  <si>
    <t>12/12/2022 No se generan observaciones respecto al análisis presentado en el seguimiento al indicador de gestión. Se deja la siguiente recomendación: se debe adelantar todas las acciones pertinentes para dar cumplimiento a la meta propuesta en el siguiente trimestre, teniendo en cuenta que su cumplimiento se encuentra en deficiencia con un porcentaje del (53%), con respecto a la meta propuesta para la vigencia.</t>
  </si>
  <si>
    <t>Durante el mes de noviembre se realizaron actividades desarrolladas con 15.607 personas que participaron en las acciones de IEC para PHEVS de los servicios de apoyo alimentario del Proyecto 7745, debido al proceso de tránsito del reporte de las acciones de PEVS a través del SIRBE, durante los meses de noviembre y diciembre el reporte a la meta 8 se realizará de forma únicamente cualitativa, por lo tanto este reporte no suma a la meta.
Se encuentra en proceso la transición del reporte de acciones para la promoción de estilos de vida saludable: se realizó la articulación para la activación de digitadores para el reporte de datos a través de la plataforma SIRBE. Se gestiona con la Subdirección de Diseño, Evaluación y Sistematización para generar un proceso conjunto que permita asociar los cursos de promoción de estilos de vida saludable al perfil de digitadores SIRBE de manera masiva.
Continua en revisión la formulación del indicador debido a que se identifican  inconsistencias en la fuente de los datos tomados para la aplicación de la formula por lo tanto no se realizará nuevo registro cuantitativo del indicador hasta no lograr la reformulación o unificación de las fuentes de los datos.</t>
  </si>
  <si>
    <t>21/11/2022 Se tiene la siguiente observación frente al reporte del indicador de gestión: se debe hacer reporte cualitativo mes a mes o la justificación del porque no se hace reporte.
24/11/2022 luego de no recibir los ajustes solicitados se deja la siguiente observación: no se reporto análisis del seguimiento al indicador y con respecto al cumplimiento a la meta se encuentra el indicador en deficiencia con un porcentaje del (53%). Se recomienda que se adelanten todas las acciones respectivas para dar cumplimiento a la meta propuesta.</t>
  </si>
  <si>
    <t>Durante el mes de octubre se reportaron actividades desarrolladas con 14.103 personas que participaron en las acciones de IEC para PHEVS de los servicios de apoyo alimentario del Proyecto 7745, de las cuales fueron validadas por DADE 6.172 personas únicas en el cuatrienio, evidenciando un aumento significativo en la ejecución de dichas acciones debido a los cambios en el proceso de contratación con comedores comunitarios. Nota: Debido a la solicitud realizada el por la Subdirección de Nutrición a la DADE, de revisión de los datos validados para el reporte de la meta 8 se observaron diferencias entre los datos que habían sido reportados en 2020, 2021 y lo corrido del 2022. Al generar un nuevo procesamiento de la información de acuerdo con criterios fijados se estableció que la base debería tener personas con su primera actuación en el cuatrienio. Por lo anterior, el profesional de la DADE aclara que la información se estaba reportando de acuerdo con la última actuación de la persona en el cuatrienio, por lo que en este caso los datos variarían de manera permanente cada vez que se procesen lo que generaría inconsistencias en el reporte de la meta, por ello es necesario continuar con el mismo proceso de validación con la primera actuación en cuatrienio.
Continua en revisión la formulación del indicador debido a que se identifican inconsistencias en la fuente de los datos tomados para la aplicación de la formula por lo tanto no se realizará nuevo registro cuantitativo del indicador hasta no lograr la reformulación o unificación de las fuentes de los datos.</t>
  </si>
  <si>
    <t>20/10/2022 Se genera las siguientes recomendaciones: por favor adelantar todas las acciones pertinentes para dar cumplimiento a la meta propuesta de la vigencia y frente a la actualización del indicador se debe gestionar con el equipo del SG de la SDES lo pertinente para su actualización, para la siguiente vigencia.</t>
  </si>
  <si>
    <t>Una vez, realizada la validación de personas únicas atendidas por parte de la Dirección de Diseño y Análisis de los 2613 datos se determinó que el número de personas únicas que se aportan a la medición de la meta es de 590, es decir el avance de meta es 7.941. 
Nota: Se presenta dificultad en el proceso de transición del medio de reporte de las acciones para la promoción de estilos de vida saludable realizadas en los servicios sociales que brindan apoyo alimentario. Estas acciones actualmente son registradas en el Formato Base de consolidación mensual de promoción en estilos de vida saludable FOR-PSS-298), y se está realizando la articulación para que el registro se realice directamente a través del SIRBE. Se encuentra en revisión la formulación del indicador debido a que se identifican inconsistencias en la fuente de los datos tomados para la aplicación de la formula por lo tanto no se realizará nuevo registro cuantitativo del indicador hasta no lograr la reformulación o unificación de las fuentes de los datos.</t>
  </si>
  <si>
    <t>Se registraron 141229 datos de registros de peso y talla de participantes en atención de los servicios sociales y apoyos alimentarios entre el 1 de enero hasta el 30 de diciembre de 2022. Cabe resaltar que a corte de diciembre se han venido realizando los ajustes correspondientes a las Mediciones fuera rango, motivo por el cual el cierre de medicines fuera de rango acumuladas para el año es menor.
Se va a derogar el indicador para la vigencia 2023.</t>
  </si>
  <si>
    <t>16/01/2023 No se generan observaciones y/o recomendaciones respecto al análisis presentado en el seguimiento al indicador de gestión.</t>
  </si>
  <si>
    <t>La información presentada corresponde a las bases de datos de los participantes en atención en los servicios sociales y apoyos alimentarios a partir de enero hasta diciembre del 2022. Se registraron 141229 datos de registros de peso y talla de participantes en atención de los servicios sociales y apoyos alimentarios entre el 1 de enero hasta el 30 de diciembre de 2022. De estos, se clasificaron 140531 datos de acuerdo a indicadores del estado nutricional, lo que equivale al 99,5% de los datos registrados para el acumulado del año 2022. Cabe resaltar que a corte de diciembre se han venido realizando los ajustes correspondientes a las Mediciones fuera rango, motivo por el cual el cierre de medicines fuera de rango acumuladas para el año es menor.</t>
  </si>
  <si>
    <t>12/12/2022 No se generan observaciones respecto al análisis presentado en el seguimiento al indicador de gestión. Se deja la siguiente recomendación: se debe adelantar todas las acciones pertinentes para dar cumplimiento a la meta propuesta en el siguiente trimestre.</t>
  </si>
  <si>
    <t>La información presentada corresponde a las bases de datos de los participantes en atención en los servicios sociales y apoyos alimentarios a partir de enero hasta noviembre del 2022. Se registraron 134102 datos de registros de peso y talla de participantes en atención de los servicios sociales y apoyos alimentarios entre el 1 de enero hasta el 30 de octubre de 2022. De estos, se clasificaron 133073 datos de acuerdo a indicadores del estado nutricional, lo que equivale al 99,2% de los datos registrados en el periodo.</t>
  </si>
  <si>
    <t>21/11/2022 No se generan observaciones respecto al análisis presentado en el seguimiento al indicador de gestión. Se deja la siguiente recomendación: se debe adelantar todas las acciones pertinentes para dar cumplimiento a la meta propuesta en el siguiente trimestre.</t>
  </si>
  <si>
    <t>La información presentada corresponde a las bases de datos de los participantes en atención en los servicios sociales y apoyos alimentarios a partir de enero hasta octubre del 2022, se registraron 127.137 datos de registros de peso y talla de participantes en atención de los servicios sociales y apoyos alimentarios entre el 1 de enero hasta el 30 de octubre de 2022. De estos, se clasificaron 126.123 datos de acuerdo a indicadores del estado nutricional, lo que equivale al 99,2% de los datos registrados en el periodo.</t>
  </si>
  <si>
    <t xml:space="preserve">En 2022, el indicador presentó resultado sobresaliente teniendo en cuenta que el porcentaje de cumplimiento del indicador respecto a la meta es del 100%, tendencia creciente, y, comportamiento caracterizado por registrar en septiembre, octubre y noviembre los porcentajes de ejecución más elevados, es decir, el mayor número de jardines infantiles privados inscritos en el Sistema de Información y Registro de Servicios Sociales asesorados técnicamente, que no habían asistido antes a las asesorías brindadas por el equipo de fortalecimiento técnico de la Subdirección para la Infancia. 
Así mismo, se precisa que durante la vigencia se lograron desarrollar tres encuentros con las asociaciones que reúnen a representantes legales o coordinadoras de jardines infantiles privados en los que se presentó el plan de fortalecimiento técnico, este ejercicio posibilitó un mayor acercamiento y divulgación de las acciones propuestas para satisfacer las necesidades y los intereses de los jardines infantiles privados.
Adicionalmente, a partir de la mencionada socialización se lograron ofertar dos ciclos de asesoría técnica, donde se abordaron: el arte de abrazar y cuidar la infancia y sus sueños, el saber pedagógico y su incidencia en la educación inicial, ambientes adecuados y seguros, nutrición y salubridad, talento humano y proceso administrativo. 
Además, se logró transformar la asesorías técnicas especializadas a partir de la proyección de un proceso por cada componente de atención, lo cual cambio las expectativas del sector privado en los espacios de fortalecimiento técnico, que posibilitaron la construcción desde las experiencias de cada escenario en la atención a la primera infancia, así como, articular acciones desde la integralidad, la relación de los estándares de los diferentes componentes, y, la forma en que estas percepciones permiten visualizar otras concepciones entorno a la educación inicial, que resultan ser la línea base para plantear estrategias de abordaje territorial que se focalizan en contenidos asociados a las condiciones de calidad y consolidan el servicio partiendo de su sentido, sus objetivos y principios. 
Se precisa, que para la vigencia 2023 se proyecta mantener el indicador de gestión. </t>
  </si>
  <si>
    <t>16/01/2023
No se generan observaciones o recomendaciones respecto al análisis presentado en el seguimiento al indicador de gestión.</t>
  </si>
  <si>
    <t xml:space="preserve">Según lo definido en el ítem “descripción del método de cálculo” se efectúa seguimiento al indicador de febrero a noviembre, teniendo en cuenta que los jardines infantiles privados inician atención en febrero y finalizan en noviembre. No obstante, se precisa que en diciembre se propiciaron espacios de evaluación de las acciones de acompañamiento técnico desarrolladas durante la vigencia, en los cuales participaron algunos jardines infantiles privados, y, considerando que para la Entidad es imprescindible proyectar acciones que respondan a las realidades de dicho servicio, el espacio se generará nuevamente a finales de enero de 2023.    </t>
  </si>
  <si>
    <t>09/12/2022
No se generan observaciones o recomendaciones respecto al análisis presentado en el seguimiento al indicador de gestión.</t>
  </si>
  <si>
    <t>Nota: el presente mes se mantienen los valores del anterior, teniendo en cuenta que a la fecha se encuentran en trámite los procesos de armonización de los planes de desarrollo y del sistema de información misional -SIRBE-, de los cuales depende la consolidación de las cifras del reporte mensual.
En noviembre, jardines infantiles privados inscritos en el Sistema de Información y Registro de Servicios Sociales participaron en las asesorías técnicas programadas. Se precisa que el equipo fortalecimiento técnico desarrolló dos ciclos de asesoría: uno, con contenidos del componente nutrición y salubridad; y otro abordando temáticas del área de corresponsabilidad de agentes educativos denominado “Ciclo de protección integral: escenarios protectores de las niñas y los niños”. Por lo anterior, se dio continuidad a las jornadas programadas para generar la comprensión de los componentes en su totalidad y no de manera fragmentada, proponiendo conexión de lo establecido en los requisitos y lo dispuesto en las orientaciones técnicas para lograr concreción en la práctica de acciones coherentes y oportunas que posibiliten escenarios físicos adecuados, con equipos de trabajo cuya idoneidad se fundamente en la comprensión e interpretación diaria de las niñas y los niños y las formas de aportar al potenciamiento de su desarrollo.</t>
  </si>
  <si>
    <t>10/11/2022
No se generan observaciones o recomendaciones respecto al análisis presentado en el seguimiento al indicador de gestión.</t>
  </si>
  <si>
    <t>Con corte a octubre, un total de 333 jardines infantiles privados inscritos en el Sistema de Información y Registro de Servicios Sociales participaron en las asesorías técnicas programadas, lo cual equivale a un resultado del 25%, valor que corresponde a lo definido meta del indicador.
En el mes del reporte, el equipo de fortalecimiento técnico desarrolló dos ciclos de asesoría; uno, con contenidos del componente ambientes adecuados y seguros, y otro con contenido del componente talento humano; dando continuidad a las jornadas programadas para generar la comprensión de los componentes en su totalidad y no de manera fragmentada, proponiendo la conexión de lo establecido en los requisitos y lo dispuesto en las orientaciones técnicas para lograr la concreción en la práctica de acciones coherentes y oportunas que posibiliten escenarios físicos adecuados con equipos de trabajo cuya idoneidad se fundamente en la comprensión e interpretación diaria de las niñas y los niños.</t>
  </si>
  <si>
    <t>El resultado del indicador para la vigencia es sobresaliente, dado que el porcentaje de cumplimiento del indicador con respecto a la meta es del 100%. Este resultado obedece a que durante la vigencia 2022, se logró asesorar, acompañar y cualificar de forma presencial y virtual a las 382 salas amigas de la familia lactante -SAFL- (297 SAFL institucionales, 66 SAFL laborales y 19 SAFL comunitarias). Se continuó la generación de habilidades desde lo tecnológico para que el equipo lactancia materna avanzará en los acompañamientos desde plataformas virtuales sincrónicas, presenciales y plataforma Moodle.
Adicionalmente, se logró realizar 62 evaluaciones externas al cumplimiento de los pasos para implementar la estrategia Salas Amigas de la Familia Lactante en los entornos de vida: institucional, laboral y comunitario, las cuales pasaron la evaluación y en consecuencia se les otorgó reconocimiento.
Además, se logró realizar la ceremonia de reconocimiento de las Salas Amigas de la Familia Lactante el 29 de noviembre de 2022 en la Biblioteca Virgilio Barco; para lo cual se desarrollaron actividades fundamentas en el enfoque de género, enfoque intercultural y diverso, a través de la muestra de diversas formas de lactancia que permitió sensibilizar a las y los participantes en la promoción de la adecuada práctica de la lactancia materna.
Se proyecta mantener el indicador para la vigencia 2023, dada la responsabilidad de la Entidad en el cumplimiento del Acuerdo 480 de 2011 que dispone “la implementación progresiva de las Salas Amigas de la Familia Lactante en el ámbito laboral de las entidades del Distrito Capital, las cuales serán apoyadas logística y técnicamente por la Secretaría Distrital de Integración Social quien las acreditará”, el Acuerdo 722 de 2018 “Por el cual se establecen estrategias para la promoción, fomento y apoyo a la cultura de la lactancia materna y se apoyan los bancos de leche humana en el D.C” y la Resolución 2423 de 2018 “Por la cual se establecen los parámetros técnicos para la operación de la estrategia Salas Amigas de la Familia Lactante del Entorno Laboral”.</t>
  </si>
  <si>
    <t>Con corte a diciembre, se otorgó reconocimiento a 62 salas amigas de la familia lactante (54 institucionales, 6 laborales y 2 comunitarias) en el Distrito, en la ceremonia realizada el 29 de noviembre en la Biblioteca Virgilio Barco. Lo anterior, equivale a un resultado del indicador de 100%, en razón al trabajo contante del equipo lactancia materna de la Subdirección para la Infancia en el desarrollo de asesorías técnicas, acompañamiento, procesos de cualificación y evaluación, así como, la participación comprometida de las y los responsables de las salas amigas de la familia lactante en los entornos institucional, laboral y comunitario. 
Adicionalmente, en diciembre, el equipo lactancia materna continuó el desarrollo virtual y presencial de las acciones que se enuncian a continuación:
• Jornada virtual y presencial de cualificación en lactancia materna y alimentación infantil saludable con el talento humano (profesionales psicosociales, salud, educación a primera infancia, técnicos en educación a primera infancia, entre otros) de entidades laborales, jardines infantiles de la SDIS y jardines infantiles privados.
• Acompañamiento telefónico a unidades operativas que atienden niñas y niños de primera infancia en entornos de vida cotidiana.
• Registro de información de acompañamientos telefónicos realizados por localidad en las bases de datos del equipo.
• Participación en espacios intersectoriales con la generación de aportes técnicos.
•Se remitió a la Dirección de Análisis y Diseño Estratégico el lineamiento Lactancia materna y sus documentos asociados para trámite de oficialización y publicación, previa revisión de las profesionales del equipo sistema de gestión de la Subdirección para la Infancia y el gestor del sistema de gestión de la Dirección Territorial, líder del proceso prestación de servicios sociales para la inclusión social al que pertenece la dependencia.</t>
  </si>
  <si>
    <t>En noviembre, el equipo lactancia materna continuó el desarrollo virtual y presencial de las acciones que se enuncian a continuación:
• Jornadas virtuales y presenciales de cualificación en lactancia materna y alimentación infantil saludable con el talento humano (profesionales psicosociales, salud, educación a primera infancia, técnicos en educación a primera infancia, entre otros) de entidades laborales, jardines infantiles de la SDIS y jardines infantiles privados.
• Acompañamiento telefónico a unidades operativas que atienden niñas y niños de primera infancia en entornos de vida cotidiana.
• Solución virtual y presencial de inquietudes generadas en familias usuarias de las salas amigas de la familia lactante en relación con la práctica de la lactancia materna.
• Registro de información de acompañamientos telefónicos realizados por localidad en las bases de datos del equipo.
• Participación en espacios intersectoriales con la generación de aportes técnicos.
•Se remitió a la Dirección de Análisis y Diseño Estratégico el lineamiento Lactancia materna y sus documentos asociados para trámite de oficialización y publicación, previa revisión de las profesionales del equipo sistema de gestión de la Subdirección para la Infancia.
• Se realizaron las evaluaciones externas de las Salas Amigas de la Familia Lactante que cumplieron los pasos definidos para otorgar el reconocimiento y la actualización del reconocimiento, logrando reconocer a 62 Salas Amigas de la Familia Lactante (54 institucionales, 6 laborales y 2 comunitarias) en la ceremonia realizada el 29 de noviembre de 2022 en la Biblioteca Virgilio Barco.</t>
  </si>
  <si>
    <t>10/11/2022
Se recomienda avanzar en el número de unidades operativas que completan un ciclo de cualificación, pues es el tercer mes consecutivo en el cual no se presentan avances en las unidades cualificadas. 
Por lo demás, no se generan observaciones o recomendaciones respecto al análisis presentado en el seguimiento al indicador de gestión.</t>
  </si>
  <si>
    <t>En octubre, el equipo lactancia materna continuó el desarrollo virtual y presencial de las acciones que se enuncian a continuación:
• Jornadas virtuales y presenciales de cualificación en lactancia materna y alimentación infantil saludable con el talento humano (profesionales psicosociales, salud, educación a primera infancia, técnicos en educación a primera infancia, entre otros) de entidades laborales, jardines infantiles de la SDIS y jardines infantiles privados.
• Acompañamiento telefónico a unidades operativas que atienden niñas y niños de primera infancia en entornos de vida cotidiana.
• Solución virtual y presencial de inquietudes generadas en familias usuarias de las salas amigas de la familia lactante en relación con la práctica de la lactancia materna.
• Registro de información de acompañamientos telefónicos realizados por localidad en las bases de datos del equipo.
• Participación en espacios intersectoriales con la generación de aportes técnicos.
• A la fecha se han generado 26 piezas comunicativas desde el equipo de lactancia, con el propósito de promover la defensa y protección de la adecuada práctica de la lactancia, cuyo objetivo fue informar, educar y dar a conocer eventos relevantes. Las piezas comunicativas se socializaron en sitios web, redes sociales, Comités locales y distritales de lactancia y seguridad alimentaria y en el Comité Ruta Integral de Atenciones a Primera Infancia -RIA. Dieciocho piezas fueron diseñadas desde nivel central y ocho desde las Subdirecciones Locales: Bosa, Chapinero, Ciudad Bolívar, Fontibón, Fontibón, Usaquén y San Cristóbal.  Las piezas abordaron el Conversatorio lactancia materna “un momento para toda la vida”; “III Congreso de la lactancia materna y Sexualidad 2022”; “Movilización Social Semana Mundial de la Lactancia Materna”; “Encuentro Tejiendo y Lactando Vida en Ciudad Bolívar”; “Conformación de Grupos de apoyo a la Lactancia Materna- comunitario”; “Encuentro ancestral en lactancia materna; importancia del lema en la Semana Mundial de la Lactancia Materna”; “Riesgos de la alimentación artificial - ABC de la SAFL”; y “Extracción, conservación, transporte de leche humana”.
•Se remitió a la Dirección de Análisis y Diseño Estratégico el lineamiento Lactancia materna y sus documentos asociados para trámite de oficialización y publicación, previa revisión de las profesionales del equipo sistema de gestión de la Subdirección para la Infancia.
• Se acompañó a las salas amigas de la familia lactante de entornos de vida cotidiana, laboral, comunitario e institucional.
• Se avanzó en el proceso progresivo de contratación de las profesionales del equipo lactancia materna.
• Se iniciaron las evaluaciones externas de las Salas Amigas de la Familia Lactante que cumplieron los pasos definidos para otorgar el reconocimiento y la renovación del reconocimiento.</t>
  </si>
  <si>
    <t>En septiembre, el equipo lactancia materna continuó el desarrollo virtual y presencial de las acciones que se enuncian a continuación:
• Jornadas virtuales y presenciales de cualificación en lactancia materna y alimentación infantil saludable con el talento humano (profesionales psicosociales, salud, educación a primera infancia, técnicos en educación a primera infancia, entre otros) de entidades laborales, jardines infantiles de la SDIS y jardines infantiles privados.
• Acompañamiento telefónico a unidades operativas que atienden niñas y niños de primera infancia en entornos de vida cotidiana.
• Solución virtual y presencial de inquietudes generadas en familias usuarias de las salas amigas de la familia lactante en relación con la práctica de la lactancia materna.
• Consejerías telefónicas en lactancia materna y alimentación infantil saludable a familias usuarias de salas amigas de la familia lactante.
• Registro de información de acompañamientos telefónicos realizados por localidad en las bases de datos del equipo.
• Participación en espacios intersectoriales con la generación de aportes técnicos.
• Seguimiento a grupos de apoyo a la lactancia materna (GALM); y se realizó articulación con profesionales de la mesa RIAPI de Bosa que permitió desarrollar una reunión con el talento humano a fin de programar acciones para desarrollar con los grupos de apoyo masculinos a la lactancia materna. Se programó taller presencial con la comunidad para el 14 de octubre en el auditorio de la Casa de la Participación de Bosa para identificar grupos de apoyo masculinos a la lactancia materna en Bosa.
• Se acompañó a las salas amigas de la familia lactante de entornos de vida cotidiana, laboral, comunitario e institucional.
• Se avanzó en el proceso progresivo de contratación de las profesionales del equipo lactancia materna.</t>
  </si>
  <si>
    <t>En agosto, el equipo lactancia materna continuó el desarrollo virtual y presencial de las acciones que se enuncian a continuación:
• Jornadas virtuales y presenciales de cualificación en lactancia materna y alimentación infantil saludable con el talento humano (profesionales psicosociales, salud, educación a primera infancia, técnicos en educación a primera infancia, entre otros) de entidades laborales, jardines infantiles SDIS y jardines infantiles privados.
• Acompañamiento telefónico a unidades operativas que atienden niñas y niños de primera infancia en entornos de vida cotidiana.
• Solución virtual y presencial de inquietudes generadas en familias usuarias de las salas amigas de la familia lactante en relación con la práctica de la lactancia materna.
• Consejerías telefónicas en lactancia materna y alimentación infantil saludable a familias usuarias de salas amigas de la familia lactante.
• Registro de información de acompañamientos telefónicos realizados por localidad en las bases de datos del equipo.
• Participación en espacios intersectoriales con la generación de aportes técnicos.
• Seguimiento de los grupos de apoyo a la lactancia materna (GALM), realizando intervención en la reunión mensual del Colectivo de Masculinidades, en donde se revisaron los acuerdos para la cualificación en Lactancia Materna y Alimentación Infantil Saludable de los miembros del grupo. Así mismo, se socializó el objetivo, lema y propósitos de la Celebración de la Semana Mundial de la Lactancia Materna 2022, y los miembros del colectivo se comprometieron a realizar en su localidad alguna actividad alusiva a la práctica de la lactancia; en Chapinero, los profesionales del colectivo lideraron un video invitando a la comunidad a sumarse a esta celebración. En el marco de la articulación con los profesionales de la mesa RIAPI de Bosa, se realizó el 25 de agosto el conversatorio de grupos masculinos frente a la lactancia materna en el Auditorio de la Casa de la Participación de Bosa, en el cual se invitó a los asistentes a participar en la reunión presencial del 16 de septiembre con la finalidad de consolidar grupos masculinos de apoyo a la lactancia materna.
• Acompañamiento a las salas amigas de la familia lactante en los entornos vida cotidiana, laboral, comunitario e institucional.
• Se avanzó en el proceso progresivo de contratación de las profesionales del equipo lactancia materna.
• Se realizó el 5 de agosto el foro académico de la semana mundial de la lactancia materna, se generaron piezas comunicativas y articulación intersectorial.</t>
  </si>
  <si>
    <t xml:space="preserve">En 2022, el indicador presentó resultado sobresaliente teniendo en cuenta que el porcentaje de cumplimiento respecto a la meta es mayor al 121%, se precisa que la sobre ejecución de veintiún puntos porcentuales obedece a la alta acogida de los ciclos de cualificación brindados por la estrategia atrapasueños en las subdirecciones locales y en las unidades operativas, que provocó una demanda superior a la proyectada y a la cual se brindó respuesta; el indicador tuvo tendencia creciente y comportamiento caracterizado por el registró de los porcentajes más altos en agosto, septiembre, octubre, noviembre y diciembre, es decir, que en dichos meses se evidenció el mayor número de unidades operativas de la Subdirección para la Infancia que culminaron el ciclo de cualificación de siete sesiones iniciados durante el primer semestre de manera articulada con las referentes de infancia y las responsables de los servicios a fin de brindar atención diferencial a las niñas, niños y adolescentes víctimas y afectados por el conflicto armado. 
Así mismo, se precisa que se logró acompañar y fortalecer las capacidades del talento humano para la atención de niñas, niños y adolescentes víctimas del conflicto armado de 77 unidades operativas ubicadas en Santa Fe, Fontibón, Suba, Engativá, Usaquén, Los Mártires, Rafael Uribe Uribe y San Cristóbal; adicionalmente, se logró concretar acciones de articulación con las Subdirecciones Locales para la Integración Social a través de las referentes de infancias y responsables de la unidades operativas, las cuales permitieron visibilizar la estrategia atrapasueños y la población víctima y afectada por el conflicto armado que habita en la ciudad; así mismo, a partir de la sesión denominada “laboratorios de paz” se logró configurar espacios para la participación y la reflexión, donde las niñas y los niños se reconocieron y reconocieron a los otros, como sujetos de paz, por medio del juego y la lúdica.
Además, se lograron desarrollar con las unidades operativas planeaciones metodológicas que tiene en cuenta las características y particularidades que presentan en sus diferentes edades las niñas, los niños y adolescentes atendidos por las docentes, considerando que en cada edad es distinto el aprendizaje, razón por la cual según el grupo se efectuaron modificaciones o adaptaciones posibilitando visibilizar estos procesos.
Se proyecta en la vigencia 2023, mantener el indicador y actualizar la meta de conformidad con las acciones que priorizará la estrategia atrapasueños a fin de atender las necesidades y particularidades identificadas en las niñas, los niños, las y los adolescentes víctimas y afectados por el conflicto armado que habitan la ciudad.  </t>
  </si>
  <si>
    <t>Con corte a diciembre, se cualificaron setenta y siete (77) unidades operativas de la Subdirección para la infancia a través de ciclos de siete sesiones realizados por la Estrategia Atrapasueños para la atención de niñas, niños y adolescentes víctimas y afectados por el conflicto armado. Lo anterior, equivale a un resultado del indicador de 27%, es decir, cinco puntos porcentuales por encima de la meta del indicador, lo cual obedece a la continuidad y finalización de los ciclos de cualificación iniciados con las unidades operativas priorizadas de las localidades Usaquén, Mártires, San Cristóbal, Engativá y Rafael Uribe Uribe, a partir de la concertación de cronogramas con las y los referentes de infancia de cada localidad, así como, con las personas responsables del servicio y las maestras representantes de estas para el desarrollo de los laboratorios. 
Así mismo, se precisa que durante el mes se realizaron los encuentro con padres y madres de familia y cuidadores denominados “Palabras Dulces” donde se fortaleció la comunicación asertiva y afectuosa en el sistema familiar, como estrategia protectora en la primera infancia que aporta a la reconstrucción de la paz, y, se cerró el ciclo con las unidades operativas a través del encuentro denominado “Consiéntete” en el que se propició un espacio donde las maestras reconocieron herramientas para su autocuidado en diferentes jornadas que les permitan gozar de tranquilidad, concentración y tiempo de calidad para sí mismas.</t>
  </si>
  <si>
    <t>Con corte a noviembre, se cualificaron cincuenta y cinco (55) unidades operativas de la Subdirección para la Infancia a través de ciclos de siete sesiones realizados por la Estrategia Atrapasueños para la atención de niñas, niños y adolescentes víctimas y afectados por el conflicto armado. Lo anterior, equivale a un resultado del indicador de 19%, es decir, seis puntos porcentuales por encima del resultado reportado el mes pasado, lo cual obedece a la terminación progresiva de los ciclos de cualificación iniciados con las unidades operativas priorizadas a partir de la concertación de cronograma con las y los referentes de infancia de las localidades Usaquén, Mártires, San Cristóbal, Engativá y Rafael Uribe Uribe, y, con las maestras para la realización de los laboratorios.
Se precisa que en Usaquén se implementaron con las unidades operativas faltantes el laboratorio tres y un encuentro de cuidado emocional. Se lograron desarrollar cuatro encuentros con madres, padres y/o cuidadores, y se proyectó un encuentro con una de las unidades operativas para finales de este periodo.
En Los Mártires, se desarrollaron con las cinco unidades operativas los laboratorios proyectados en las aulas con las niñas y los niños, así mismo, se realizó el encuentro de autocuidado “consiéntete” con el talento humano de cada unidad operativa a partir de reflexiones en torno a la importancia de la generación de momentos de esparcimiento y cuidado propio.
Por otra parte, en Rafael Uribe Uribe, se logró realizar los tres laboratorios propuestos con las niñas y los niños de trece unidades operativas, mediante el desarrollo de las acciones lúdicas y pedagógicas proyectadas en las planeaciones por las docentes. En San Cristóbal, se realizó el cuarto encuentro de sensibilización con las unidades operativas faltantes, al cual asistieron dos de estas y se concretaron las fechas de los laboratorios.
En diciembre, se proyecta realizar los encuentros emocionales con padres y cuidados para culminar otro ciclo de fortalecimiento.</t>
  </si>
  <si>
    <t>Con corte a octubre, se mantienen las 39 unidades operativas de la Subdirección para la Infancia cualificadas a través de ciclos de siete sesiones realizados por la estrategia atrapasueños, así como, el resultado del indicador de 13%, teniendo en cuenta que se continuó el desarrollo de los ciclos iniciados con las unidades operativas priorizadas a partir de la concertación de cronograma con las y los referentes de infancia de cada localidad y con las maestras para los laboratorios.
Se proyecta que el número de unidades operativas cualificadas aumente en la medida en que se avanza con el desarrollo de los ciclos de cualificación iniciados con la participación del talento humano de las unidades operativas priorizadas.
Se precisa que en la localidad de Usaquén se realizó el primer encuentro con madres, padres, cuidadoras y cuidadores, así mismo, el encuentro de sensibilización con las dos unidades operativas que no alcanzaron a asistir al encuentro presencial y se vincularon de manera virtual, y, se concretaron las fechas de los siguientes encuentros.
Adicionalmente, en San Cristóbal se desarrolló el encuentro de sensibilización con las maestras, se iniciaron los laboratorios con las unidades operativas que asistieron y se concretaron las fechas para los próximos encuentros.
Finalmente, se especifica que para el desarrollo de las planeaciones metodológicas con las unidades operativas se tuvo en cuenta el nivel con el que se va a trabajar dado que se abordan etapas de aprendizaje distintas, razón por la cual se implementan adaptaciones que permitan involucrar los diferentes procesos.</t>
  </si>
  <si>
    <t xml:space="preserve">
En 2022, el indicador presentó resultado satisfactorio teniendo en cuenta que el porcentaje de cumplimiento respecto a la meta es del 79%, tendencia creciente y comportamiento que osciló entre 79% y 85%, registrándose el mayor resultado (85%) en el primer bimestre, es decir, que en dicho periodo se evidenció el mayor número de egresos de participante por culminación del plan de atención integral, en virtud a que durante la pandemia y la post pandemia no egresaron participantes para brindar de manera continua acompañamiento psicosocial y pedagógico a fin de mitigar el riesgo de vulneración de derechos en niñas, niños y adolescentes; en tal sentido, el egreso masivo de participantes que culminaron el plan de atención integral se dio durante los dos primeros meses del año. El descenso en los bimestres siguientes y en especial en el último, evidencia que las niñas, los niños y adolescentes que participaron en los centros amar en esos meses, aún no presentan un estado en el cual se encuentren fuera de situación o riesgo de trabajo infantil, en el marco de las estrategias de atención integral de los componentes del modelo de atención, así mismo, no han completado en las unidades operativas dos años, tiempo que corresponde al periodo mínimo definido para la culminación del plan de atención integral.
Adicionalmente, se precisa que se logró brindar atención presencial en los trece (13) centros amar en las modalidades diurna y nocturna, e, incluso en los cuatro (4) de estos centros que operan de domingo a domingo. Se mantuvieron la cobertura y la asistencia de las y los participantes pese a las nuevas dinámicas reconocidas en la población durante la postpandemia, entre las que se encuentran: extensión de la jornada escolar en las instituciones educativas, cambios del lugar de residencia, retorno a Venezuela y escasa corresponsabilidad en las familias por la priorización de aspectos asociados al sustento diario.
Así mismo, durante la vigencia se desarrollaron acciones asociadas a los cuatro (4) componentes del modelo de atención integral, a saber: psicosocial, pedagógico, nutrición y salubridad y gestión a la articulación, las cuales permitieron brindar una atención integral y de calidad a las niñas, los niños y adolescentes identificados en situación o riesgo de trabajo infantil y vinculados al servicio. Por otro lado, se resaltan los avances en el trámite de aprobación de la actualización de los estándares de calidad del servicio.
Se proyecta para la vigencia 2023, mantener el indicador precisando el periodo de cálculo del numerado y del denominador en los ítems formula y descripción del método de cálculo, así mismo, actualizar la meta considerando los efectos generados por la pandemia y la postpandemia y evidenciados durante la vigencia 2022 en la población a la cual se brinda atención en los centros amar diurnos y nocturnos.</t>
  </si>
  <si>
    <t xml:space="preserve">Con corte a diciembre, 24 niñas, niños y adolescentes en situación o riesgo de trabajo infantil ampliado atendidos en los Centros Amar diurnos y nocturnos, culminaron el plan de atención integral, lo que equivale a un resultado de 28%, es decir, once puntos porcentuales bajo el trimestre anterior, debido a que la mayoría de participantes inició su proceso de atención en la presente vigencia, por lo que se espera que el próximo año ellas y ellos puedan cumplir los objetivos y egresar por culminar el plan de atención integral, toda vez que este tiene una duración de dos (2) años; así mismo, se evidenció que en casos excepcionales algunos participantes no culminaron por el cambio de lugar de residencia de las familias en el territorio nacional, la baja corresponsabilidad de los padres, madres y cuidadores o el cambio en la jornada escolar de la institución educativa a la cual se encuentran vinculados.
Así mismo, se precisa que durante el mes en los Centros Amar se generaron las siguientes acciones:
1. Fortalecimiento de las relaciones familiares, lazos de amor y crianza asertiva entre madres, padres, hijas e hijos.
2. Implementación de metodologías alternativas que inciden en la modificación de pautas de crianza y promueven el juego como herramienta de diversión y disfrute de tiempos de calidad.
3. Mitigación del riesgo de trabajo infantil ampliado contribuyendo a la garantía del Artículo 30 de la convención, derecho a la recreación, participación en la oferta cultural y las artes, posibilitando a niñas, niños y adolescentes desarrollar actividades propias de su ciclo vital a partir de juegos al aire libre, potenciando sus capacidades.
4. Planeación de acciones en el marco de las manzanas de cuidado y escuelas para los cuidadores de: deportes, música, danza, artes y juego.
5. Fomentó de la diversidad cultural, el buen trato y la comunicación asertiva para fortalecer el esquema corporal, potenciamiento de habilidades y destrezas que promueven el desarrollo integral de niñas, niños y adolescentes.
6. Articulación y gestión para la entrega de regalos a la población.
7. Realización de la Clausura de los trece (13) proyectos pedagógicos implementados durante la presente vigencia en el marco del modelo de atención del servicio. </t>
  </si>
  <si>
    <t>En noviembre, se brindó atención a niñas, niños y adolescentes en situación o riesgo de trabajo infantil ampliado en los Centros Amar, se continuaron las estrategias de sensibilización, comunicativas y actividades para fortalecer la asistencia y evitar el retiro voluntario de los participantes. Así mismo, en el marco del modelo de atención se continuó el trabajo a través de los cuatro (4) componente y se realizaron las acciones que se enuncian a continuación para desarrollar el proceso de atención de las y los participantes de los trece (13) centros amar: 
• Se realizaron talleres con los participantes, enfocados en el reconocimiento y empoderamiento de sus derechos, la prevención del trabajo infantil y el manejo de emociones que fortalecen vínculos relacionales desde la empatía y el respeto, y aportar en la construir de acuerdos entre pares.
• Se fortalecieron los procesos de atención familiar para mejorar su corresponsabilidad y participación como institución primaria para la garantía y ejercicio de los derechos de las niñas, niños y adolescentes, espacio de protección y formación que brinda los básicos para la manutención, desarrollo, compañía, afecto y atención.
• Se implementó el modelo de crianza con ternura, que brindó herramientas alternativas para que cuidadores y cuidadoras generen estrategias de formación alternativas, construidas desde el afecto y la ternura, minimizando vulneraciones y violencias a la infancia y adolescencia.
• Se efectuó seguimiento a los planes de atención integral de niños, niñas, adolescentes, mediante estudios de caso, en los cuales el equipo interdisciplinar generó estrategias conjuntas con otros sectores del distrito para prevenir y atender problemáticas como: violencia intrafamiliar, elaboración de duelo, vínculos mediados por la imposición de la fuerza y por el ejercicio de roles en desigualdad que generan malas prácticas relacionales y se mantienen por generaciones.
• Se generaron estrategias para fomentar la expresión emocional como elemento pragmático psíquico para fortalecer la salud mental, a través de la regulación del mundo afectivo, con la premisa, si expreso mis emociones y pensamientos, me reconozco, me identifico, me conozco más y construyó un autoconcepto positivo que se refleja en proyectos de vida creados desde el reconocimiento del yo.
• Se promovió el derecho a la participación, con la inclusión de participantes del servicio en diferentes espacios locales, como CLOPS, Consejo Consultivo de niñas, niños y adolescentes, formulación de la PPIA, en los que se escuchó su voz, se atendieron sus propuestas e iniciativas para la construcción de entornos seguros y protectores.
• Se diseñaron y ejecutaron actividades en torno a la conmemoración de los derechos, como: semana del buen trato, día de la niña, día internacional de la eliminación de la violencia contra la mujer, día de la multiculturalidad, entre otros, en los que se movilizan las y los participantes, reconociendo la historia y las diferencias.
• Se acompañó, orientó y apoyó a las familias en los procesos de regulación migratoria de niños, niñas y adolescentes.
• Se reconocieron los territorios con sus oportunidades frente a espacios y oferta recreo deportiva, artística y cultural, en la cual se pueden involucrar a las y los participantes y sus familias, instituciones para el ejercicio de los derechos, como, Alcaldía local, instituciones educativas, centro zonal ICBF, Comisarías de familia, entre otros, reforzando la ruta de atención por violencias.
• Se acompañó y orientó a las familias para la escolarización de las y los participantes, vinculándolos al sistema educativo según lugar de vivienda, dinámicas familias y condiciones particulares de la población migrante.
 • Los educadores y talleristas implementaron pedagogía que permite la identificación de intereses, necesidades y demandas de niñas, niñas y adolescentes, para potencializarlas y fortalecerlas, de modo que su desarrollo conjugue la expansión de sus ciudadanías a partir de la formulación e implementación de proyectos pedagógico en las unidades operativas.
• Se logró la entrega de 500 kits de higiene dental a participantes de los Centros Amar Bosa, Ciudad Bolívar, Usme y Corabastos, en articulación con la Subred Sur y el Dr. Muelitas (Colgate) enseñando la metodología del cepillado y el uso adecuado de la seda dental y el agua.
• Se realizaron sensibilizaciones constantes en el manejo y cuidado de la higiene personal, uso del tapabocas y el lavado de manos en espacios reducidos.
• Desde el perfil de Terapia Ocupacional se promovió con las familias que tienen microempresas, la inscripción, que es una ayuda económica para fortalecer y tecnificar sus negocios, en articulación con la Alcaldía Mayor de Bogotá. 
• Se realizó articulación entre el Centro Amar Usme y la Secretaria Distrital de la Mujer para la inclusión y referenciación de mujeres madres al programa banco de hojas de vida y capacitación en destrezas y habilidades en el campo laboral a través del aprovechamiento de la manzana del cuidado de la localidad.
• Se compartieron ofertas de empleo con información sobre ferias de empleo y emprendimiento locales y distritales teniendo en cuenta perfiles, intereses y necesidades de referentes familiares identificados en valoraciones de terapia ocupacional para la familia.
• Desde el componente terapia ocupacional se propició la inquietud del proyecto de vida de cada participante a través de experiencias que posibilitan desarrollar nociones y acciones teniendo en cuenta sus experiencias significativas.
• Se acompañó y orientó a las familias para la escolarización de participantes, vinculándolos al sistema educativo, teniendo en cuenta lugar de vivienda, dinámicas familias y condiciones de la población migrante.
• Se realizaron articulaciones y referenciaciones a entidades, a fin de promover respuestas oportunas e integrales entre instituciones, actores políticos y sociales para la restitución, protección y garantía de derechos. Así mismo, los Centros Amar participaron en el programa “Niñas y Niños educan a los Adultos” de la Secretaría Distrital de Educación para promover la iniciativa “Súper Ideas” para expresar necesidades de sus localidades; para ello los niños, niñas y adolescentes deben estar vinculados al sistema educativo en Instituciones Educativas Distritales.</t>
  </si>
  <si>
    <t>Con corte a octubre, 48 niñas, niños y adolescentes en situación o riesgo de trabajo infantil ampliado atendidos en modalidades centros amar diurnos y nocturnos, culminaron el plan de atención integral, lo que equivale a un resultado de 39%, es decir, un punto porcentual bajo el bimestre anterior, en razón a que aunque se presentó el ingreso de nuevos participantes por la intensificación de búsquedas activas y referenciación de entidades y actores locales y distritales, el principal motivo de egreso de los participantes fue el traslado de residencia de sus familias al interior y exterior de la ciudad e incluso del país (especialmente en población migrante proveniente de Venezuela).
Así mismo, se avanzó en la implementación de acciones asociadas a los ejes de atención, como se enuncia a continuación:
- Acompañamiento psicosocial
Se avanzó en el fortalecimiento de la corresponsabilidad de las familias y/o acudientes frente a la asistencia y al proceso de atención de niñas, niños y adolescentes, a través de estrategias comunicativas, propuestas novedosas de atención pedagógicas, artísticas y lúdicas, diálogo y sensibilización en la garantía y promoción de sus derechos. 
Se avanzó en la organización de historias sociales de niñas, niños y adolescentes y el diligenciamiento de valoraciones iniciales, teniendo en cuenta ingreso, seguimientos, registro de novedades y solicitudes de egreso.
Se realizaron entrevistas iniciales de ingreso a familias para recolección de datos que permitan definir perfiles vocacionales a fin de continuar la promoción de ofertas y formaciones que aporten al mejoramiento de condiciones de vida de las familias en el marco del modelo de atención y en articulación con estratégicas de empleabilidad y emprendimiento.
Se llevaron a cabo valoraciones iniciales, asesorías, orientaciones y seguimientos a compromisos con las familias para el plan de intervención, objetivos, inasistencias, seguimiento a procesos escolares de sus hijas e hijos; se brindaron alternativas para incrementar la corresponsabilidad a partir de la socialización de estudios de caso de egreso, avances y dificultades en el proceso familiar e individual.
Se reflexionaron y promovieron en las y los participantes diversas formas de identificarse e integrarse en su comunidad, a partir de la gestión emocional adecuada, habilidades sociales y valores relacionados con la construcción de paz, ciudad y país.
- Componente de gestión para la articulación
Se avanzó en la articulación con la Fundación Gilberto Álzate, la Sub-Red Sur, el IDRD, el IDARTES y la Secretaría de Educación Distrital para generar alianzas que promueven los planes de atención de niñas, niños y adolescentes, enriquecen el modelo de atención y hacen frente a la vinculación progresiva de algunos perfiles por el avance gradual del proceso contractual.
- Componente nutrición y salubridad
Se realizaron valoraciones y seguimiento desde el componente nutrición.
Se proyectaron actividades desde el área terapia ocupacional con el objetivo de disminuir falencias en atención, planeación, coordinación, motricidad y procesos de desarrollo básicos para un aprendizaje óptimo. Por otra parte, se fortalecieron habilidades y competencias que responden a los dispositivos primarios de adquisición de conocimiento.
Se desarrollaron talleres de prevención de accidentes a través de la sensibilizó en torno a su importancia para cuidar la integridad física, emocional y salud en general; taller de hábitos de higiene y cuidado de la salud en el que se promovió su práctica adecuada y frecuente; y taller de hábitos de alimentación saludables y hábitos de higiene con madres, padres y cuidadores.
Se actualizaron los planes de saneamiento en los programas: limpieza y desinfección, desechos sólidos, abastecimiento o suministro de agua potable, y, control de plagas, según particularidades y necesidades de las unidades operativas.</t>
  </si>
  <si>
    <t>En septiembre se atendieron niñas, niños y adolescentes en situación o riesgo de trabajo infantil ampliado en los Centros Amar, se presentó la finalización del proceso de atención de algunos participantes, siendo el principal motivo el traslado de residencia de las familias al interior y exterior de la ciudad e incluso del país. Sin embargo, se proyecta efectuar el seguimiento post egreso correspondiente. Se avanzó en la implementación de acciones asociadas a los ejes de atención como se enuncia a continuación:
Acompañamiento psicosocial
• Se evidenciaron avances con niñas, niños, adolescentes y familias en la interiorización de normas y reglas dentro y fuera del contexto familiar; se identificaron factores protectores significativos para reducir la probabilidad de conductas de riesgo; la implementación progresiva de la tolerancia a la frustración y la generación de un ambiente propicio en la interacción con pares y figuras de autoridad. 
• Se avanzó en la promoción de micro empresas con las familias y la inscripción para acceder a ayuda monetaria de la Alcaldía Mayor de Bogotá a fin de fortalecer sus negocios. Se realizaron entrevistas iniciales de ingreso a las familias para recolección de datos que permitan de finir perfiles vocacionales con el fin de continuar promocionando ofertas y formaciones que aporten a mejorar las condiciones de vida de las familias. Se avanzó en la organización de historias sociales de niñas, niños y adolescentes; y en el diligenciamiento de valoraciones iniciales, teniendo en cuenta el ingreso de niñas, niños y adolescentes. 
• Se continúa la sensibilización para garantizar derechos y vincular a niña y niños al sistema de salud y educativo. Se avanzó en los compromisos del comité interno y local de víctimas para hacer seguimiento a los presuntos casos de violencia. Se avanzó en el diligenciamiento de ficha SIRBE para nuevos ingresos para caracterizar niños en acompañamiento en contexto laboral identificados en búsquedas activas.
• Se desarrolló con las familias taller de prevención del abuso contra el adulto mayor en el cual se informaron los tipos de violencias, las rutas de atención para atender los casos. Se realizó con las familias taller en coordinación con la Organización Internacional para las Migraciones - OIM sobre prevención de xenofobia, en el que se dieron a conocer las formas de este fenómeno, criterios para erradicar discriminación, estigmas y prejuicios contra la población migrante.
• Se realizaron valoraciones iniciales, asesorías, orientaciones y seguimientos a compromisos con las familias para desarrollar el plan de intervención, objetivos, inasistencias, seguimiento a procesos escolares de sus hijos; se brindaron alternativas para incrementar la corresponsabilidad a partir de la socialización de estudios de caso de egreso, socialización de avances y dificultades en el proceso familiar e individual.
• Se sensibilizó a los participantes acerca de diversas formas de identificarse e integrarse en su comunidad de forma vivencial, con creencias específicas y valores determinados. Además, se proporcionaron herramientas para desarrollar el sentido de pertenencia a su familia y sentirse orgulloso de sus raíces.
• Se realizaron talleres en el esquema auditivo y cognitivo a partir del estudio de acordes y estructuras musicales; se potenciaron habilidades corporales, estéticas y creativas con prácticas teatrales y plásticas; se propició el buen trato a partir de dinámicas diarias comportamentales y conductuales de los participantes; y se fomentaron la coordinación motriz o corporal con la educación física.
Componente de gestión para la articulación
• Se avanzó en la implementación del juego significativo como estrategia pedagógica de aprendizaje por medio de la articulación con el Museo de Bogotá, Happy Yoga, Biblio red, Casa de la Juventud, que posibilitaron el desarrollo de juegos, bloques lógicos, geometría comestible, bailo terapia, creación de cuentos y mejorar hábitos de estudio.
Componente nutrición y salubridad
• Se realizaron taller de prevención de accidentes en el cual se sensibilizó en su importancia para cuidar la integridad física, emocional y salud en general; taller de hábitos de higiene y cuidado de la salud en el que se promovió la importancia de su práctica adecuada y frecuente; y taller de hábitos de alimentación saludables y hábitos de higiene con padres madres y cuidadores.
• Se actualizaron los planes de saneamiento en los programas: limpieza y desinfección, desechos sólidos, abastecimiento o suministro de agua potable, y, control de plagas. Lo anterior, según particularidades y necesidades de las unidades operativas.</t>
  </si>
  <si>
    <t>En mayo, las niñas, niños y adolescentes atendidos en las modalidades centros amar diurnos y nocturnos participaron en actividades asociadas a los cuatro componentes de atención, saber: (i) acompañamiento psicosocial, (ii) desarrollo pedagógico, (iii) nutrición y salubridad  y  (iv) gestión para la articulación, garantizando un procesos de calidad que permite erradicar situaciones o riesgos de trabajo infantil con la participación activa y corresponsabilidad de las familias, madres, padres, cuidadoras  y cuidadores.
Lo anterior, según los procesos de atención y las causales de egreso definidas en la Resolución 0509 del 2021, las cuales son: 
1. Niña o niño que supere la edad establecida para el servicio, diecisiete (17) años, once (11) meses y veintinueve (29) días.
2. Finalización del proceso de atención.
3. Retiro voluntario manifestado libre y expresamente por escrito.
4. Inasistencia injustificada superior a diez (10) días de manera continua o discontinua, en un periodo de dos (2) meses.
5. Fallecimiento de la niña, niño o adolescente.
6. Cuidador(a) de la niña, el niño o adolescente que incurre en incumplimiento del acuerdo de corresponsabilidad.
7. Medida de protección por restablecimiento de derechos.
8. Traslado del lugar de residencia de la niña, niño o adolescente a municipio fuera de Bogotá.
Cabe precisar, que en el mes que se reporta las causales de egreso han sido: 56 por finalización del proceso de atención, 57 por retiro voluntario, 4 por incumplimiento de acuerdos de corresponsabilidad y 1 por remisión, para un total de 118 egresos de participantes.
Esto evidencia que si bien el objetivo del servicio es brindar una atención integral de calidad que permita la superación de la problemática con una finalización del proceso de atención, en algunos casos las circunstancias familiares y sociales afectan los procesos de atención y su culminación; sin embargo, las niñas, niños y adolescentes que participan en la modalidades de atención cuentan con espacio protector y la garantía de una alimentación que suple las necesidades nutricionales según la edad. Así mismo, se aclara que los retiros voluntarios se presentan en familias con alta vulnerabilidad habitacional y socioeconómica, que los obliga a la constante movilidad en el Distrito (cambio de barrio) y en el territorio nacional (alta movilidad entre ciudades).</t>
  </si>
  <si>
    <t>Identificar manera bimestral el número de niñas, niños y adolescentes que egresan de las modalidades centros amar diurnos y nocturnos  "estado ATENDIDO" con motivo "finalización proceso de atención" en el sistema misional SIRBE en el periodo; y dividirlo entre el número total de niñas, niños y adolescentes en "estado ATENDIDO" en el sistema misional SIRBE en el periodo.
Se entiende por "Culminar el plan de atención integral" el estado en el cual la niña, el niño o adolescente se encuentra fuera de situación o riesgo de trabajo infantil, en el marco de las estrategias de atención integral de los componentes del modelo de atención. La culminación del plan de atención integral tiene una duración variable y puede durar un tiempo mínimo de dos años.
El resultado anual del indicador se calcula a través de la sumatoria de los reportes registrados cada bimestre.</t>
  </si>
  <si>
    <t>En 2022, el indicador presentó un resultado satisfactorio teniendo en cuenta que el porcentaje de cumplimiento respecto a la meta es del 85%, tendencia creciente, y, un comportamiento que osciló entre 56% y 77%, registrándose el mayor valor en el último trimestre, en razón al cierre de la vigencia y a los encuentros en los que se reflexionó entorno a la importancia de la corresponsabilidad en el desarrollo de las niñas y los niños en los cuales se vinculó a las familias durante la vigencia. 
Así mismo, se precisa que se brindó acompañamiento a las niñas, los niños y sus familias en seis territorios de Bogotá de las localidades Suba, Chapinero, Santafé, Usme, Ciudad Bolívar y Sumapaz, y, en el proceso se logró:
• Retomar actividades presenciales implementando los protocolos de bioseguridad para favorecer las interacciones y orientaciones relacionadas con los procesos del desarrollo infantil y del fortalecimiento de habilidades parentales de las familias para educar, cuidar y proteger, según los contextos rurales de cada niña y niño desde la gestación y respetando los saberes y costumbres rurales campesinas.
• Se realizaron la toma de talla y peso de las niñas, los niños y gestantes; la promoción de estilo de vida saludable para lograr la ingesta de los alimentos disfrutando los momentos y en los tiempos adecuados; se fortalecieron en lactancia materna a gestantes y lactantes, reconocieron esta práctica como una acción fundamental en la garantía del derecho a la alimentación; y se desarrollaron estrategias de comunicación para promover el respeto a la práctica de la lactancia materna en el espacio público y privado, y, la prevención de accidentes a través de la sensibilización en torno a su importancia para cuidar la integridad física y emocional de las niñas y los niños.
• Se fortalecieron a las familias y a la comunidad en prevención de delitos sexuales y violencia, manejo de emociones, cuidado y autocuidado según las necesidades identificadas de manera diferencial en la primera infancia rural; se realizaron acciones de articulación con otras entidades a fin fortalecer y generar habilidades parentales en madres, padres, cuidadoras, cuidadores que permitieron la construcción de relaciones horizontales en la familia y la comunidad, así como, incorporar aprendizajes sociales y emocionales, y concertar y comunicar asertivamente sentimientos y emociones.
• Se gestionaron acciones de articulación interinstitucional con diferentes programas y proyectos, orientadas a generar experiencias pedagógicas diferenciales con las niñas, los niños, gestantes y sus familias que convocaron al dialogo entorno a la crianza, cuidado con amor y autocuidado encaminadas a la escucha, el respeto, la conciliación familiar, la transformación de relaciones de equidad de género y otros aspectos del entorno familiar.
• Se desarrollaron acciones pedagógicas que permitieron fortalecer usos, prácticas y costumbres; se propiciaron experiencias pedagógicas para el potenciamiento del desarrollo de las niñas y los niños; se realizaron acompañamiento y seguimiento a cada familia para reconocer, fortalecer y concientizar acerca del valor de la corresponsabilidad, en actuaciones como: garantizar el derecho a la salud a niñas y niños, relaciones armónicas, prevención de violencia intrafamiliar y vulneración de derechos de las niñas, niños; y se acompañaron a las gestantes y lactantes para contribuir a la garantía de sus derechos, la prevención de embarazos subsecuentes y el proyecto de vida personal y familiar en el marco del Sistema de Cuidado.
Para la vigencia 2023, se proyecta mantener el indicador.</t>
  </si>
  <si>
    <t xml:space="preserve">Con corte a diciembre, 616 niñas, niños y gestantes presentaron una permanencia mínima de 90 días en la modalidad crecemos en la ruralidad, lo que equivale a un resultado de 77%, es decir, seis puntos porcentuales por encima del trimestre anterior, en razón a la proximidad del cierre de la vigencia y los encuentros efectuados entorno a la importancia de la corresponsabilidad de las familias en el proceso de desarrollo de las y los participantes.
Así mismo, se precisa que durante el mes las y los participantes de la modalidad crecemos en la ruralidad que habitan en las localidades Suba, Chapinero, Santafé, Usme, Ciudad Bolívar y Sumapaz recibieron acompañamientos interdisciplinarios desarrollados en clave de los cierres pedagógicos con las familias; en dichos acompañamientos se entregaron los reportes pedagógicos en los que se reconoció el desarrollo de cada niña y niño como un proceso  dinámico que va en consonancia con factores físicos, psicosociales, cognoscitivo y emocionales. Además, en el marco de los acompañamientos brindados a las niñas, niños y sus familias se realizó el compartir navideño y el cierre del proceso desarrollado durante la vigencia 2022 que recogió saberes en gastronomía y costumbres rurales campesinas.  </t>
  </si>
  <si>
    <t>En noviembre, en la modalidad crecemos en la ruralidad se brindaron a las niñas y los niños que habitan en los territorios rurales de las localidades Suba, Chapinero, Santafé, Usme, Ciudad Bolívar y Sumapaz, acompañamientos interdisciplinares desarrollados en clave de experiencias pedagógicas, psicosociales y nutricionales  orientadas desde la interacción cotidiana y empática con las familias a fin de conectarlas y fortalecerlas en el proceso de desarrollo de las niñas y los niños a través de acciones pedagógicas y comunicativas planeadas según necesidades y particularidades de la primera infancia rural de manera diferencial.
Así mismo, se realizaron acompañamientos dirigidos a las niñas, los niños y sus familias en transiciones y trayectorias vividas en los territorios rurales, con las cuales se logró que las familias reconocieran los procesos de sus hijas e hijos; reconocieran que ellas y ellos como madres, padres, cuidadoras y cuidadores hacen parte de los procesos de cambio que experimentan las niñas y los niños. Por otra parte, las familias rurales participaron en movilizaciones sociales orientadas a fortalecer vínculos afectivos con acciones lúdicas y artísticas para promover el buen trato y la prevención de la violencia hacia las mujeres y las niñas, en el marco de la semana del buen trato.</t>
  </si>
  <si>
    <t>En octubre, en la modalidad crecemos en la ruralidad se realizaron acompañamientos a las y los participantes en Suba, Chapinero, Santafé, Usme, Ciudad Bolívar y Sumapaz; se abordaron temáticas del eje comunicación, lenguaje y movimiento a partir de la convergencia de las experiencias pedagógicas en escenarios donde las niñas y los niños se reconocieron como sujetos activos de derechos, propositivos, únicos, pensantes y sensibles, y se lograron identificar saberes e ideas a través del cuerpo y del espacio.
Por otra parte, en los círculos familiares se desarrollaron experiencias artísticas, lúdicas y de reflexión que permitieron resaltar la importancia de visibilizar a las niñas en el día internacional de la niña, para promover que ellas crezcan en un ambiente donde sean cuidadas y se les garanticen sus derechos en los diferentes territorios de la ciudad de Bogotá.</t>
  </si>
  <si>
    <t xml:space="preserve">En 2022, el indicador presentó resultado sobresaliente teniendo en cuenta que el porcentaje de cumplimiento respecto a la meta es del 95%, tendencia constante y un comportamiento que osciló entre el 91% y 100%, a excepción de enero y febrero donde se presentaron valores inferiores al 91% en virtud al cambio de lugar de residencia de las familias o el retorno a su ciudad o país de procedencia, así como, el tránsito a educación al cumplir la edad estipulada; y el registró de unos picos leves en marzo y septiembre, es decir, cuando mayor número de gestantes, niñas y niños en estados atendido, en atención y suspendido se encontraron en la modalidad crecemos en la ruralidad, en razón al incrementó de ingresos de participantes como respuesta a las estrategias articuladas entre el nivel central y local para incentivar la identificación de potenciales participantes en los territorios.
Adicionalmente, se precisa la modalidad crecemos en la ruralidad logró acompañar a las niñas, los niños y sus familias en seis territorios de Bogotá ubicados en las localidades Suba, Chapinero, Santafé, Usme, Ciudad Bolívar y Sumapaz, así mismo, en el proceso se logró:
• Contribuir a la garantía de los derechos de las y los participantes, aportando al desarrollo integral y al fortalecimiento de las capacidades de las familias para educar, cuidar y proteger; las y los participantes recibieron bono canjeable por alimentos y se les brindaron atenciones a través del equipo interdisciplinario del componente de nutrición. Se efectuó seguimiento a los casos de malnutrición (bajo peso o sobrepeso) reportados; se activaron rutas de atención a presuntas vulneraciones de los derechos de gestantes, niñas, niños. 
• La realización de encuentros para efectuar remisiones por parte de los profesionales que acompañan los casos de malnutrición, bajo peso o sobrepeso reportados por la Dirección de Nutrición y Abastecimiento, así como, los casos de presuntas vulneraciones de derechos de gestantes, niñas y niños.
• Fortalecer las habilidades parentales de las familias en el proceso de desarrollo de las niñas y los niños que permite reconocer saberes y prácticas de uso que aportan al proceso de aprendizaje individual y colectivo.
Para la vigencia 2023, se proyecta mantener el indicador. </t>
  </si>
  <si>
    <t xml:space="preserve">En diciembre, se atendieron 515 gestantes, niñas y niños de primera infancia en la modalidad crecemos en la ruralidad, lo que equivale a un resultado del indicador de 95%, es decir, cinco puntos porcentuales por debajo de la meta, debido a la fluctuación de la población que participa en la modalidad por su migración en el territorio para satisfacer sus necesidades económicas.
Adicionalmente, se precisa que las niñas, los niños y las gestantes que participan en la modalidad crecemos en la ruralidad recibieron acompañamiento en seis (6) territorios de Bogotá ubicados en las localidades Suba, Chapinero, Santafé, Usme, Ciudad Bolívar y Sumapaz; los acompañamientos interdisciplinarios se realizaron entorno a los cierres pedagógicos con las y los participantes y sus familias, y, se orientaron en las entregas pedagógicas de alcances y retos del proceso del desarrollo cognoscitivo, social y emocional de cada niña y niño, a partir, del reconocimiento del proceso como un todo dinámico y en consonancia con factores físicos, cognoscitivos, emocionales y psicosociales.  </t>
  </si>
  <si>
    <t>Nota: el presente mes se mantienen los valores del anterior, teniendo en cuenta que a la fecha se encuentran en trámite los procesos de armonización de los planes de desarrollo y del sistema de información misional -SIRBE-, de los cuales depende la consolidación de las cifras del reporte mensual.
En noviembre, se atendieron gestantes, niñas y niños de primera infancia en la modalidad crecemos en la ruralidad, a partir de acompañamientos realizados por el equipo interdisciplinario, los cuales se orientaron a conocer las experiencias de vida de cada familia de manera reflexiva; con estas, se logró que las y los participantes expresaran a través de narrativas logros, aprendizajes y retos. Así mismo, se desarrollaron actividades artísticas relacionadas con la navidad a fin de compilar saberes rurales – campesinos; y se prepararon bailes, canciones y representaciones escénicas para presentar a madres, padres, cuidadoras y cuidadores, durante el cierre de actividades de la presente vigencia.</t>
  </si>
  <si>
    <t>En octubre, se atendieron 522 gestantes, niñas, niños de primera infancia en la modalidad crecemos en la ruralidad, lo que equivale a un resultado del indicador de 97%, es decir, tres puntos porcentuales por debajo de la meta, debido al egreso progresivo de participantes en estado suspendido y a los traslados de las familias de las niñas y los niños a diferentes localidades que les ofertan trabajos temporales para el último trimestre del año.
El equipo interdisciplinario realizó acompañamientos a las niñas, los niños y las gestantes con actividades orientadas a ampliar capacidades de participación en la comunidad, para construir un tejido social que permita el cuidado colectivo del territorio rural como escenario que posibilita a niñas y niños vivir la primera infancia, fortalecerse como ciudadanos que construyen su propia identidad rural – campesina. 
Adicionalmente, se desarrollaron actividades pedagógicas en el marco de la movilización social para visibilizar la importancia del cuidado de las niñas en la comunidad, se realizaron encuentros artísticos, culturales donde las niñas y los niños fueron los protagonistas de la experiencia pedagógica para fortalecer las capacidades de participación en la vida social y cultural.</t>
  </si>
  <si>
    <t>En 2022, el indicador presentó un resultado sobresaliente teniendo en cuenta que el porcentaje de cumplimiento respecto a la meta es del 92% lo cual obedece al avance en los procesos de sensibilización en torno a la relevancia de los acuerdos de corresponsabilidad en el desarrollo integral de las niñas y los niños, y, a la acogida de las acciones desarrolladas por la modalidad en las familias; el indicador tuvo tendencia creciente, comportamiento que osciló entre el 57% y el 84%, registrándose el mayor resultado en el último trimestre, esto es, el mayor número de participantes con una permanencia superior a 90 días en la modalidad creciendo juntos. 
Así mismo, se precisa que se logró brindar atención a gestantes, lactantes, niñas y niños de primera infancia por medio de encuentros en casa, encuentros de cuidado y encuentros grupales por un equipo interdisciplinario de profesionales que desarrollaron actividades asociadas a los componentes desarrollo infantil, fortalecimiento comunitario, psicosocial, salud y nutrición, según las necesidades y realidades de las familias.  
El indicador cierra la vigencia por debajo de la meta proyectada debido a que la permanencia de las y los participantes en la modalidad está asociada a las dinámicas familiares, entre las que se encuentran, los traslados de ciudad de residencia, retorno al país o ciudad de origen, mejoramiento en la calidad de vida motivado por la consecución de empleo, incumplimiento a los acuerdos de corresponsabilidad e inasistencia a las actividades, lo que permitió definir estrategias de articulación intersectorial que posibilitan la solución de dificultades, la participación activa de la población, e, incidir en la disminución de egresos por incumplimiento de actividades programas; de igual forma, se logró brindar fortalecimiento técnico a las Subdirecciones Locales que permitiera planeación e implementar acciones de acompañamiento de interés para las familias en coherencia con el sentido de la educación inicial y la garantía de derechos.
Para la vigencia 2023, se proyecta mantener el indicador y eliminar la precisión de los motivos del estado suspendido en los ítems "formula de cálculo" y "descripción del método de cálculo", de conformidad con las características y particularidades identificadas en la población que participa en la modalidad de atención.</t>
  </si>
  <si>
    <t xml:space="preserve">Con corte a diciembre, 31.209 gestantes, niñas y niños de primera infancia presentaron una permanencia mínima de 90 días en la modalidad creciendo juntos, lo que equivale a un resultado del indicador de 84%, esto es seis puntos porcentuales más que el trimestre anterior, en razón a la vinculación progresiva de participantes en lista de espera.
Adicionalmente, en la modalidad creciendo juntos se brindó atención a gestantes, lactantes, niñas y niños de primera infancia por medio de encuentros en casa, encuentros de cuidado y encuentros grupales preparados y desarrollados por las y los profesionales a través de acciones intencionadas asociadas a los componentes desarrollo infantil, fortalecimiento comunitario, psicosocial, salud y nutrición, los cuales se planearon según las necesidades y realidades de las familias.
Así mismo, se identificaron presuntos casos de vulneración de derechos, los cuales se atendieron a través de la activación de rutas internas o externas según las particularidades del caso y las directrices institucionales; lo anterior, contribuyó a la mitigación de riesgos psicosociales en las y los participantes en coherencia con la garantía de derechos y el potenciamiento del desarrollo integral con enfoque diferencial de gestantes, lactantes, niñas y niños. </t>
  </si>
  <si>
    <t>En noviembre, en la modalidad creciendo juntos se brindó atención a gestantes, niñas y niños de primera infancia por medio de encuentros en casa, encuentros de cuidado y encuentros grupales preparados y realizados por las y los profesionales desde los componentes desarrollo infantil, fortalecimiento comunitario, psicosocial, salud y nutrición; dichos encuentros se planearon y programaron según el esquema de atención en las dieciséis (16) subdirecciones locales, con la vinculación del sistema de cuidado y el fortalecimiento al desarrollo de las niñas y los niños.
Se identificaron presuntos casos de vulneración de derechos, los cuales se atendieron a través de la activación de rutas internas o externas según las particularidades del caso y las directrices institucionales en la materia; lo anterior, contribuyó a la mitigación de riesgos psicosociales en las y los participantes de la modalidad familiar. Y se dio continuidad al ejercicio de toma de datos antropométricos y seguimiento a los casos de desnutrición y malnutrición.
En las Subdirecciones Locales de San Cristóbal, Bosa y Usaquén, las y los participantes se vincularon a las estrategias Medio Acuático de la Subdirección para la Infancia; en las Subdirecciones Locales de Chapinero, Engativá, Mártires, Ciudad Bolívar, San Cristóbal, Puente Aranda - Antonio Nariño, Barrios Unidos - Teusaquillo y Bosa las y los participantes se vincularon a la estrategia Nidos de IDARTES; las familias de las Subdirecciones Locales de Usaquén, Engativá, Mártires, Santa Fe - Candelaria, Usme, Ciudad Bolívar, San Cristóbal y Bosa participaron en las actividades de las manzanas de cuidado. Lo anterior, en el marco de las articulaciones intersectoriales que promueven el fortalecimiento del vínculo afectivo de niñas, niños, madres, padres, cuidadoras y cuidadores, la garantía de derechos y el potenciamiento del desarrollo integral con enfoque diferencial de gestantes, lactantes, niñas y niños.</t>
  </si>
  <si>
    <t>En octubre, en la modalidad creciendo juntos se brindaron atenciones a las y los participantes a través de encuentros en casa, de cuidado y grupales liderados por las y los profesionales del equipo interdisciplinario en temáticas asociadas a los componentes desarrollo infantil, fortalecimiento comunitario, psicosocial, salud y nutrición; los encuentros de cuidado se prepararon y programaron según el esquema de atención en las 16 Subdirecciones Locales para la Integración Social, el Sistema de Cuidado - SICU y el potenciamiento del desarrollo de las niñas y los niños.
Así mismo, a través del abordaje a familias se identificaron presuntos casos de vulneración de derechos por lo cual se activaron rutas internas o externas según las directrices, a fin de mitigar riesgos psicosociales en las y los participantes. Se continuó la toma de datos antropométricos y el seguimiento a los casos de activación de ruta por desnutrición y malnutrición.
En las Subdirecciones Locales de Integración Social de San Cristóbal, Bosa y Usaquén, se vincularon a las y los participantes a las estrategias Medio Acuático de la Subdirección para la Infancia; en las Subdirecciones Locales de Integración Social de Chapinero, Engativá, Mártires, Ciudad Bolívar, San Cristóbal, Puente Aranda - Antonio Nariño, Barrios Unidos - Teusaquillo y Bosa se vincularon las y los participantes a la estrategia Nidos de IDARTES; y en las Subdirecciones Locales de Integración Social de Usaquén, Engativá, Mártires, Santa Fe - Candelaria, Usme, Ciudad Bolívar, San Cristóbal y Bosa las y los participantes se vincularon en actividades de las manzanas de cuidado.
De igual manera, continúa el convenio con la Fundación Éxito para el cual se priorizan a las y los participantes con bajo peso gestacional, gestantes menores de 18 años y niñas y niños con riesgo de bajo peso.
Lo anterior promueve el fortalecimiento del vínculo afectivo de niñas, niños, madres, padres, cuidadoras y cuidadores, la garantía de sus derechos y el potenciamiento del desarrollo integral con enfoque diferencial de gestantes, lactantes, niñas y niños.</t>
  </si>
  <si>
    <t>El indicador presentó un resultado sobresaliente teniendo en cuenta que el porcentaje de cumplimiento respecto a la meta es del 96%, su tendencia es constante, su comportamiento osciló levemente entre el 93% y 99%, con excepción, de enero donde se presentó un porcentaje de 105% en razón al tránsito progresivo de las y los participantes a jardines infantiles, el avance gradual de los egresos de las niñas y los niños que cumplen la edad máxima de permanencia en la modalidad definida en la Resolución 0509 de 2021, y, de febrero donde se registró un resultado de 85% debido al avance en el egreso de las y los participantes, a la depuración de niñas y niños en estado “Suspendido” en el sistema de información misional SIRBE a nivel distrital y al seguimiento riguroso al acuerdo de corresponsabilidad.
Así mismo, se precisa que se logró la realización de un acompañamiento y seguimiento mensual riguroso en el marco de las asistencias técnicas, y,  un seguimiento trimestral al plan de trabajo de cada localidad, lo cual permitió alcanzar la cobertura asignada a cada Subdirección Local para la Integración Social; se logró que el monitoreo y seguimiento permitiera a las y los referentes y sus equipos, contar con una hoja de ruta para la implementación operativa de las actividades, así como, definir las fuentes de verificación y responsables del desarrollo de las acciones propuestas. 
Adicionalmente, durante la ejecución del plan de trabajo se logró la identificación de avances, retrocesos y alertas, las cuales se socializaron con las y los subdirectores locales, generando estrategias conjuntas para mejorar los procesos, identificar los puntos de congestión que causan retrasos en la ejecución, y, de esta manera garantizar el cumplimiento de las metas propuestas. Además, se logró que el seguimiento a la calidad de la información correspondiente al registro en el sistema misional SIRBE permitió identificar de manera oportuna alertas y avances a fin de fortalecer los reportes e implementar acciones de mejora en las Subdirecciones Locales para la Integración Social.
Para la vigencia 2023, se proyecta mantener el indicador, eliminar la precisión de los motivos del estado suspendido y determinar las unidades operativas que se excluirán del conteo del numerador en los ítems "formula de cálculo" y "descripción del método de cálculo", de conformidad con las características y particularidades identificadas en la población que participa en la modalidad de atención.</t>
  </si>
  <si>
    <t xml:space="preserve">En diciembre, se atendieron 23.995 gestantes, niñas y niños de primera infancia (estados: en atención, atendido y suspendido (con motivo notificación de egreso) en la modalidad creciendo juntos, lo que equivale a un resultado de 96%, es decir, tres puntos porcentuales por debajo del mes anterior; en razón a la migración de las familias en el Distrito y en el territorio nacional a fin de satisfacer sus necesidades económicas. 
Además, se precisa que se brindó atención a gestantes, lactantes, niñas y niños de primera infancia en respuesta a la demanda del servicio en las dieciséis (16) subdirecciones locales de integración social; se activaron participantes de la lista de espera según los cupos disponibles; y se continuaron las acciones de seguimiento y fortalecimiento técnico lo que permitió visibilizar el trabajo realizado en cada uno de los territorios con la población.
Adicionalmente, se realizaron las últimas tomas de datos antropométricos del año; se efectuó seguimiento a casos de sobrepeso, bajo peso gestacional, desnutrición y riesgo de desnutrición; y se continuó la activación y el seguimiento a los casos remitidos a rutas de atención a la presunta vulneración de derechos a partir de la articulación de acciones intra e interinstitucionales que contribuyen a la garantía de los derechos de gestantes, lactantes, niñas, niños y sus familias. </t>
  </si>
  <si>
    <t>Nota: el presente mes se mantienen los valores del anterior, teniendo en cuenta que a la fecha se encuentran en trámite los procesos de armonización de los planes de desarrollo y del sistema de información misional -SIRBE-, de los cuales depende la consolidación de las cifras del reporte mensual.
En noviembre, se brindó atención a gestantes, niñas y niños de primera infancia en la modalidad creciendo juntos, en respuesta a las solicitudes ciudadanas recibidas, así mismo, se activaron participantes de la lista de espera de conformidad con los cupos que fueron quedando disponibles por la fluctuación de los participantes y sus familias en el territorio; adicionalmente, se continuaron las acciones de seguimiento y fortalecimiento técnico, se efectuó seguimiento a los acuerdos de corresponsabilidad y se incentivó su cumplimiento, y, se realizó seguimiento a la cobertura en las dieciséis (16) subdirecciones locales a fin de identificar de manera oportuna cupos disponibles y satisfacer la demanda.
En cumplimiento del proceso de toma de datos antropométricos, desde el componente salud y nutrición se continuó la toma de talla y peso, así mismo, el seguimiento a casos de sobrepeso, bajo peso gestacional, desnutrición y riesgo de desnutrición. De igual manera, se continuó la activación y seguimiento a los casos remitidos a rutas de atención a la presunta vulneración de derechos a partir de la articulación de acciones intra e interinstitucionales que contribuyen a la garantía de los derechos de gestantes, niñas, niños y sus familias.</t>
  </si>
  <si>
    <t>En octubre, se atendieron 24.685 gestantes, niñas y niños de primera infancia (estados: en atención, atendido y suspendido (con motivo notificación de egreso) en la modalidad creciendo juntos, lo que equivale a un resultado de 99%, es decir, cuatro puntos porcentuales por encima del mes anterior; Lo anterior, debido al ingreso de participantes en listas de espera, al reforzamiento de acciones de seguimiento y fortalecimiento técnico con la finalidad de continuar generando acuerdos concertados con las familias que incentiven su corresponsabilidad. Se proyecta continuar el ingreso de participantes en lista de espera y las acciones articuladas entre los equipos de nivel local y central para la implementación de acciones de seguimiento y fortalecimiento técnico que incentive la corresponsabilidad de las familias.
Se precisa, que se continuaron las atenciones directas a las y los participantes a través de encuentros grupales, en casa y de cuidado en el marco del Sistema de Cuidado – SICU por parte del equipo interdisciplinar; dichas acciones se implementaron de forma intencionada por las y los profesionales en temáticas asociadas a los componentes Salud y nutrición, Desarrollo infantil, Fortalecimiento comunitario y psicosocial a fin de orientar y acompañar a las familias.
Por otra parte, en el componente Salud y nutrición se realizó la toma de datos antropométricos y el seguimiento a los casos de sobrepeso, bajo peso gestacional, desnutrición y riesgo de desnutrición; así mismo, se activó e hizo seguimiento a los casos remitidos a rutas por presunta vulneración de derechos a partir de acciones de articulación intra e interinstitucionales que contribuyen a la garantía de los derechos de las gestantes, las niñas, los niños y sus familias.</t>
  </si>
  <si>
    <t xml:space="preserve">En 2022, el indicador presentó un comportamiento satisfactorio teniendo en cuenta que el porcentaje de cumplimiento respecto a la meta es del 88%, tuvo tendencia creciente y se registró el mayor porcentaje en el último trimestre del año, es decir, que en dicho momento se evidenció la mayor cantidad de niñas y niños con una permanencia superior a noventa días en las modalidades jardines infantiles, diurnos, nocturnos, casas de pensamiento intercultural y espacios rurales.
Adicionalmente, se precisa que se logró brindar atención presencial, oportuna, diferencial y cualificada a las niñas y los niños que participan en las unidades operativas de casas de pensamiento intercultural y jardines infantiles, estos últimos operados de manera directa, por medio de convenios de asociación suscritos con cajas de compensación familiar y aquellos operados a través de convenios celebrados con asociaciones y/o entidades sin ánimo de lucro; así mismo, se logró que la atención se efectuará a partir de acciones asociadas a los componentes nutrición y salubridad, ambientes adecuados y seguros, proceso pedagógico, talento humano y proceso administrativo del documento Estándares Técnicos de Calidad para la Educación Inicial a fin de garantizar la calidad en la prestación del servicio. 
Para la vigencia 2023, se proyecta mantener el indicador. </t>
  </si>
  <si>
    <t xml:space="preserve">Con corte a diciembre, 52.087 niñas y niños de primera infancia presentaron una permanencia mínima de 90 días en las modalidades jardines infantiles diurnos, nocturnos, casas de pensamiento intercultural y espacios rurales, que equivale a un resultado del indicador de 80%, esto es diez puntos porcentuales bajo la meta; en razón a la alta rotación de participantes generada por la constante migración de sus familias a lo largo y ancho de la geografía distrital y nacional para satisfacer necesidades económicas y sociales ocasionadas por la pandemia.  
Se precisa, que se continuó la atención presencial de las y los participantes en jardines infantiles operados directamente por la Entidad, cofinanciados y sociales, esta se brindó según las condiciones definidas en los componentes nutrición y salubridad, ambientes adecuados y seguros, proceso pedagógico, talento humano y proceso administrativo, del documento estándares técnicos para la calidad de la educación inicial; y se reportaron a familias y cuidadores los últimos informes descriptivos del año, donde se registraron los procesos de desarrollo de cada niña y niño respectivamente.
Así mismo, en los espacios rurales se desarrollaron diversas acciones pedagógicas intencionadas que promovieron la participación de niñas, niños, familias y colaboradores; y se entregaron los reportes pedagógicos en los que se reconoció el desarrollo de cada niña y niño como un proceso dinámico que va en consonancia con factores físicos, psicosociales, cognoscitivo y emocionales.  </t>
  </si>
  <si>
    <t>En noviembre, en las modalidades jardines infantiles diurnos, nocturnos y casas de pensamiento intercultural se brindó a las niñas y los niños atención presencial en jardines infantiles operados de manera directa por la SDIS, jardines infantiles sociales que funcionan por medio de convenios suscritos con Cajas de Compensación Familiar y jardines infantiles cofinanciados que operan a través de convenios de asociación celebrados con Entidades sin Ánimo de Lucro.
Se atendieron a las niñas y los niños de primera infancia con oportunidad, de manera cualificada y diferencial dando cumplimiento al documento Estándares Técnicos de Calidad para la Educación Inicial en lo referente a los componentes nutrición y salubridad, ambientes adecuados y seguros, proceso pedagógico, talento humano y proceso administrativo a fin de garantizar la calidad en la operación del servicio. Así mismo, en los espacios rurales se brindó atención presencial a las y los participantes a partir del desarrollo de experiencias pedagógicas fundamentadas en los enfoques de derechos, diferencial y de género por el equipo interdisciplinario a fin de promover su desarrollo integral.</t>
  </si>
  <si>
    <t>En octubre, en las modalidades jardines infantiles diurnos, nocturnos y casas de pensamiento intercultural se brindó a las niñas y los niños atención presencial en jardines infantiles operados de manera directa por la SDIS, jardines infantiles sociales que funcionan por medio de convenios suscritos con Cajas de Compensación Familiar y jardines infantiles cofinanciados que operan a través de convenios de asociación celebrados con entidades sin ánimo de lucro, en algunos de estos últimos se entregó a las y los participantes paquete alimentario mientras avanza la suscripción de los procesos competitivos.
Se atendieron a las niñas y los niños con oportunidad según los estándares técnicos de calidad para la educación inicial en los componentes Nutrición y salubridad, Ambientes adecuados y seguros, Proceso pedagógico, Talento humano y proceso administrativo.
Además, en los espacios rurales se brindó atención a las y los participantes de manera presencial a través de experiencias pedagógicas enmarcadas en los enfoques diferencial, de derechos y de género.</t>
  </si>
  <si>
    <t xml:space="preserve">En 2022, el indicador presentó un resultado sobresaliente teniendo en cuenta que el porcentaje de cumplimiento con respecto a la meta es del 93%, tuvo una tendencia constante y un comportamiento que osciló levemente entre el 79% y 85% con excepción de enero y febrero cuando se presentaron resultados inferiores obedeciendo al ingreso progresivo de participantes en las modalidades jardines infantiles diurnos, nocturnos, casa de pensamiento intercultural y espacios rurales en razón al inició de actividades.  
Se precisa, que durante el año se logró brindar atención presencial a las niñas y los niños de primera infancia en las modalidades jardines infantiles diurnos, nocturnos, casas de pensamiento intercultural y espacios rurales.
En jardines infantiles diurnos, nocturnos y casa de pensamiento intercultural se logró que la atención se efectuará a partir de acciones asociadas a los componentes nutrición y salubridad, ambientes adecuados y seguros, proceso pedagógico, talento humano y proceso administrativo definidos en el documento Estándares Técnicos de Calidad para la Educación Inicial; que se desarrollaran cualificaciones con las y los profesionales; y se realizaran acompañamientos para la implementación del plan de mejora continua de cada unidad operativa.
En los espacios rurales, se logró contribuir a la garantía de los derechos de las y los participantes, aportar a su desarrollo integral y fortalecer las capacidades de las familias para educar, cuidar y proteger, por medio de, la implementación de acciones pedagógicas intencionadas por un equipo interdisciplinario de profesionales que orientaron y acompañaron de manera constante a las familias de conformidad con sus necesidades y particularidades, del seguimiento a los casos de malnutrición (bajo peso o sobrepeso), y, la activación de rutas de atención a las presuntas vulneraciones de derechos identificadas.
Para la vigencia 2023, se proyecta mantener el indicador y precisar el periodo en el cual se calcula el numerador y el denominador en los ítems "formula de cálculo" y "descripción del método de cálculo".  </t>
  </si>
  <si>
    <t>En diciembre, se atendieron 46.614 niñas y niños de primera infancia en las modalidades jardines infantiles diurnos, nocturnos, casas de pensamiento intercultural y espacios rurales, lo que equivale a un resultado de 80 %, es decir, cinco puntos porcentuales por debajo de la meta del indicador, en razón al cambio de lugar de domicilio algunas familias, y, al inicio del receso de fin de año en el cual desde los primeros días del mes algunas madres y padres retornan a sus sitios de origen para reunirse con sus familias.
Así mismo, se precisa que se brindó atención a las y los participantes de forma presencial por medio de acciones asociadas a los cinco componentes de definidos en los Estándares Técnicos de Calidad para la Educación Inicial; se culminaron las últimas valoración al desarrollo de la vigencia de las niñas y los niños, desde el enfoque de Atención Integral con calidad a la Primera Infancia bajo las orientaciones de la Secretaría Distrital de Integración Social; se reportaron a familias y cuidadores los últimos informes descriptivos del año, donde se registraron los procesos de desarrollo de las niñas y los niños; y se socializaron en las subdirecciones locales los resultados de los planes de mejora continua de los jardines infantiles, casas de pensamiento intercultural y espacios rurales.
En los espacios rurales se implementaron acciones interdisciplinarias entorno a los cierres pedagógicos con las y los participantes y sus familias, y, se brindaron orientaciones en las entregas de los reportes pedagógicos asociadas a los alcances y los retos del proceso del desarrollo cognoscitivo, social y emocional de cada niña y niño, partiendo del reconocimiento del proceso como un todo dinámico y en consonancia con factores físicos, cognoscitivos, emocionales y psicosociales.</t>
  </si>
  <si>
    <t>Nota: el presente mes se mantienen los valores del anterior, teniendo en cuenta que a la fecha se encuentran en trámite los procesos de armonización de los planes de desarrollo y del sistema de información misional -SIRBE-, de los cuales depende la consolidación de las cifras del reporte mensual.
En noviembre, se atendieron niñas y niños de primera infancia en las modalidades jardines infantiles diurnos, nocturnos, casas de pensamiento intercultural y espacios rurales; en el periodo se brindó atención a las y los participantes de los jardines infantiles diurnos cofinanciados a través de nuevos procesos contractuales suscritos por la Entidad y las Entidades sin Ánimo de Lucro.
Se brindó atención a las niñas y los niños en jardines infantiles diurnos, nocturnos y casas de pensamiento intercultural de manera presencial a partir de acciones asociadas a los componentes nutrición y salubridad, ambientes adecuados y seguros, proceso pedagógico, talento humano y proceso administrativo del documento Estándares Técnicos de Calidad para la Educación Inicial; se desarrollaron cualificaciones a las y los profesionales; y se realizó acompañamiento a la implementación del plan de mejora continua de los jardines infantiles, casas de pensamiento intercultural y espacios rurales.
Por otra parte, se brindó atención a las niñas y los niños que habitan en el territorio rural de Sumapaz en los espacios rurales Ruanitas entre nubes, Exploradores sumapaceños y Semillitas del saber campesino, en las cuales se desarrollaron actividades intencionadas por el equipo interdisciplinario de profesionales de conformidad con sus necesidades y particularidades a fin de promover su desarrollo integral.
En el territorio rural de Ciudad Bolívar se brindó atención a las niñas y los niños en la unidad operativa Montaña de colores, donde se logró que las y los participantes experimentaran acciones pedagógicas artísticas y literarias para rescatar saberes de la navidad rural campesina; las narrativas infantiles tuvieron el propósito de fortalecer vínculos afectivos; se compilaron recetas tradicionales para la preparación de dulces y amasijos navideños; se practicaron bailes, canciones y representaciones escénicas para cerrar la vigencia 2022 con las familias; y en el marco de la movilización social se realizaron acciones orientadas a prevenir el mal trato en la familia y la comunidad.</t>
  </si>
  <si>
    <t>En octubre, se atendieron 48.838 niñas y niños de primera infancia en las modalidades jardines infantiles diurnos, nocturnos, casas de pensamiento intercultural y espacios rurales, lo que equivale a un resultado de 84 %, es decir, un punto porcentual por debajo de la meta del indicador, en razón al cambio de lugar de domicilio de las familias de los participantes y a la finalización e inicio de los nuevos convenios y procesos competitivos para la operación de jardines infantiles cofinanciados.
Así mismo, se brindó atención a las niñas y los niños de manera presencial a partir de la ejecución de acciones asociadas a los componentes Nutrición y salubridad, Ambientes adecuados y seguros, Proceso pedagógico, Talento humano y proceso administrativo de los Estándares Técnicos de Calidad para la Educación Inicial; se desarrollaron cualificaciones a las y los profesionales; y se realizaron actividades para acompañar el plan de mejora continua de jardines infantiles, casas de pensamiento intercultural y espacios rurales.
En los espacios rurales ubicados en Sumapaz y Ciudad Bolívar se realizó la atención de las y los participantes de manera presencial; y en el espacio rural Montaña de Colores se brindó la atención a las niñas y los niños en una jornada de medio día con la entrega de refrigerios reforzados, en razón a situaciones locativas en proceso de ajuste por el propietario del predio.
Los procesos pedagógicos se orientaron a partir de los ejes juego, literatura y exploración del medio a través de un festival artístico en el que cada niña y niño personificó doctoras, doctores, mariposas, peinados y sombreros locos, hombre araña, policías y chefs. Los espacios rurales se ambientaron por temas de películas infantiles animadas: bichos, superhéroes, entre otros; y se realizaron movilizaciones sociales en torno al día internacional de la niña por medio de actividades artísticas, lúdicas, reflexiones y se visibilizó a las niñas que habitan las zonas rurales como personas con derecho a crecer en territorios seguros y esperanzadores para la vida.</t>
  </si>
  <si>
    <t>El comportamiento del indicador se vio afectado por el proceso de armonización de los datos en el sistema de información misional al final de la vigencia sin embargo se garantiza el cumplimiento del servicio y el egreso de los jóvenes mediante las estrategias alternas con el acompañamiento de la ruta de oportunidades juveniles, para el 2023 se planea modificar el indicador par el primer semestre del año .</t>
  </si>
  <si>
    <t>13/01/2023 No se generan observaciones respecto al análisis presentado en el seguimiento al indicador de gestión. Se deja la siguiente recomendación: adelantar todas las acciones pertinentes para dar cumplimiento a la meta en la siguiente vigencia 2023.</t>
  </si>
  <si>
    <t xml:space="preserve">se realizan articulaciones con IDRD y se desarrollan actividades que favorecen la actividad física y disminución de estados de ansiedad en los adolescentes y jóvenes participantes. Articulación con la mesa de graffiti de la localidad se realiza intervención mural en el marco de la sanción de PSC. Apoyo a la entrega de mercados en diferentes comedores comunitarios de la localidad.
Así mismo, Para el mes de Diciembre se reporta avance en la atención de la población objeto beneficiario y remitido por autoridades competentes, administrativas y judiciales, en especial por modalidad de Ruta Integral de Atención para Jóvenes - RIAJ y la sanción de Prestación de Servicios a la Comunidad - PSC. Realizando articulaciones con IDRD, Alcaldía Local, Hogar Gerontológico La Sabiduría de Sion. De allí, se resaltan avances actuales como participación presupuestos participativos, encuentro intergeneracional, participación semana de juventud, actividad recreo deportiva, utilización maquinas gimnasio y dotación línea de inversión instrumentos musicales espacio IDARTES, donde se ha logrado la consolidación de prácticas restaurativas, a nivel informal y formal, fortaleciendo los procesos de los jóvenes, desde los principios de la justicia restaurativa, propiciando la reconstrucción del tejido social y la inclusión de la población beneficiaria y sus redes de apoyo familiar, así como sus territorios, a partir del desarrollo de acciones de reparación. 
</t>
  </si>
  <si>
    <t>15/12/2022 No se generan observaciones respecto al análisis presentado en el seguimiento al indicador de gestión. Se deja la siguiente recomendación: se debe adelantar todas las acciones pertinentes para dar cumplimiento a la meta propuesta en el siguiente reporte.</t>
  </si>
  <si>
    <t>En el marco del programa de Justicia restaurativa de los centros forjar, se realizaron las publicaciones en las redes sociales de Distrito joven de las diferentes actividades desarrolladas en el mes de noviembre, lo anterior teniendo en cuenta que los centros forjar tienen por objetivo de contribuir a la resocialización de los a jóvenes de Bogotá de 14 a 18 años que hacen parte del Sistema de Responsabilidad Penal para adolescentes.</t>
  </si>
  <si>
    <t>10/11/2022 No se generan observaciones respecto al análisis presentado en el seguimiento al indicador de gestión. Se deja la siguiente recomendación: se debe adelantar todas las acciones pertinentes para dar cumplimiento a la meta propuesta en el siguiente reporte.</t>
  </si>
  <si>
    <t xml:space="preserve">Fortalecimiento de la Ruta de Oportunidades Juveniles de Forjar, generando articulaciones con entidades privadas, como Quality, ANAFALCO, Consorcio Express, Casa Limpia, Activos, Grupo Éxito, entre otras, que favorecen la vinculación de la población beneficiaria en oportunidades laborales y de formación continua, aportando a la consolidación de su proyecto de vida y la inclusión social de la población beneficiaria y sus redes de apoyo familiar. </t>
  </si>
  <si>
    <t>Se evidencio con el comportamiento del  indicador que para el tercer trimestre del año disminuyó en 3 puntos porcentuales la participación de las mujeres en los servicios que oferta la subdirección para la juventud, sin embargo se incremento la participación mediante el enfoque diferencial con el cual se garantiza la prestación del servicio en la subdirección, para la siguiente vigencia se  continua con el indicador.</t>
  </si>
  <si>
    <t>13/01/2023 No se generan observaciones y/o recomendaciones respecto al análisis presentado en el seguimiento al indicador de gestión.</t>
  </si>
  <si>
    <t xml:space="preserve">En el marco de las atenciones en los servicios sociales se ha atendido en el periodo de octubre a diciembre un total de 11,129 mujeres de 19,374 jóvenes atendidos en su totalidad que corresponde a un 57% evidenciando el enfoque diferencial y de genero en el número de mujeres jóvenes beneficiadas con vulnerabilidad social.   </t>
  </si>
  <si>
    <t>Para el mes de noviembre las actividades que se realizaron en el componente de enfoque diferencial fueron: realizar el guion de un video de invitación con la intención de reafirmar que las Casas de la Juventud son espacios libres de discriminación para la población LGTBI, también se realizaron piezas graficas para conmemorar las fechas conmemorativas de la campaña las diferencias nos unen. (Dia de la tolerancia, Día de la memoria trans y día de la eliminación de la violencia contra la mujer).</t>
  </si>
  <si>
    <t xml:space="preserve">Para el mes de octubre se realizaron varias actividades en las cuales se le apuntaron en la campaña las diferencias nos unen, como por ejemplo: Se realizó un guion para un video testimonial en el cual se busca que las casas de juventud sean espacio libre de violencia y de exclusión para la población LGTBI, además se realizaron los caption para un carro y Sol de piezas gráficas en el cual se aborde el tema de la discapacidad Y por último se realizarán unas piezas gráficas para el día internacional de la eliminación de la violencia contra la mujer. </t>
  </si>
  <si>
    <t>Se puede evidenciar con el comportamiento del indicador que los jóvenes vinculados a la plataforma de la APP Más de 80.000 jóvenes se inscribieron a la App Distrito Joven, durante el año 2022 accediendo a oportunidades de educación, empleo, emprendimiento y aprovechamiento del tiempo libre, se proyecta modificar la formula del indicador en el primer trimestre del 2023.</t>
  </si>
  <si>
    <t>La Subdirección para la juventud inscribió 28,939 jóvenes  entre los 14 y 28 años durante los meses de octubre a diciembre en el marco de las acciones realizadas que se encuentran orientadas a la elaboración del documento de número de usuarios y oportunidades que se subieron en el transcurso del mes de diciembre 2022, es importante aclarar que, los datos y registros se realizaron con base en la información obtenida de la APP</t>
  </si>
  <si>
    <t>Las acciones realizadas durante el transcurso del mes de noviembre de 2022 se encuentran orientadas a la elaboración del documento de número de usuarios y oportunidades que se subieron en el transcurso del mes de noviembre de 2022, es importante aclarar que, los datos y registros se realizaron con base en la información obtenida de la APP, se publicaron ofertas en la categoría de educación.</t>
  </si>
  <si>
    <t>Entre el 1 al 30 de octubre se publicaron un total de 10 oportunidades, a continuación, se relacionan los datos que corresponden a las categoría de educación  y oportunidades laborales, de igual manera se realizo la consolidación de los reportes de usuarios inscritos y oportunidades cargadas en la plataforma web y app distrito joven del mes de octubre del año 2022.</t>
  </si>
  <si>
    <t>La atención durante los trimestres del año se comportó de manera estable demostrando la atención constante en temas de prevención a los jóvenes que hicieron parte de los servicios que brinda la subdirección para la juventud. el equipo de prevención de la subdirección para la juventud ,se fomenta la creación y actualización de estrategias, herramientas y acciones que han permitido a los jóvenes comenzar a trabajar en el mejoramiento de esas situaciones en las que se encuentran inmersos Se proyecta modificar el indicador para el primer trimestre del 2023.</t>
  </si>
  <si>
    <t>Para el periodo comprendido entre octubre y diciembre de la presente vigencia se informaron 962 jóvenes en prevención integral de acuerdo con el  conteo de datos del Sistema misional y lo programado por el proyecto para el cumplimiento de las metas; Desde el equipo de prevención de la subdirección para la juventud se siguen ampliando los espacios de participación de prevención integral en busca de un mayor acercamiento a los Jóvenes de Bogotá, con juegos , dinámicas y estrategias pedagógicas que permitan ese acercamiento para romper los esquemas de desconocimiento conceptual y de acciones propias a tomar en cada situación, es por eso que se siguen fortaleciendo las  líneas de intervención dirigidas e implementadas por un equipo psicosocial de psicólogos (a) y trabajadores sociales que, desde la salud mental y prevención del suicidio, prevención de sustancias psicoactivas, prevención de violencias, y la estrategia de orientación socio ocupacional- oso, propiciamos asistencia y comunicación profesional y adecuada con los jóvenes, desde la ética y el consentimiento de los mismo para participar de sus derechos en la Sociedad</t>
  </si>
  <si>
    <t>Para el mes de noviembre dentro de las actividades que se desarrollaron, se encuentran  la construcción de un guion para un video de prevención de Ciberbullyng y posteriormente hacer su respectiva grabación, también se elaboraron piezas comunicativas sobre tips de la estrategia Orientación socio ocupacional (OSO) y finalmente se publicaron algunos tips enfocados a la salud mental de los jóvenes.</t>
  </si>
  <si>
    <t>Para el mes de Octubre se grabó y se editó un vídeo para el cuidado de la salud mental de los jóvenes de 14 a 28 años de edad.
Se realizó la publicación para el carrusel de piezas gráficas de prevención de consumo de sustancias psicoactivas y patrones de consumo "El consumo de Sustancias Psicoactivas podría traer consecuencias que afecten tu salud y bienestar integral. Desde el equipo de prevención de #Distrito Joven te invitamos a identificar diferentes patrones de consumo y tomar decisiones conscientes en tu vida. 💡"</t>
  </si>
  <si>
    <t>Durante la vigencia 2022, el resultado del indicador presentó variaciones mínimas entre periodos, lo que permite identificar un adecuado nivel de cumplimiento y estabilidad del mismo , que obedece a la constante articulación con las Subdirecciones Técnicas y equipos locales encargados de la prestación de los diferentes servicios de la SDIS.  Así mismo, se evidenció mayor articulación con los servicios asociados a temas de seguridad alimentaria y persona mayor. La gestión adelantada logró un cumplimiento del 97% frente a la meta establecida para la vigencia.</t>
  </si>
  <si>
    <t>13/01/2023. No se generan observaciones respecto al análisis y evidencia reportada para el seguimiento del indicador.</t>
  </si>
  <si>
    <t>Durante este periodo se presenta una leve disminución en un punto del porcentaje de cumplimiento pasando del 40% al 39%. Esta variación se debe que durante el mes de diciembre la mayoría de servicios de la SDIS cierran meta o suspenden atención como es el caso de Jardines Infantiles y Centros Día. El mayor nivel de complementariedad se realizó con los servicios asociados a seguridad alimentaria. Así mismo, durante el este periodo, se realizó gestión con la Subdirección de Discapacidad, con la finalidad de incorporar el servicio social Cuidando de Ti, en los CDC que funcionan como Ancla de Manzanas de Cuidado, si bien, se realizaron acercamientos, los resultados de esta articulación se verán reflejados en las cifras de la vigencia 2023.</t>
  </si>
  <si>
    <t>14/12/2022. No se generan observaciones respecto al análisis y evidencia reportada para el seguimiento del indicador.</t>
  </si>
  <si>
    <t>Teniendo en cuenta que el sistema de información SIRBE se encuentra en proceso de parametrización y armonización, no se cuentan con datos cuantitativos con corte a noviembre, sin embargo, para efectos de reporte,  se mantiene el dato cuantitativo reportado en el mes de octubre hasta que se actualice el sistema de información. En términos de gestión,  durante el mes de noviembre, se mantuvo la articulación con  los referentes locales de los diferentes servicios de la SDIS con el fin de socializar la oferta disponible de los CDC igualmente se continuo con la operación de convenios interadministrativos con IDARTES y SENA lo que permitió movilizar y diversificar la oferta en todas las unidades operativas.</t>
  </si>
  <si>
    <t>15/11/2022. No se generan observaciones respecto al análisis y evidencia reportada para el seguimiento del indicador.</t>
  </si>
  <si>
    <t>Durante este período se logra un aumento leve, respecto al resultado del indicador en el mes anterior. En términos generales, se mantiene la articulación de complementariedad de servicios CDC con los demás servicios de la SDIS, logrando de manera conjunta avances en la integralidad  de atención en el territorio. El mayor nivel de complementariedad se realizó con los servicios asociados a seguridad alimentaria y atención a personas mayores.</t>
  </si>
  <si>
    <t>08/07/2022. Se debe ajustar el análisis cualitativo, el cual no corresponde con el mes reportado.
08/07/2022. No se generan observaciones adicionales respecto al análisis y la evidencia presentada corresponde con lo reportado en el seguimiento del indicador.</t>
  </si>
  <si>
    <t>En el mes de junio se registraron 31.855 personas únicas atendidas en los Centros de Desarrollo Comunitario, de estas 12.574 se encuentran vinculados a otros servicios de la SDIS, presentando como resultado un 39% en el indicador de gestión. Lo que refleja la efectividad de la articulación con otros servicios de la SDIS entre los que se resaltan los servicios de jardines infantiles, comedores, apoyo económico para persona mayor, creciendo en familia, personas con discapacidad y casas de la juventud. 
Teniendo en cuenta que el servicio tiempo propio para personas cuidadoras hace parte de uno de los servicios de las manzanas del cuidado y el Sistema Distrital de Cuidado-SIDICU, que busca la atención integral de personas cuidadoras y sujetos del cuidado, se implementaron 332 actividades, que corresponde a la oferta de la modalidad de zonas de descanso y autocuidado, a través de las cuales se atendieron 9.603 personas cuidadoras vinculadas a otros servicios sociales de la SDIS; las actividades con mayor participación son actividades físicas y actividades de relajación, ejercicio que también tiene un impacto positivo en el resultado del indicador de gestión.</t>
  </si>
  <si>
    <t>En el mes de abril se registraron 20111 personas únicas atendidas en los Centros de Desarrollo Comunitario, de estas 7439 se encuentran vinculados a otros servicios de la SDIS, presentando como resultado un 37% en el indicador de gestión. Lo que refleja la efectividad de la articulación con otros servicios de la SDIS entre los que se resaltan los servicios de jardines infantiles, comedores, apoyo económico para persona mayor, creciendo en familia, personas con discapacidad y casas de la juventud.
A corte de abril el servicio tiempo propio para personas cuidadoras se ha visto fortalecido con la realización de 138 actividades donde se atendieron 1541 usuarios a través de la oferta de la modalidad de zonas de descanso y autocuidado, las actividades con mayor participación son yoga, actividades lúdicas, gimnasia y aeróbicos, danzas y natación.</t>
  </si>
  <si>
    <t xml:space="preserve">En el mes de enero se registraron 2199 personas únicas atendidas en los Centros de Desarrollo Comunitario, de estas 472 se encuentran vinculados a otros servicios de la SDIS, presentando como resultado un 21% en el indicador de gestión. Lo que es un buen indicador teniendo en cuenta que la meta es el 35%. esto se relaciona con que se han venido posicionando la complementariedad de los servicios que se prestan en los CDCs, con los demás servicios de la entidad. esto se asocia a la implementación del sistema distrital del cuidado, donde la oferta de los CDCs se plantea como uno de los componentes de la dupla de atención formulada en las manzanas del cuidado y se proponen servicios simultáneos para los sujetos de cuidado y para las personas cuidadoras, impactando en la dinámica de la modalidad orientando así la complementariedad de los servicios de manera más amplia. 
En enero la oferta relacionada con respiro y autocuidado como yoga, pilates, defensa personal, vacaciones recreativas, actividad física y deportiva tuvo muy buena acogida entre las personas cuidadoras, especialmente en las localidades de san Cristóbal y Rafael Uribe y Usme que recogen el 63% de las atenciones. 
</t>
  </si>
  <si>
    <t>Durante el año 2022, se referenciaron un total de 1291 personas, realizando seguimiento a un total de 791 personas, con lo cual el porcentaje de seguimiento acumulado fue de 61%, que corresponde a un cumplimiento del 102% programado en la meta del indicador.  Dicha diferencia obedece a un sobre cumplimiento que se dio en el mes de marzo  en relación con la posibilidad de realizar mayor seguimiento a las referenciaciones por parte del equipo profesional del Proyecto 7730. Este aspecto se puede interpretar como un indicativo de adecuada construcción y planeación del indicador de gestión para el seguimiento a la referenciación.
Durante el año 2022 se realizó la referenciación de población proveniente de flujos migratorios mixtos a servicios de la SDIS, a entidades del orden distrital, privadas sin ánimo de lucro y de cooperación internacional para temas de salud, educación, alojamiento, orientación psicosocial, orientación jurídica, transferencias multipropósito y entrega de ayudas alimentarias. Entre las entidades que se destacan por requerirse referenciación en los diferentes meses del año se encuentran Secretaría de Salud, Secretaría de Educación, Medical Teams, Americares, Fundación de Atención al Migrante (FAMIG), ACNUR, ADN Dignidad, Save the Children y Fundación Scalabrini.
El seguimiento a la referenciación presentó durante el año 2022 un rezago y un sobrecumplimiento, los cuales no afectaron significativamente el comportamiento del indicador en su ejecución (diferencia de 2% respecto al 100% programado), y por lo tanto, se considera continuar con el mismo para la vigencia 2023. En cuanto al seguimiento a las referenciaciones y el uso del indicador, se ha logrado mejorar los canales de comunicación con las organizaciones en favor de la eficacia en la atención.</t>
  </si>
  <si>
    <t>11/01/2023
El formato debe contener las observaciones de verificación de segunda línea de defensa del mes de noviembre, por favor relacionarlas, según lo reportado por el Profesional del Equipo SG de la SDES el mes anterior.
Ajustar el análisis mensual  (primer párrafo) para diferenciar el resultado del  mes de diciembre del análisis del último trimestre.
13/01/2023
No se identifican observaciones ni sugerencias adicionales para el periodo reportado.</t>
  </si>
  <si>
    <t>“Durante el mes de diciembre el cumplimiento del indicador corresponde a 60,3%, dado que se referenciaron 53 personas y se realizaron 32 seguimientos a la referenciación. Se evidencia durante el mes en mención una alta referenciación a la entidad externa ADN Dignidad, y la Fundación Scalabrini. 
Durante el cuarto trimestre de 2022, se referenciaron un total de 269 personas, realizando seguimiento a un total de 161 personas, con lo cual el porcentaje de seguimiento fue de 60%, que corresponde alo programado en la meta del indicador.  Este aspecto junto con el comportamiento del indicador en los trimestres anteriores se puede interpretar como un indicativo de adecuada construcción y planeación del mismo para el seguimiento a la referenciación. 
Durante el cuarto trimestre se continúa con la referenciación de población proveniente de flujos migratorios mixtos a servicios de la SDIS, a entidades del orden distrital, privadas sin ánimo de lucro y de cooperación internacional. Lo anterior en concordancia con los propósitos definidos desde el servicio en mención y el procedimiento Orientación, información y referenciación (PCD-PSS-006). Es importante mencionar que en atención al cumplimiento que presenta el indicador, se considera continuar con el mismo para la vigencia 2023 y se continuará con el proceso de referenciación a la población de flujos migratorios mixtos acorde con los lineamientos y metas del proyecto.                                                                                                                                                                                                                                                                                                      
 En términos operativos desde el equipo del servicio se adelantaron las acciones para dar cumplimiento a la meta del indicador de acuerdo con lo esperado”.</t>
  </si>
  <si>
    <t>Durante el mes de noviembre se continúa con el proceso de referenciación de población proveniente de flujos migratorios mixtos tanto a los servicios de la Secretaria Distrital de Integración Social, como a otras entidades del orden distrital y de cooperación internacional. 
Se evidencia referenciación a las siguientes entidades de cooperación internacional: Acción contra el hambre, ACNUR, ADN Dignidad, Alta Consejería para las Victimas, Americare, Bethany, Consejo Noruego, Cruz Roja, FAMIG, Fundación Scalabriny, FUPAD, Humaity and inclusión, Medicals Teams International, OIM y Save the Children; así mismo, se realizan referenciaciones a Secretaría Distrital de Salud y Secretaría Distrital de Educación. Lo anterior, siguiendo lo establecido en el procedimiento Orientación, información y referenciación (PCD-PSS-006). 
Es importante mencionar que durante el mes hay un aumento en el número de referenciaciones debido a una subida en las solicitudes, ya que el servicio es a demanda. Sin embargo, no afecta el desempeño del indicador con respecto a la meta programada.</t>
  </si>
  <si>
    <t>Durante el mes de octubre se continua con el proceso de referenciación a la población de flujos migratorios mixtos acorde con los lineamientos y metas del proyecto. Se ha realizado una referenciación constante a servicios internos de la Secretaría Distrital de Integración Social como a servicios externos con entidades distritales y cooperantes internacionales. 
Se evidencia una alta referenciación a la entidad externa ADN Dignidad, Fundación de Atención al Migrante (FAMIG) y Save The Children las cuales están orientadas a Transferencias Monetarias Multipropósito e Iniciativas de Emprendimiento. Lo anterior se realizó de acuerdo con el procedimiento Orientación, información y referenciación (PCD-PSS-006) de la Secretaría Distrital de Integración Social (SDIS).           
En términos operativos desde el equipo del servicio se están adelantando las acciones para dar cumplimiento a la meta del indicador de acuerdo con lo esperado y adicionalmente se está monitoreando el comportamiento de este.</t>
  </si>
  <si>
    <t>Con relación a la ejecución del indicador se presentó ejecución de 72.629 actuaciones en estado de seguimiento oportuno de 77.247 alcanzando un 94% de los resultados esperados, no obstante se supero la meta programada para la vigencia que era del 90%, así las cosas se presento una ejecución del 104% con relación a la meta programada, por lo anterior para la vigencia 2023, se incrementará la meta al 95%.</t>
  </si>
  <si>
    <t>11/01/2023 No se generan observaciones respecto al análisis presentando en el seguimiento al indicador de gestión. Se deja la siguiente recomendación: debemos actualizar la descripción del método de cálculo, la tendencia anual y la meta del indicador para la vigencia 2023.</t>
  </si>
  <si>
    <t>El día 2 de enero de 2023, se recibe reporte de medición del indicador de gestión para  el periodo de octubre a diciembre del año 2022.
En el periodo objeto de medición, se identificó que las Comisarías de Familia programaron 37.508 actuaciones en estado seguimiento, de las cuales registraron los respectivos resultados 35.358, logrando así el 94,26% de cumplimiento oportuno de registro de las actuaciones al Sistema de Información SIRBE COMISARÍAS.
Así mismo, durante el periodo comprendido entre el 1 de octubre y el 31 de diciembre de 2022, no se recibieron reportes  significativos que pudiera afectar la prestación del servicio en las Comisarías de Familia en general. Es de anotar que la Comisaria de Familia de Engativá 2,  reporta durante los meses de noviembre y diciembre incapacidad medica de una profesional de seguimiento,  por cuanto la ausencia de esta profesional en la señalada comisaría, puede afectar el registro oportuno de las actuaciones.
Durante el periodo de medición se fortaleció el equipo de profesionales que se encuentran realizando seguimiento de años anteriores y su correspondiente registro en el sistema de información. Contando en la actualidad con 9 profesionales distribuidos en las siguientes comisarias: Usaquén 1, Usaquén 2, Usme 2, Engativá 1, Engativá 2, Bosa 2, Kennedy 1, Puente Aranda, Ciudad Bolívar 1.</t>
  </si>
  <si>
    <t>12/12/2022 No se generan observaciones respecto al análisis presentando en el seguimiento al indicador de gestión. Se deja la siguiente recomendación: con respecto al cumplimiento del periodo ene-oct se encuentra actualmente en un sobrecumplimiento del 104% con respecto a la meta de la vigencia (90%), revisar para la próxima vigencia 2023 la necesidad de aumentar la meta.</t>
  </si>
  <si>
    <t>La Comisaría de Familia de Ciudad Bolívar 2, ubicada en Casa de Justicia y en la que opera Ruta Mujer, contaba hasta el mes de octubre con un profesional de seguimiento en cada uno de los turnos, apoyando las labores propias de este nivel,  a partir del mes de noviembre es trasladado uno de los equipos, dada la entrada en funcionamiento de la Ruta Mujer en la localidad de Kennedy. Situación que puede estar incidiendo negativamente en el registro de la información en el actual sistema  SIRBE de Comisarías, no solo por el volumen de audiencias de seguimiento, si no por que los profesionales de nivel 4°, asumen apoyo a nivel 2°, adelantando tramites de Medidas de Protección, dada la necesidad de atender oportunamente este tramite. Así mismo para el mes de noviembre de 2022, se ha presentado una situación de incapacidad medica, en una la profesional asignada a la comisaría de familia Engativá 2, sin contar con personal que pueda estar reemplazándole en el despacho, incidiendo negativamente en el cumplimiento de la meta propuesta para la medición de lo correspondiente indicador.</t>
  </si>
  <si>
    <t>09/11/2022 No se generan observaciones respecto al análisis presentando en el seguimiento al indicador de gestión. Se deja la siguiente recomendación: con respecto al cumplimiento del periodo ene-oct se encuentra actualmente en un sobrecumplimiento del 104% con respecto a la meta de la vigencia (90%), revisar para la próxima vigencia 2023 la necesidad de aumentar la meta.</t>
  </si>
  <si>
    <t xml:space="preserve">En el mes de octubre hubo redistribución por los profesionales del equipo de descongestión de seguimiento en las Comisarías de Familia: Usaquén 1, Usaquén 2, Ciudad Bolívar 1 y Usme 2 con miras a gestionar las medidas de protección que se encuentran en seguimiento los años 2018-2020.
Por otra parte no recibieron reportes provenientes del área de seguimiento de las Comisarías de Familia que pudiera generar amenaza de afectación al indicador de gestión de estos despachos. </t>
  </si>
  <si>
    <t>07/10/2022 No se generan observaciones respecto al análisis presentando en el seguimiento al indicador de gestión. Se deja la siguiente recomendación: con respecto al cumplimiento del periodo ene-sep se encuentra actualmente en un sobrecumplimiento del 104% con respecto a la meta de la vigencia (90%).</t>
  </si>
  <si>
    <t>Durante la vigencia 2022 se logró un cumplimiento promedio del 101% del indicador, en el cual se refleja el trabajo por parte de las dependencias del proyecto de inversión 7741 para lograr el cumplimiento de las metas y productos del Plan de Acción Institucional Integrado de acuerdo a lo programado.
Por parte del proceso se propone mantener el indicador y la meta para la vigencia 2023.</t>
  </si>
  <si>
    <t>11/01/2023 No se generan observaciones y/o recomendaciones respecto al análisis presentado en el seguimiento al indicador de gestión.</t>
  </si>
  <si>
    <t>De acuerdo con el reporte del Plan de Acción Institucional Integrado (PAII) con corte a 30 de septiembre de 2022, se obtuvo un promedio de ejecución de los productos del PAII de la Dirección de Análisis y Diseño Estratégico del 67%, Subdirección de Diseño, Evaluación y Sistematización un 100%, Subdirección de Investigación e Información un 100% y de la Oficina Asesora de Comunicaciones de 100%, lo que da como resultado un avance promedio del PAII del 92% de las dependencias que hacen parte del proyecto de inversión 7741.</t>
  </si>
  <si>
    <t>13/12/2022 No se generan observaciones respecto al análisis presentado en el seguimiento al indicador de gestión. Se tiene la siguiente recomendación: adelantar todas las acciones pertinentes para cumplir con la meta propuesta de la vigencia.</t>
  </si>
  <si>
    <t>Con corte a 30 de noviembre de 2022 la Dirección de Análisis y Diseño Estratégico, Subdirección de Diseño, Evaluación y Sistematización, Subdirección de Investigación e Información y Oficina Asesora de Comunicaciones desarrollaron sus correspondientes actividades programadas para el cuarto trimestre de 2022 en el Plan de Acción Institucional Integrado, el cual será reportado en la primera semana de enero de 2023.</t>
  </si>
  <si>
    <t>17/11/2022 No se generan observaciones respecto al análisis presentado en el seguimiento al indicador de gestión. Se tiene la siguiente recomendación: adelantar todas las acciones pertinentes para cumplir con la meta propuesta de la vigencia.</t>
  </si>
  <si>
    <t>Con corte a 31 de octubre de 2022 la Dirección de Análisis y Diseño Estratégico, Subdirección de Diseño, Evaluación y Sistematización, Subdirección de Investigación e Información y Oficina Asesora de Comunicaciones desarrollaron sus correspondientes actividades programadas para el cuarto trimestre de 2022 en el Plan de Acción Institucional Integrado, el cual será reportado en la primera semana de enero de 2023.</t>
  </si>
  <si>
    <t xml:space="preserve">
Durante la vigencia 2022 se dió respuesta a un total de 90 solicitudes de precios unitarios de referencia, es importante mencionar que para llevar a buen término  la respuesta a estas solicitudes desde el equipo de costo de la SDES,  se realizaron las siguientes acciones:
1. Sensibilizaciones a las diferentes subdirecciones en cuanto a las modificaciones realizadas al procedimiento Precios unitarios de referencia  PCD-PE-014:
• Las modificaciones al procedimiento de precios unitarios de referencia se realizaron mediante la Circular 023 - 25 de julio
• También se realizaron modificaciones  al instructivo Precios unitarios de referencia INS-PE-007, documento asociado al procedimiento y el cual rige y complementa para la verificación de requisitos mínimos que se deben cumplir para la determinación de precios unitarios de referencia.
• Fuentes de información
A. SECOP II 
B. SOLICITUD POR CORREO ELECTRONICO
C. CONSULTA PRESENCIAL
La sensibilización sobre los diferentes aspectos anteriormente mencionados, evita posibles hallazgos de entes de control en cuanto a:
 Cumplimiento de los criterios establecidos en tales documentos
 Transparencia en la definición de precios unitarios de referencia para la construcción de las estructuras de costos
 Al seguimiento del ejercicio de supervisión en cuanto al pago a los operadores que ejecutan los contratos suscritos con la entidad. 
2. Reuniones de acompañamiento para informar y aclarar observaciones y recomendaciones para la elaboración de estudios de mercados a las diferentes áreas técnicas tales como: Mesas de trabajo, Elaboración de documentos, Formato de cotización, Reunión de equipos interdisciplinarios, Consolidación de bases de datos, Solicitud de información, Clasificación de costos,  Consolidación general de la información.
Estas recomendaciones evitan de manera directa reproceso administrativos como:
 Errores de digitación en el archivo de validación de precios unitarios de referencia
 Requisitos mínimos requeridos en las cotizaciones
 Requerimientos técnicos del proceso (documentos técnicos) vs lo reflejados en la solicitud de información del estudio de mercado.
Lo anterior minimiza  los tiempos de respuesta a las solicitudes de precios unitarios de referencia.
Por otra parte estas acciones en conjunto (sensibilización del procedimiento y reuniones de acompañamiento)  también aportan a que las áreas técnicas en su proceso de planificación cumplan con las fechas establecidas de radicación según lo indicado en el PAA.
</t>
  </si>
  <si>
    <t>29/12/2022 Se recomienda tener en cuenta lo s criterios socializados en el comité de gestores del mes de diciembre, en lo que respecta indicar la gestión realizada en el periodo.
11/01/2023
No se generan observaciones o sugerencias adicionales frente al reporte o las evidencias del periodo.</t>
  </si>
  <si>
    <t xml:space="preserve">Los resultados obtenidos obedecen a que se brindó respuestas a 1 de  1 de la solicitud de precios unitarios de referencia allegada, al corte comprendido entre el 24 de noviembre hasta el 23 de diciembre, detallado de la siguiente manera:
* Cerrajería
En las revisiones realizadas a los procesos radicados se evidencia que:
* El proceso aporta la cantidad de cotizaciones mínimas requeridas con respecto del cumplimiento de requisitos mínimos.
* Cumple con los documentos técnicos requeridos para soportar las revisiones preliminares de los procesos.
* La solicitud formal, de precios unitarios de referencia ,cumplen con la información mínima requerida para tal solicitud.
Es importante mencionar que se realizan múltiples reuniones con los equipos técnicos antes de radicar de manera formal la solicitud, esta acciones evitan de manera directa reprocesas administrativos; adicional esto permite evitar posibles hallazgos de entes de control por no cumplir con lo establecido en el procedimiento e instructivo de precios unitarios de referencia
Dentro de los errores mas comunes u observaciones realizadas a los procesos en la revisiones preliminares se encuentran:
* Errores de digitación en el archivo de validación de precios unitarios de referencia
* No cumplimiento de los requisitos mínimos requeridos en las cotizaciones
* Diferencias entre los requerimientos técnicos del proceso (documentos técnicos) y los reflejados en la solicitud de información del estudio de mercado.
Lo que da un avance del indicador para el periodo del 100%, de acuerdo a lo tramitado 
</t>
  </si>
  <si>
    <t>09/12/2022 Se recomienda realizar un avance cualitativo que evidencie toda la gestión que realiza el proceso.</t>
  </si>
  <si>
    <t>Los resultados obtenidos obedecen a que se brindó respuestas a 2 de las 2 de las solicitudes de precios allegadas al corte comprendidas entre el 24 de octubre hasta el 23 de noviembre, detallado de la siguiente manera:
* Poda y Jardinería
* Redención por Alimentos
En las revisiones realizadas a los procesos radicaos se evidencia que:
* En su mayoría los procesos aportan la cantidad de cotizaciones mínimas requeridas con respecto del cumplimiento de requisitos mínimos.
* Cumplen con los documentos técnicos requeridos para soportar las revisiones preliminares de los procesos.
* Las solicitudes formales de precios unitarios de referencia cumplen con la información mínima requerida para tal solicitud.
Es importante mencionar que se realizan múltiples reuniones con los equipos técnicos antes de radicar de manera formal la solicitud, esta acciones evitan de manera directa reprocesos administrativos; adicional evitamos posibles hallazgos de entes de control por no cumplir con lo establecido en el procedimiento e instructivo del proceso de precios unitarios de referencia
Dentro de los errores mas comunes u observaciones realizadas a los procesos en la revisiones preliminares se encuentran:
* Errores de digitación en el archivo de validación de precios unitarios de referencia
* Requisitos mínimos requeridos en las cotizaciones
* Requerimientos técnicos del proceso (documentos técnicos) vs lo reflejados en la solicitud de información del estudio de mercado.
Lo que da un porcentaje de avance del 100% para el indicador.</t>
  </si>
  <si>
    <t>09/11/2022 Se recomienda realizar un avance cualitativo que evidencie toda la gestión que realiza el proceso.</t>
  </si>
  <si>
    <t>Los resultados obtenidos obedecen a que se brindó respuestas a 10 de las 10 de las solicitudes de precios allegadas al corte comprendidas entre el 23 de septiembre hasta el 24 de octubre, detallado de la siguiente manera:
* Comisión Proceso Aseo Personal
* Certificados Digitales
* Insumos De Archivo
* Grupo 3 Lotes 
   Licenciamiento Antivirus Y Renovación De Garantías
   Mantenimiento Para Los Equipos
   Mantenimiento De Ups Y Comisión 
* Muestras Microbiológicas
* Material Bibliográfico
* Centros Integrarte Atención Interna 2023
* Equipos De Conservación De Alimentos
* Comisión - Equipos De Conservación De Alimentos
* Servicio De Transporte Terrestre Especial Para La Sdis Y Comisión Bmc
En las revisiones realizadas a los procesos radicaos se evidencia que:
* En su mayoría los procesos aportan la cantidad de cotizaciones mínimas requeridas con respecto del cumplimiento de requisitos mínimos.
* Cumplen con los documentos técnicos requeridos para soportar las revisiones preliminares de los procesos.
* Las solicitudes formales de precios unitarios de referencia cumplen con la información mínima requerida para tal solicitud.
Es importante mencionar que se realizan múltiples reuniones con los equipos técnicos antes de radicar de manera formal la solicitud, esta acciones evitan de manera directa reprocesos administrativos; adicional evitamos posibles hallazgos de entes de control por no cumplir con lo establecido en el procedimiento e instructivo del proceso de precios unitarios de referencia
Dentro de los errores mas comunes u observaciones realizadas a los procesos en la revisiones preliminares se encuentran:
* Errores de digitación en el archivo de validación de precios unitarios de referencia
* Requisitos mínimos requeridos en las cotizaciones
* Requerimientos técnicos del proceso (documentos técnicos) vs lo reflejados en la solicitud de información del estudio de mercado.
Lo que da un porcentaje de avance del 100% para el indicador.</t>
  </si>
  <si>
    <t>Los resultados obtenidos obedecen a que se brindó respuestas a las 15 solicitudes allegadas al corte comprendidas entre el 23 de enero al 21 de febrero, detallado de la siguiente manera:
• Dirección territorial
   Funerarios 2022
• Subdirección administrativa y financiera 
   Porcentaje de comisión bmc proceso transporte 2022 - contrato de   comisión.
  Grupo 1  - buses
  Grupo 2 microbuses y vans
  Grupo 3 transporte de carga
  Grupo 4 taxi
  Grupo 1  - buses - alcance
  Grupo 2 microbuses y vans - alcance
• Subdirección de abastecimiento 
   Interventorías canastas
   Interventorías bonos 
   Interventorías comedores
   Interventorías suministros
   Canastas 2022
   Lista de precios comedores
• Subdirección para la infancia 
  Jardines infantiles cofinanciados 2022
Lo que da un porcentaje de avance del 100% para el indicador.</t>
  </si>
  <si>
    <t>Se mantendrá este indicador. 
La Secretaría Distrital de Integración Social a través del equipo de Inspección y Vigilancia durante la vigencia 2022, En el marco de la visitas de verificación de estándares Técnicos de calidad a los servicios sociales del Distrito Capital efectuó 1.142  visitas fueron efectivas aplicando el Instrumento Único de Verificación - IUV de estándares, correspondientes a 817 visitas de inspección y 310 a vigilancias presenciales y virtuales. Adicionalmente 15 visitas de verificación de condiciones en el marco del acuerdo 196 para el beneficio tributario.
Durante el primer semestre las visitas tuvieron un desarrollo significativo frente a la vigencia anterior,  considerando que una vez se alzan las medidas de seguridad, se llevaron a cabo las visitas con normalidad aunque con algunas restricciones frente al recibimiento de la visita por parte de algunas instituciones. 
 Es importante manifestar que el trabajo del equipo de inspección y vigilancia a  través de la verificación de estándares técnicos de calidad en las instituciones que prestan diferentes servicios sociales a la población, permite que la ciudad cuente con servicios cualificados para la atención de los niños y niñas, Persona Mayor y habitante de calle, aportando con ello a la mejora en la calidad de vida de los habitantes de la ciudad y población vulnerable.
Para 2023 es importante continuar con la medición de este indicador considerando que permite tener un seguimiento efectivo que mide las instituciones visitadas durante la vigencia.</t>
  </si>
  <si>
    <t>12/01/2023
No se generan observaciones ni sugerencias frente al reporte y las evidencias presentadas para el periodo.</t>
  </si>
  <si>
    <t>A diciembre de la presente vigencia, se programaron 1.357 visitas de verificación de estándares de calidad a  902 instituciones, de las cuales  1.142  visitas fueron efectivas aplicando el Instrumento Único de Verificación - IUV de estándares, correspondientes a 817 visitas de inspección y 310 a vigilancias presenciales y virtuales. Adicionalmente 15 visitas de verificación de condiciones en el marco del acuerdo 196 para el beneficio tributario.
En ese sentido se realizaron las siguientes visitas efectivas: 
- 194 visitas de inspección a  Instituciones de Protección y Atención a las Personas Mayores.
- 923 visitas de inspección y vigilancia a instituciones que prestan los servicios de Educación Inicial - AIPI de carácter público y privado, de las cuales 613 fueron de inspección y 310 a vigilancias presenciales y virtuales.
- 15 visitas de verificación para el beneficio tributario acuerdo 196
- 7 visitas a Centros Proteger.
- 3 a Hogares de paso de Habitante de calle.
Las instituciones restantes tuvieron imposibilidad de visita, considerando que por diversos factores manifestados en los Hogares Gerontológicos (HG) o Jardines Infantiles (JI) no atendieron la visita. De igual forma, se continuo programando las diferentes instituciones y se continuará programando el siguiente año para lograr realizar efectivamente las visitas, con el fin de avanzar en el cumplimiento de la meta establecida y se continuará realizando seguimiento a la programación y ejecución de las visitas de verificación de estándares técnicos de calidad y seguimiento a su cumplimiento.</t>
  </si>
  <si>
    <t>15/12/2022
No se generan observaciones o recomendaciones respecto al análisis presentado en el seguimiento al indicador de gestión.</t>
  </si>
  <si>
    <t>Durante el mes de noviembre se programaron visitas de inspección y de vigilancia a  hogares de persona mayor y jardines infantiles, a los cuales se les realizó la verificación de estándares técnicos de calidad.
Con el fin de avanzar en el cumplimiento de la meta establecida se continúa realizando seguimiento a la programación y ejecución de las visitas de verificación de estándares técnicos de calidad y seguimiento a su cumplimiento.</t>
  </si>
  <si>
    <t>Durante el mes de octubre se programaron visitas de inspección y de vigilancia a  hogares de persona mayor y jardines infantiles; así como a dos nuevos servicios (Hogares de paso HC y Centros Proteger), a los cuales se les realizó la verificación de estándares técnicos de calidad.
Con el fin de avanzar en el cumplimiento de la meta establecida se continúa realizando seguimiento a la programación y ejecución de las visitas de verificación de estándares técnicos de calidad y seguimiento a su cumplimiento.</t>
  </si>
  <si>
    <t>Se mantendrá este indicador.
La Secretaría Distrital de Integración Social a través del equipo de Inspección y Vigilancia durante la vigencia 2022, en el marco de la visitas de verificación de estándares Técnicos de calidad a los servicios sociales del Distrito Capital efectuó 43  visitas de primera vez a instituciones inscritas durante la vigencia, esto permite realizar la verificación de condiciones de operación de las instituciones para la prestación del servicio, logrando progresivamente un mejor servicio en el marco de los estándares de calidad.
Durante la vigencia las visitas tuvieron un desarrollo significativo, se llevaron a cabo las visitas con normalidad aunque con algunas restricciones frente al recibimiento de la visita por parte de algunas instituciones que de igual forma se reprogramaran en la siguiente vigencia. 
Para 2023 es importante continuar con la medición de este indicador considerando que permite tener un seguimiento efectivo a las primeras visitas realizadas a las instituciones inscritas durante la vigencia.</t>
  </si>
  <si>
    <t>A diciembre de 2022, 47 instituciones se inscribieron en el SIRSS para la prestación del servicio social de Educación Inicial y de Atención y Protección a las Personas Mayores, de las cuales 43 instituciones nuevas inscritas en el SIRSS que prestan servicios sociales cuentan con visitas de inspección realizadas por primera vez (acumuladas), con un porcentaje de cumplimiento del 91%.
Con corte a diciembre se visitaron diez (10) hogares de persona mayor inscritos y treinta y tres (33) jardines infantiles públicos y privados realizando la visita de primera vez.
En este sentido se continuará realizando programación continua de visitas de primera vez a las instituciones que realicen o han realizado el proceso de inscripción al SIRSS, cumpliendo con la primera verificación de condiciones de operación de estas instituciones y el respectivo proceso de inspección y vigilancia y así lograr el cumplimiento de la meta del indicador.</t>
  </si>
  <si>
    <t>En el mes de noviembre dos (2) instituciones se inscribieron en el SIRSS para la prestación del servicio social de Educación Inicial . Durante el periodo, el equipo de Inspección y Vigilancia realizó visitas de primera vez.
Se continuará priorizando la realización de las visitas de primera vez conforme se reciban inscripciones, para lograr así el cumplimiento de la meta propuesta para la presente vigencia.</t>
  </si>
  <si>
    <t>En el mes de octubre dos (2) instituciones se inscribieron en el SIRSS para la prestación del servicio social de Educación Inicial y Atención y Protección a las Personas Mayores. Durante el periodo, el equipo de Inspección y Vigilancia inició y realizó visitas de primera vez.
En el transcurso de la vigencia se continuará priorizando la realización de las visitas de primera vez conforme se reciban inscripciones, para lograr así el cumplimiento de la meta propuesta para la presente vigencia.</t>
  </si>
  <si>
    <t>Durante la vigencia 2022 se llevaron acabo un total de 708 pruebas representativas en las Unidades Operativas de la SDIS, cumpliendo con el 100% de lo programado. Esta actividad se desarrolló durante el año con el fin de verificar el estado de los bienes de inventarios de los funcionarios y contratistas de la SDIS lo cual permite la adecuada gestión y utilización de los elementos que son utilizados para la prestación de los servicios sociales.
Desde Gestión Logística se requiere actualizar este indicador para la vigencia 2023, debido a que la redacción en la fórmula de cálculo no es el “seguimiento” si no el “desarrollo” de la prueba representativa.
Adicionalmente en la fórmula se dice que se hacen 12 pruebas y/o conteos selectivos durante la vigencia, lo cual no corresponde con la realidad.</t>
  </si>
  <si>
    <t>18/01/2023. No se generan observaciones respecto al análisis y evidencias presentadas en el seguimiento al indicador de gestión.
Adicionalmente, se recomienda que en la actualización del indicador, se valide la pertinencia de la evidencia definida en la formulación, la cual corresponde a "Informe de gestión por cada seguimiento realizado".</t>
  </si>
  <si>
    <t>Durante el segundo semestre  de reporte vigencia 2022 se consolidan las pruebas representativas ejecutadas en las Subdirecciones Locales y Subdirecciones Técnicas por parte de los referentes de Nivel Central y los Gestores Locales de Inventario.</t>
  </si>
  <si>
    <t>14/12/2022. No se generan observaciones o recomendaciones respecto al análisis presentado en el seguimiento al indicador de gestión</t>
  </si>
  <si>
    <t>Durante el mes de reporte se consolidan las pruebas representativas ejecutadas en las Subdirecciones Locales y Subdirecciones Técnicas por parte de los referentes de Nivel Central y los Gestores Locales de Inventario.
Se consolida una base de datos compartida con el fin de organizar la información de las pruebas representativas durante la presente vigencia.
Debido a que algunas pruebas se realizaron la última semana del mes, están en proceso de firmas y no fueron incluidas en este reporte, por tal motivo la cifra se ajustará para el reporte del último trimestre y del consolidado 2022.</t>
  </si>
  <si>
    <t>11/11/2022. No se generan observaciones o recomendaciones respecto al análisis presentado en el seguimiento al indicador de gestión</t>
  </si>
  <si>
    <t>Durante el mes de reporte se consolidan las pruebas representativas ejecutadas en las Subdirecciones Locales y Subdirecciones Técnicas por parte de los referentes de Nivel Central y los Gestores Locales de Inventario.
Se consolida una base de datos compartida con el fin de organizar la información de las pruebas representativas durante la presente vigencia.</t>
  </si>
  <si>
    <t>Durante la vigencia 2022 se gestionaron 8671 traslados de bienes tramitados al 100% asegurando el buen manejo y ubicación de los bienes de inventarios de la SDIS a funcionarios y contratistas.
Desde Gestión Logística se continuará con el indicador para la vigencia 2023.</t>
  </si>
  <si>
    <t>18/01/2023. No se generan observaciones respecto al análisis y evidencias presentadas en el seguimiento al indicador de gestión.</t>
  </si>
  <si>
    <t>Durante el 4to trimestre de la vigencia 2022 se gestionaron 7804 traslados de bienes.
En el mes de diciembre se gestionaron 565 traslados de bienes mediante los cuales se modifico la responsabilidad sobre bienes de inventario de la SDIS. Se tramito el 100% de los mismos.</t>
  </si>
  <si>
    <t>En el mes de noviembre se gestionaron 675 traslados de bienes mediante los cuales se modifico la responsabilidad sobre bienes de inventario de la SDIS. Se tramito el 100% de  los mismos.</t>
  </si>
  <si>
    <t>11/11/2022. Se recomienda que el reporte cuantitativo se realice de acuerdo a la periodicidad del indicador, en este caso es trimestral, por lo tanto se debe reportar la parte cualitativa. 
11/11/2022. No se generan observaciones o recomendaciones respecto al análisis presentado en el seguimiento al indicador de gestión</t>
  </si>
  <si>
    <t>En el mes de octubre se gestionaron 564 traslados de bienes mediante los cuales se modifico la responsabilidad sobre bienes de inventario de la SDIS. Se tramito el 100% de  los mismos.</t>
  </si>
  <si>
    <t>19/07/2022. No se generan más observaciones o recomendaciones respecto al análisis presentado en el seguimiento al indicador de gestión</t>
  </si>
  <si>
    <t>Se cumple la meta Anual al 100% con las socializaciones realizadas durante el 2022 en todos los temas de inventarios, traslados, conocimiento de los procesos y procedimientos para una adecuada gestión y control de los bienes de la SDIS por parte de funcionarios y contratistas.
Desde Gestión Logística se requiere derogar este indicador para la vigencia 2023 ya que esta es una actividad recurrente de la SDIS dentro del proceso de inducción y reinducción de los funcionarios de la entidad y la medición de la misma no genera valor agregado para los objetivos del proceso.
Adicionalmente, en cada vigencia se desarrollan este tipo de actividades de forma recurrente debido a la alta rotación de personal.</t>
  </si>
  <si>
    <t>Durante el 2do semestre de la vigencia 2022 se programo una socialización la cual fue realizada en el mes de septiembre. De igual forma se realizaron unas socializaciones adicionales en los meses de octubre y noviembre, con el fin de completar las socializaciones pendientes del primer semestre. 
Para el mes de Diciembre no se programaron socializaciones ya que el cumplimiento de la meta anual se completó en el mes anterior.</t>
  </si>
  <si>
    <t>14/12/2022. No se generan observaciones o recomendaciones respecto al análisis presentado en el seguimiento al indicador de gestión.</t>
  </si>
  <si>
    <t>El día 24 de noviembre se realizó una reunión y socialización del cierre de vigencia de 2022. En este espacio se dieron a conocer las fechas de apertura y cierre de los meses de noviembre y diciembre. Adicionalmente se presentó el balance de las pruebas representativas realizadas durante la vigencia 2022.</t>
  </si>
  <si>
    <t>El día 26 de octubre se realizó una socialización sobre los temas relacionados con mantenimiento producto de la gestión de los inventarios de la SDIS.
Esta socialización se realizó vía Teams con la participación de los Referentes Administrativos y Gestores de Inventarios de las distintas Subdirecciones Técnicas y Locales.</t>
  </si>
  <si>
    <t>El día 09 de Septiembre se realizó la socialización sobre las legalizaciones de inventarios con los Fondos de Desarrollo Local, contando con la participación de los gestores de inventario de todas las localidades y los agentes territoriales quienes son nuestro enlace con las alcaldías locales.
Con esta socialización se da por cumplida la meta en la presente vigencia, sin embargo, el Grupo de Inventarios y Almacén seguirá realizando procesos de socialización en el siguiente trimestre con el fin de fortalecer el buen uso de los bienes institucionales por parte de los funcionarios y contratistas de la SDIS</t>
  </si>
  <si>
    <t>Se cumple la meta Anual al 100% con los requerimientos atendidos durante el 2022 en todos los temas de servicios de vigilancia, transporte, servicios generales y manipulación de alimentos, requeridos en la entidad para cada una de las unidades operativas y subdirecciones locales.
Desde Gestión Logística se continuará con la medición del indicador para la vigencia 2023, con el fin de asegurar el adecuado soporte de servicios requeridos para la operación institucional.</t>
  </si>
  <si>
    <t>En el mes de diciembre se recibieron 2.518 requerimientos por parte de las diferentes unidades operativas y subdirecciones locales con referencia a los servicios de vigilancia, transporte, servicios generales y manipulación de alimentos, los cuales fueron gestionados en un 100% de forma eficiente en el transcurso del periodo.</t>
  </si>
  <si>
    <t>14/12/2022. Se recomienda subir las evidencias a la carpeta compartida para realizar la respectiva verificación.
14/12/2022. No se generan más observaciones o recomendaciones respecto al análisis presentado en el seguimiento al indicador de gestión.</t>
  </si>
  <si>
    <t>En el mes de noviembre se recibieron3.568 requerimientos por parte de las diferentes unidades operativas y subdirecciones locales con referencia a los servicios de vigilancia, transporte, servicios generales y manipulación de alimentos, los cuales fueron gestionados en un 100% de forma eficiente en el transcurso del periodo.</t>
  </si>
  <si>
    <r>
      <t xml:space="preserve">En el mes de octubre se recibieron </t>
    </r>
    <r>
      <rPr>
        <sz val="9"/>
        <rFont val="Arial"/>
        <family val="2"/>
      </rPr>
      <t>4.151</t>
    </r>
    <r>
      <rPr>
        <sz val="9"/>
        <color theme="1"/>
        <rFont val="Arial"/>
        <family val="2"/>
      </rPr>
      <t xml:space="preserve"> requerimientos por parte de las diferentes unidades operativas y subdirecciones locales con referencia a los servicios de vigilancia, transporte, servicios generales y manipulación de alimentos, los cuales fueron gestionados en un 100% de forma eficiente en el transcurso del periodo.
</t>
    </r>
  </si>
  <si>
    <t>No se reporto indicador</t>
  </si>
  <si>
    <t>El porcentaje de avance acumulado del 2022 es del 94%, logrando cumplir con la meta formulada (75%) e incluso alcanzar un 125% de cumplimiento. El anterior resultado se debe a que hubo un una reducción de las cifras de las acciones de tutela que llegaron a la Oficina Jurídica comparado con la vigencia 2021. Adicional, la Oficina Jurídica contó con el número de profesionales que garantizaron la contestación  en termino de las acciones de tutelas. Este indicador tuvo en cuenta las contestaciones que salen directamente de la Oficina Jurídica, en la vigencia anterior se tuvieron en cuenta tutelas de comisarias de familia las cuales la Oficina Jurídica no tenia control frente al cumplimiento del termino y para este año se genero una modificación en el procedimiento lo que permite que estas fueran excluidas desde el 3 trimestre en la sumatoria del indicador. 
 El  48 % de acciones de tutelas correspondió a acciones en donde se vinculó a la Secretaría Distrital de Integración Social en tutelas promovidas por prestación de servicios en salud, educación, empresas privadas entre otros.  El 34% correspondió a acciones en donde se demandó directamente a  la entidad frente a: i) El ingreso a servicios y modalidades de atención relacionados primordialmente con los proyectos de vejez y discapacidad.  ii) Vulneración al derecho de petición a cargo de las subdirecciones locales y subdirecciones técnicas de la entidad  y iii) derecho al trabajo ante la terminación de nombramientos provisionales a causa de la conformación  y uso de lista de elegibles producto de los concursos de méritos de empleos de carrera administrativa realizados por la Comisión Nacional del Servicio Civil.   Finalmente el  18 % de tutelas correspondió a acciones de tutelas en donde se vinculó y accionó a las Comisarías de Familia con ocasión del ejercicio de sus funciones.</t>
  </si>
  <si>
    <t>17/01/2023
Complementar en el análisis anual las situaciones o causas por las cuales el indicador presentó un sobrecumplimiento de 25 puntos por encima de la meta establecida para la vigencia.
17/01/2023
No se identifican observaciones ni sugerencias  adicionales frente al reporte del periodo.</t>
  </si>
  <si>
    <t xml:space="preserve">En el mes de diciembre de 2022, fueron contestadas cincuenta y seis (56) acciones de tutela y solo  una (1) fue contestada por fuera del término establecido por el Despacho Judicial.  
En consecuencia, el 98% de las acciones de tutela fueron enviadas a los despachos judiciales en el término otorgado por el Despacho Judicial </t>
  </si>
  <si>
    <t xml:space="preserve">15/12/2022
No se identifican observaciones ni sugerencias  frente al reporte del periodo. </t>
  </si>
  <si>
    <t xml:space="preserve">En el mes de noviembre de 2022, fueron contestadas setenta (70) acciones de tutela, de las cuales, dos (2) fueron contestadas por fuera del término establecido por el Despacho Judicial.  
En consecuencia, el 97% de las acciones de tutela fueron enviadas a los despachos judiciales en el término otorgado por el Despacho Judicial por retraso de las áreas técnicas en el envío de los insumos de respuesta.  </t>
  </si>
  <si>
    <t xml:space="preserve">10/11/2022
No se identifican observaciones ni sugerencias  frente al reporte del periodo. </t>
  </si>
  <si>
    <t xml:space="preserve">En el mes de octubre de 2022, fueron contestadas sesenta y un (61) acciones de tutela, de estas, cinco (5) fueron contestadas por fuera del término establecido por el Despacho Judicial. 
En consecuencia, el 92% de las acciones de tutela fueron enviadas a los despachos judiciales en el término otorgado por el Despacho Judicial por retraso de las áreas técnicas en el envío de los insumos de respuesta.  </t>
  </si>
  <si>
    <t>En la vigencia del año 2022 se recibieron mil ciento tres (1.103) casos, en el marco del Procedimiento de Deber de Denuncia, de los cuales se tramitaron mil noventa y cinco casos (1.095), que equivalen porcentualmente para la vigencia al noventa y nueve (99%), logrando cumplir con la meta formulada (85%) e incluso alcanzar un 117% de cumplimiento. 
Es importante aclarar que durante el segundo semestre, i) Se tramitaron y contestaron casos de seguimiento mayor al número que se recibió, teniendo en cuenta, que habían casos faltantes de seguimiento y con rezago.  ii) Este rezago obedeció a la reorganización interna que tuvo la Oficina Jurídica y la reasignación de los contratistas del equipo de Deber de Denuncia en diferentes líneas de trabajo.
Sin perjuicio de lo anterior, es importante resaltar que el reto para el año 2022 se cumplió satisfactoriamente teniendo en cuenta que los casos pendientes de la vigencia objeto de análisis es mínimo y que las contestaciones se están dando dentro de un término prudencial, lo que demuestra nuestra entera disposición de trabajar por una Bogotá comprometida en promover y proteger los derechos de los niños, niñas y adolescentes.</t>
  </si>
  <si>
    <t xml:space="preserve">17/01/2023
No se identifican observaciones ni sugerencias  frente al reporte del periodo. </t>
  </si>
  <si>
    <t xml:space="preserve">En el mes de diciembre del año 2022, la Oficina Jurídica recibió un total de ciento veintitrés (123) casos equivalentes a activaciones de ruta y seguimientos reportados por las Subdirecciones Locales de la SDIS y las Unidades Operativas dentro del mismo mes, así como seguimientos de meses anteriores.
En ese sentido, en el mes de diciembre, se dio contestación mediante elaboración de memorandos a un total de ciento treinta y dos (132) casos, los cuales corresponden a 25 de marzo, 1 de abril, 3 de agosto, 1 de septiembre, 15 de noviembre y 87 de diciembre. 
De esos 123 casos que ingresaron en el mes de diciembre, hay 36 restantes se darán respuesta en enero ya que llegaron la ultima semana de diciembre y adicional algunos que ingresaron entre el 22 y 30 de diciembre del año 2022 y quedan pendientes ya que las Unidades Operativas se encontraban cerradas, por lo que serán atendidos dentro del mes de enero del año en curso.
</t>
  </si>
  <si>
    <t xml:space="preserve">En el mes de noviembre del año en curso, la Oficina Asesora Jurídica recibió un total de ciento seis (106) casos equivalentes a activaciones de ruta y seguimientos reportados por las Subdirecciones Locales de la SDIS y las Unidades Operativas.
En ese sentido, en el mes de noviembre, se dio contestación mediante elaboración de memorandos a un total de ciento veintiocho (128) casos, los cuales corresponden a 11 de febrero, 1 de marzo, 1 de agosto, 10 de septiembre, 35 de octubre y 70 de noviembre.
de esos ciento seis (106) casos que ingresaron en el mes de noviembre, se tramitaron y dieron contestación a 70 casos y se proyectaron memorandos de seguimiento a cincuenta y ocho (58) casos del rezago que venía de meses anteriores. </t>
  </si>
  <si>
    <t>En el mes de octubre del año en curso, la Oficina Asesora Jurídica recibió un total de noventa y siete (97) casos reportados por las Subdirecciones Locales de la SDIS y las Unidades Operativas.
Del mismo modo, en el mes de octubre, se dio contestación a un total de noventa y un (91) casos, los cuales corresponden a 57 de octubre, 26 de septiembre, 7 de agosto y 1 de julio.</t>
  </si>
  <si>
    <t>En el mes de junio las diferentes dependencias de la SDIS en el marco del Procedimiento de Deber de Denuncia, reportaron noventa y ocho (98) informes, de los cuales se tramitaron treinta y dos (32), debido al alto flujo que se encontraba pendiente de los meses anteriores. Estos oficios serán tramitados en el mes de julio de 2022, en término, comoquiera que el trámite de los mismos se vio afectado por la terminación de los contratos de algunos de los profesionales del equipo.
Durante el mes de junio de 2022 se tramitaron un (1) oficio pendiente del mes de octubre de 2021, nueve (9) oficios de noviembre de 2021 y diecisiete (17) oficios pendientes del mes de diciembre de 2021.
En cuanto a los trámites de 2022, se tramitaron cuatro (4) oficios pendientes del mes de enero, dos (2) oficios pendientes del mes de febrero, cuarenta y cinco (45) oficios pendientes del mes de marzo, cuarenta y cinco (45) oficios pendientes del mes de abril y setenta y dos (72) oficios pendientes del mes de mayo.
Finalmente, siete (7) informes del mes de septiembre de 2021, seis (6) informes del mes de octubre de 2021, nueve (9) informes del mes de noviembre de 2021, diez (10) informes del mes de diciembre de 2021, un (1) informe de enero de 2022, catorce (14) informes del mes de febrero de 2022, cuarenta y cuatro (44) informes del mes de marzo de 2022, dieciocho (18) informes del mes de abril de 2022[1] y cuarenta y seis (46) informes del mes de mayo de 2022 se encuentran pendientes y serán tramitados para firma.
Valga la pena anotar que durante el primer semestre de 2022 se tramitaron ciento cincuenta y dos (152) oficios allegados en el año 2021, los cuales se discriminan en forma mensual de la siguiente manera:
·        Enero: cinco (5) oficios pendientes del mes de septiembre de 2021, veintiún (21) oficios pendientes del mes de octubre de 2021, treinta y un (31) oficios pendientes del mes de noviembre de 2021 y veinticuatro (24) oficios pendientes del mes de diciembre de 2021.
·        Febrero: cinco (5) oficios pendientes del mes de septiembre de 2021, nueve (9) oficios pendientes del mes de octubre de 2021, tres (3) oficios pendientes del mes de noviembre de 2021 y nueve (9) oficios pendientes del mes de diciembre de 2021.
·        Marzo: un (1) oficio pendiente del mes de septiembre de 2021, seis (6) oficios pendientes del mes de octubre de 2021, y once (11) oficios pendientes del mes de diciembre de 2021.
·        Junio: un (1) oficio pendiente del mes de octubre de 2021, nueve (9) oficios pendientes del mes de noviembre de 2021 y diecisiete (17) oficios pendientes del mes de diciembre de 2021.
Para efectos de medición del indicador es importante tener en cuenta que el numerador se obtiene de la columna K "Fecha de salida" de la hoja del Excel llamada "contestadas" y el denominador se obtiene de la columna C "Fecha ingreso" de la hoja del Excel llamada "Radicadas en la OAJ".</t>
  </si>
  <si>
    <t xml:space="preserve">La constante durante el año 2022, consistió en el  continúo incremento de las demandas de nulidad y restablecimiento del derecho sobre la primacía de la realidad sobre las formalidades del contrato, con un porcentaje  acumulado para la vigencia del 94%, toda vez que muchas de las actuaciones que llegaron a la Oficina Jurídica fueron de carácter informativo y no pedían acción positiva por parte de la entidad (dar respuesta), adicional con todo al ser términos judiciales muchas de las actuaciones que notificaron en el mes de diciembre se resolverán posterior al 31 de enero de 2023, pues la vacancia judicial impide la radicación de dichos requerimientos entre el 19 de diciembre y el 11 enero. Así mismo, es importante aclarar que lo que se tenia que radicar dentro del calendario judicial se atendió, por tanto el cumplimiento de los requerimientos judiciales se contestaron en su totalidad.
Se resolvieron en tiempo las solicitudes de extensión de jurisprudencia de la Sentencia de Unificación de la Sección Segunda del Consejo de Estado No. 00260 de 2016 respecto de las contratistas de la Subdirección para la Infancia.
En ese sentido, se atendieron los requerimientos judiciales notificados en el correo de notificaciones y los notificados individualmente a cada uno de los abogados que ejercen representación judicial de la Entidad,
surtiendo así todas y cada una de las actuaciones procesales correspondientes en defensa de los intereses de la SDIS. </t>
  </si>
  <si>
    <t>17/01/2023
Complementar en el análisis anual las situaciones o causas que conllevaron al no cumplimiento de la meta del 100% establecido para la vigencia.
17/01/2023
No se identifican observaciones ni sugerencias  adicionales frente al reporte del periodo.</t>
  </si>
  <si>
    <t>En el mes de diciembre de 2022, contestamos solicitudes de la aplicación de  efectos de la jurisprudencia de unificación del Consejo de Estado No. 00260 de 2016 (Expediente 23001233300020130026001) - Artículo 102 de la Ley 1437 de 2011. 
Por otra parte, realizamos estudios de conciliaciones judiciales, presentamos contestación de demandas, asistimos a  audiencias iniciales, de pruebas, alegaciones y juzgamiento, presentamos alegatos de conclusión en diferentes instancias y recursos.
La mayor parte de las audiencias a las que se hace alusión fueron programadas y notificadas en meses anteriores. Igualmente se fijaron fechas para audiencias para meses posteriores.
Así mismo fueron notificadas demandas dentro de las cuales se tiene un plazo de contestación de 30 días hábiles. En consideración con lo anterior y para ejercer la defensa técnica de la entidad, hemos solicitado insumos a las diferentes dependencias.</t>
  </si>
  <si>
    <t>En el mes de noviembre de 2022, contestamos solicitudes de la aplicación de  efectos de la jurisprudencia de unificación del Consejo de Estado No. 00260 de 2016 (Expediente 23001233300020130026001) - Artículo 102 de la Ley 1437 de 2011. 
Por otra parte, realizamos estudios de conciliaciones judiciales, presentamos contestación de demandas, asistimos a  audiencias iniciales, de pruebas, alegaciones y juzgamiento, presentamos alegatos de conclusión en diferentes instancias y recursos.
La mayor parte de las audiencias a las que se hace alusión fueron programadas y notificadas en meses anteriores. Igualmente se fijaron fechas para audiencias para meses posteriores.
Así mismo fueron notificadas demandas dentro de las cuales se tiene un plazo de contestación de 30 días hábiles. En consideración con lo anterior y para ejercer la defensa técnica de la entidad, hemos solicitado insumos a las diferentes dependencias.</t>
  </si>
  <si>
    <t xml:space="preserve">"En el mes de octubre de 2022, contestamos solicitudes de la aplicación de  efectos de la jurisprudencia de unificación del Consejo de Estado No. 00260 de 2016 (Expediente 23001233300020130026001) - Artículo 102 de la Ley 1437 de 2011. 
Por otra parte, realizamos estudios de conciliaciones judiciales, presentamos contestación de demandas, asistimos a  audiencias iniciales, de pruebas, alegaciones y juzgamiento, presentamos alegatos de conclusión en diferentes instancias y recursos.
La mayor parte de las audiencias a las que se hace alusión fueron programadas y notificadas en meses anteriores. Igualmente se fijaron fechas para audiencias para meses posteriores.
Así mismo fueron notificadas demandas dentro de las cuales se tiene un plazo de contestación de 30 días hábiles. En consideración con lo anterior y para ejercer la defensa técnica de la entidad, hemos solicitado insumos a las diferentes dependencias."
</t>
  </si>
  <si>
    <t xml:space="preserve">En los meses de julio, agosto y septiembre de 2022, contestamos solicitudes de la aplicación de  efectos de la jurisprudencia de unificación del Consejo de Estado No. 00260 de 2016 (Expediente 23001233300020130026001) - Artículo 102 de la Ley 1437 de 2011. 
Por otra parte, realizamos estudios de conciliaciones judiciales, presentamos contestación de demandas, asistimos a  audiencias iniciales, de pruebas, alegaciones y juzgamiento, presentamos alegatos de conclusión en diferentes instancias y recursos.
La mayor parte de las audiencias a las que se hace alusión fueron programadas y notificadas en meses anteriores. Igualmente se fijaron fechas para audiencias para meses posteriores.
Así mismo fueron notificadas demandas dentro de las cuales se tiene un plazo de contestación de 30 días hábiles. En consideración con lo anterior y para ejercer la defensa técnica de la entidad, hemos solicitado insumos a las diferentes dependencias.
</t>
  </si>
  <si>
    <t>Durante el año 2022 se asistió a la totalidad de audiencias en las que se convocó a la Secretaría  Distrital de Integración  Social para las conciliaciones extrajudiciales ante la Procuraduría General de la Nación. En consecuencia, se tiene un porcentaje final del 100% durante el año 2022, donde se asistió a la totalidad de las audiencias de conciliación notificadas a la Entidad.</t>
  </si>
  <si>
    <t xml:space="preserve">Durante el mes de diciembre se asistió a cuatro (4) audiencias de conciliación extrajudicial. 
Se evacuaron 2 sesiones ordinarias  y 1 extraordinaria del comité de conciliación.
</t>
  </si>
  <si>
    <t>Durante el mes de noviembre se asistió a cuatro (4) audiencias de conciliación extrajudicial. 
Se evacuaron 2 sesiones ordinarias  y 1 extraordinaria del comité de conciliación.</t>
  </si>
  <si>
    <t>Durante el mes de octubre se asistió a cuatro (4) audiencias de conciliación extrajudicial. 
Se evacuaron 2 sesiones ordinarias  y 2 extraordinaria del comité de conciliación.</t>
  </si>
  <si>
    <t>Para la vigencia 2022  la ejecución de conciliaciones en las cuales se tiene en cuenta la información reportada por los proyectos objeto de este seguimiento se evidencia en 97% del 100% programado, es por ello que desde la Asesoría de recursos Financieros se envía mensualmente de manera personalizada (subdirector área responsable) correo electrónico recordatorio de la información que deben reportar y sus respectivos plazos. 
De acuerdo al comportamiento del indicador se mantendrá para la vigencia 2023, dado que aporta al resultado del objetivo del proceso Gestión financiera.</t>
  </si>
  <si>
    <t>Para el mes de noviembre 2022 se programó la elaboración de 15 conciliaciones de las cuales se efectuaron todas, cumpliendo con el 100% de las mismas.
De igual manera desde la Asesoría de recursos Financieros se envía mensualmente de manera personalizada (a cada subdirector de área responsable) correo recordatorio de la información que deben reportar y sus respectivos plazos.</t>
  </si>
  <si>
    <t xml:space="preserve">13/12/2022:
No se generan observaciones respecto al análisis y evidencias reportados para el seguimiento del indicador. </t>
  </si>
  <si>
    <t>Para el mes de octubre 2022 se programó la elaboración de 15 conciliaciones de las cuales se efectuaron todas, cumpliendo con el 100% de las mismas.
De igual manera desde la Asesoría de recursos Financieros se envía mensualmente de manera personalizada (a cada subdirector de área responsable) correo recordatorio de la información que deben reportar y sus respectivos plazos.</t>
  </si>
  <si>
    <t xml:space="preserve">09/11/2022:
No se generan observaciones respecto al análisis y evidencias reportados para el seguimiento del indicador. </t>
  </si>
  <si>
    <t>Para el mes de septiembre 2022 se programó la elaboración de 16 conciliaciones de las cuales se efectuaron todas, cumpliendo con el 100% de las mismas.
De igual manera desde la Asesoría de recursos Financieros se envía mensualmente de manera personalizada (a cada subdirector de área responsable) correo recordatorio de la información que deben reportar y sus respectivos plazos.</t>
  </si>
  <si>
    <t>La ejecución del PAC para la vigencia 2022 fue del 94%. La justificación al no cumplimiento de la meta está fundamentada en la no ejecución de los recursos para cada uno de los proyectos tanto de funcionamiento como de inversión, quienes son los responsables tanto de la programación como de la ejecución de los mismos.
Desde la Subdirección Administrativa y Financiera - Asesoría de Recursos Financieros - Grupo de Presupuesto, se efectuarán las respectivas recomendaciones y orientaciones a las Direcciones y Subdirecciones técnicas para que efectúen las acciones de seguimiento pertinente para así seguir generando mejora continua.
La medición de este indicador permitió evaluar la eficacia en la programación de los recursos mes a mes, aportando de esta manera al  logro del objetivo del proceso gestión financiera.  Este indicador se mantendrá para la vigencia 2023 teniendo en cuenta la importancia del control y seguimiento  para la programación de recursos por parte de Tesorería Distrital.</t>
  </si>
  <si>
    <t>Para el mes de diciembre se tiene una ejecución de PAC del 94%, quedando un porcentaje de recursos programados sin ejecutar por $12.807.399.713 equivalente al 6%,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</si>
  <si>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13/12/2022:
En las evidencias adjuntas, no se pueden identificar las cifras reportadas, por favor revisar y ajustar lo pertinente.
14/12/2022:
No se generan observaciones respecto al análisis y evidencias reportados para el seguimiento del indicador.</t>
  </si>
  <si>
    <t>Para el mes de noviembre se tiene una ejecución de PAC del 85,8%, quedando un porcentaje de recursos programados sin ejecutar por $16.162.021.500 equivalente al 14,2%,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</si>
  <si>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Para el mes de octubre se tiene una ejecución de PAC del 92,5%, quedando un porcentaje de recursos programados sin ejecutar por $8.439.581.650 equivalente al 7,5%,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</si>
  <si>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Para el año 2022 se logró consolidar los inventarios documentales, identificando que el avance general en cuanto al levantamiento de inventario documental corresponde a un 61%, el cual está conforme con la tabla de retención vigente y logrando un cumplimiento del 122% respecto a la meta formulada (50%). El 39% restante corresponde a documentos de archivo pendientes de procesamiento por parte de las oficinas productoras.
El proceso de consolidación de los inventarios documentales de los archivos de gestión permiten conocer el nivel de avance de la actividad lo que permite dar continuidad a la implementación de los instrumentos archivísticos.
Para la vigencia 2023 se realizará la pertinencia de actualizar la meta del indicador teniendo en cuenta el sobrecumplimiento de 22 puntos porcentuales.</t>
  </si>
  <si>
    <t>Las dependencias visitadas para el mes de diciembre presentaron los siguientes avances en levantamiento de inventario documental:
1. Subdirección para la Adultez.
-Total de cajas 1545 equivalentes a 386,25 metros lineales.
-Total cajas inventariadas 1545 equivalentes a 386,25 metros lineales.
2. SLIS Barrios Unidos - Teusaquillo.
-Total de cajas 262 equivalentes a 65,5 metros  lineales.
-Total cajas inventariadas 261 equivalentes a  65,25 metros lineales. 
3. SLIS Tunjuelito.
-Total de cajas 496 equivalentes a 124 metros  lineales.
-Total cajas inventariadas 467 equivalentes a  116,75 metros lineales.</t>
  </si>
  <si>
    <t>14/12/2022. Teniendo en cuenta la actualización realizada al indicador en el mes de noviembre, respecto a la periodicidad mensual, para el seguimiento de este mes se debe completar con el reporte cuantitativo.</t>
  </si>
  <si>
    <t>Las dependencias visitadas para el mes de noviembre presentaron los siguientes avances en levantamiento de inventario documental:
1. Secretaría.
-Total de cajas 856 equivalentes a  214 metros lineales.
-Total cajas inventariadas 856 equivalentes a 214 metros lineales.
2. Subsecretaría.
-Total de cajas 18 equivalentes a 4,5 metros  lineales.
-Total cajas inventariadas 18 equivalentes a  4,5 metros lineales. 
3. Subdirección de Contratación.
-Total de cajas 4.639 equivalentes a 1.159,8 metros  lineales.
-Total cajas inventariadas 4.639 equivalentes a  1.159,8 metros lineales.
4. Subdirección de Plantas Físicas.
-Total de cajas 802 equivalentes a 212 metros  lineales.
-Total cajas inventariadas 0 equivalentes a  0 metros lineales.
5. Subdirección Local de Suba.
-Total de cajas 2.066 equivalentes a 517 metros  lineales.
-Total cajas inventariadas 1955 equivalentes a  489 metros lineales.
6. Subdirección Local de Chapinero.
-Total de cajas 329 equivalentes a 82 metros  lineales.
-Total cajas inventariadas 329 equivalentes a  82 metros lineales.</t>
  </si>
  <si>
    <t>18/11/2022. No se generan observaciones respecto al análisis reportado para el seguimiento del indicador.</t>
  </si>
  <si>
    <t>Las dependencias visitadas para el mes de Octubre presentaron los siguientes avances en levantamiento de inventario documental:
1. Subdirección Administrativa y Financiera.
-Total de cajas 837 equivalentes a  209,25 metros lineales.
-Total cajas inventariadas 341 equivalentes a 85,25 metros lineales.
2. Subdirección Local de Kennedy.
-Total de cajas 1557 equivalentes a 389,25 metros  lineales.
-Total cajas inventariadas 1357 equivalentes a  339,25 metros lineales. 
3. Subdirección Local de San Cristóbal.
-Total de cajas 889 equivalentes a 224,75 metros  lineales.
-Total cajas inventariadas 819 equivalentes a  204,75 metros lineales.</t>
  </si>
  <si>
    <t>Durante las visitas de seguimiento que fueron realizadas en el mes de junio, se encontraron los siguientes avances en el levantamiento del inventario documental: 
- Subdirección para la infancia
Total de Cajas 735 que corresponden a 183,75 metros lineales
Total de Cajas Inventariadas 617 que corresponden a 154,25 metros lineales.
- Subdirección para la identificación, caracterización e Integración - ICI
Total de Cajas 159 que corresponden a 39,75 metros lineales
Total de Cajas Inventariadas 82 que corresponden a 20,5 metros lineales.
- Subdirección de investigación e información
Total de Cajas 46 que corresponden a 11,5 metros lineales
No hay cajas Inventariadas
- Subdirección Local de los Mártires
Total de Cajas 352 que corresponden a 88 metros lineales
Total de Cajas Inventariadas 284 que corresponden a 71 metros lineales.
- Comisaría Engativá 1
Total de Cajas 1301 que corresponden a 325,25 metros lineales
No tiene inventario documental
- Comisaría Engativá 2
Total de Cajas 851 que corresponden a 212,75 metros lineales
No tiene inventario documental
- Comisaría Teusaquillo
Total de Cajas 127 que corresponden a 31,75 metros lineales
No tiene inventario documental
- Comisaría Tunjuelito
Total de Cajas 851 que corresponden a 212,75 metros lineales
No tiene inventario documental
- Comisaría Usaquén 2
Total de Cajas 515 que corresponden a 128,75 metros lineales
No tiene inventario documental
Para el corte del semestre se identificaron un total de 5581,75 metros lineales correspondientes al acervo documental de 16 dependencias, de las cuales 1,272,75 metros lineales están registrados en el FUID. Durante las visitas se brindó asesoría y línea técnica a las dependencias para que avancen con la organización de sus archivos y la inclusión de los mismos en los inventarios documentales.
Cabe mencionar que, el nivel de progreso en la organización de los archivos ha superado las expectativas con respecto a lo identificado durante la vigencia 2021, lo que indica una importante efectividad en la implementación de las recomendaciones realizadas en dicha vigencia por lo cual, y dados los resultados obtenidos durante este primer semestre 2022, se procederá a solicitar el ajuste a la meta del indicador, y de esta manera subsanar el sobrecumplimiento que se presenta respecto al 5% establecido como meta para la vigencia.</t>
  </si>
  <si>
    <t>*Informe de Visitas de seguimiento.
*Matriz consolidada del porcentaje de avance del inventario documental</t>
  </si>
  <si>
    <t>Circular N° 038 del 25/11/2022</t>
  </si>
  <si>
    <t>Para la vigencia 2022 se ejecutaron todas las visitas programadas de conformidad con el cronograma previamente establecido. Para dar cumplimiento al cronograma de seguimientos a la organización documental de los archivos de gestión Nivel Central y Subdirecciones Locales. Fueron realizadas las visitas de seguimiento a la organización de la producción documental de acuerdo con las Tablas de Retención Documental (TRD) vigentes en la Secretaria Distrital de Integración Social.
En el proceso de visitas de seguimiento a las dependencias se logró determinar que la Subdirección de Nutrición y Subdirección de Abastecimiento no contaron con producción documental para la vigencia 2022, ya que, son dependencias de trámite y su información reposa en las series  documentales de otras dependencias. Por otra parte, se identificó que la Oficina Asesora de Comunicaciones contó con producción documental pero no con soportes físico. En cuanto a las demás dependencias, sí tienen producción documental y están avanzando en el proceso de implementación de los lineamientos archivísticos establecidos en el mapa de procesos de la entidad.
Las visitas realizadas durante la vigencia 2022 permitieron fortalecer la implementación de lineamientos establecidos por el proceso de gestión documental para los archivos de gestión de las dependencias con producción documental.</t>
  </si>
  <si>
    <t>Para el mes de diciembre el equipo profesional archivista visitó las siguientes dependencias:
1. Subdirección para la Adultez.
2. SLIS Barrios Unidos - Teusaquillo.
3. SLIS Tunjuelito.
De esta manera, durante el segundo semestre se realizaron 21 visitas de seguimiento a la implementación de los lineamientos archivísticos con lo cual se logra el cumplimiento de todas las visitas programadas para la vigencia 2022 de conformidad con el cronograma previamente establecido.</t>
  </si>
  <si>
    <t>14/12/2022. No se generan observaciones respecto al análisis reportado para el seguimiento del indicador.</t>
  </si>
  <si>
    <t>Para el mes de noviembre el equipo profesional archivista visitó las siguientes dependencias:
1. Secretaría.
2. Subsecretaría.
3. Subdirección de Contratación.
4. Subdirección de Plantas Físicas.
5. Subdirección Local de Suba.
6. Subdirección Local de Chapinero.</t>
  </si>
  <si>
    <t>Para el mes de octubre el equipo profesional archivista visitó las siguientes dependencias:
1. Subdirección Administrativa y Financiera.
2. Subdirección Local de Kennedy.
3. Subdirección Local de San Cristóbal.</t>
  </si>
  <si>
    <t xml:space="preserve">El indicador de gestión del conocimiento tuvo un cumplimiento anual del 100%, de acuerdo con lo programado y formulado en le plan de implementación del proceso de gestión del conocimiento. Entre los principales logros se destacan: 
1.	Como una de las mayores apuestas de la SDIS para esta vigencia la creación preliminar del mapa de conocimiento de la SDIS. Para ello, se  asistieron a las capacitaciones de la Secretaría General, se crearon cronogramas, se crearon formatos de recolección de conocimiento estratégico de la entidad, se llevaron a cabo jornadas de capacitación con los gestores de dependencia y procesos, se elaboró el instrumento de identificación de conocimiento estratégico como herramienta para apoyar la definición de los temas estratégicos en cada dependencia, se creó un formato de recolección de buenas prácticas, se hizo seguimiento a los formatos mencionados anteriormente y se apoyó a las distintas dependencias. Finalmente, se está consolidando el conocimiento recolectado. 
2.	La oficialización del Procedimiento de generación e implementación de acciones de innovación y el Manual para la implementación de ruta de la política de Gestión del Conocimiento en el Sistema de Gestión de la SDIS y la socialización de este en el comité de gestores. 
3.	La participación en espacios de ideación y socialización del Laboratorio de Innovación de Bogotá-IBO.
4.	El desarrollo a lo largo del año del Laboratorios de Innovación Pública para la transparencia - estrategia "Conmigo sí es" por parte de la Subsecretaría. Donde surgieron 16 propuestas innovadoras y fueron implementadas en el 2022. 
5.	Se llevaron a cabo espacios de sensibilización sobre innovación dirigida a colaboradores de la SDIS.
6.	El desarrollo de un documento que da cuenta desde el grupo de investigación de los resultados de la prueba piloto de la evaluación del servicio de apoyos económicos para la juventud.
7.	Se revisaron, actualizaron y derogaron los documentos del proceso de gestión del conocimiento en el Sistema de Gestión del conocimiento a fin con el objetivo de evitar la ejecución de directrices obsoletas.
8.	El desarrollo de espacios como la Escuela territorial de formación en enfoque territorial para servidores y contratistas de la SDIS por parte de la Dirección Territorial. 
9.	La ejecución de cursos en las Herramientas Power BI y Power Automate y el reconocimiento a los mejores equipos de trabajo con el área de Talento Humano. 
10.	Se participaron en espacios de difundir y compartir conocimiento con otras entidades a fin de comunicar las experiencias exitosas y se efectuaron alianzas estratégicas con fundaciones y universidades como la Santo Tomás. 
Conforme a lo anterior, es de resaltar que se tuvieron grandes avances en el indicador del proceso de gestión del conocimiento de la Secretaría Distrital de Integración Social, los cuales consolida una gran base para la próxima vigencia. Como acciones de mejora se debe tener en cuenta a la hora de formular el indicador los tiempos con los que se cuenta, los procesos de contratación, ya que esto facilita su ejecución y cumplimiento. 
</t>
  </si>
  <si>
    <t>Durante el mes de diciembre, se adelantaron las 7 actividades programadas para el periodo en mención del   plan de implementación de gestión del conocimiento de los cuatro (4) ejes que lo constituyen:
1. Para el eje de Generación y producción del conocimiento: Se llevó a cabo la socialización del Procedimiento para la generación e implementación de acciones de innovación-PCD-GC-010, en el marco del Comité de Gestores. Se participó en el Seminario sobre Innovación Social, en torno a los aportes que buscan promover una administración pública que convoca a sus colaboradores a afianzar sus compromisos y a adoptar en sus prácticas cotidianas la transparencia, integridad y no tolerancia con la corrupción. Se realizó el encuentro denominado "Seminario sobre innovación social" con la participación de 134 persona vinculadas a la SDIS. Se dio cierre al documento de resultados de la evaluación del servicio de apoyos económicos para la juventud con la elaboración del capítulo de conclusiones y recomendaciones resultado del ejercicio de la prueba piloto de la evaluación del programa Parceros por Bogotá. Se realizó la clausura de la escuela territorial, 300 personas completaron el 70% de participación en el proceso y se elaboró el informe de implementación de la escuela durante la vigencia 2022.
2. Para el eje de Herramientas para el uso de apropiación: En la construcción del mapa de conocimiento de la SDIS se hizo seguimiento y retroalimentación a la entrega de los formularios de conocimiento estratégico de las dependencias y se construyó la matriz consolidada por tipo de conocimiento.
3. Para el eje de analítica institucional: se consolidó el documento preliminar de variables mínimas para caracterizar a la población beneficiaria o potencial beneficiaria de los servicios sociales, incorporando reglas de validación para garantizar la consistencia de los datos capturados.
4. Para el eje de cultura de compartir y difundir: En ejecución del Plan de Bienestar e Incentivos para la vigencia 2022, se llevó a cabo la Gala de Reconocimiento 2022 y premiaron los Mejores equipos de trabajo. Finalmente, se complementaron dos actividades y temáticas adicionales de socialización de la Política de Gestión del Conocimiento y la Innovación para los meses de abril y junio de 2023.</t>
  </si>
  <si>
    <t xml:space="preserve">Durante el mes de noviembre, se adelantaron 13 actividades del   plan de implementación de gestión del conocimiento de los cuatro (4) ejes que lo constituyen:
1. Para el eje de Generación y producción del conocimiento: se participó en un espacio de ideación como lo fue IBO Talks 'Estrategia de aprovechamiento de datos en el distrito', se hizo seguimiento a la materialización de tres de las propuestas innovadoras para mejorar el acceso a la información producto del “Laboratorio de innovación pública para la transparencia” implementado en las subdirecciones locales y nivel central, se desarrollaron los capítulos de metodología y resultados del documento de la prueba piloto de la evaluación del programa Parceros por Bogotá, se les informó a los responsables de llevar a cabo la autoevaluación del procedimiento de atención de solicitudes de información misional las observaciones y ajustes del Sistema de Gestión para ser corregidas, se recibió la confirmación de la revisión metodológica del Procedimiento Articulación de la SDIS con universidades y centros de investigación, se presentó la Política Pública de y para la Adultez y la Política Distrital del Fenómeno de Habitabilidad en Calle.
2. Para el eje de Herramientas para el uso de apropiación: en la creación del mapa de conocimiento de la SDIS, se adelantaron mesas de trabajo, se apoyó a  las dependencias en los formularios de captura de conocimiento y se revisaron los formularios de conocimiento estratégico reportados por las dependencias.
3. Para el eje de analítica institucional: se hicieron ajustes al Manual operativo, se avanzó en la elaboración del documento descriptivo de las variables mínimas. En la ejecución del Plan de Bienestar e Incentivos se notificó el Consolidado de las evaluaciones de los jurados a los proyectos presentados, para la selección del primero, segundo y tercer puesto de los Mejores Equipos de Trabajo.
4. Para el eje de cultura de compartir y difundir: se participó en distintos encuentros intersectoriales, a través de los diferentes consultivos para la realización de los consejos distritales de Política Social. Asimismo, para el inicio de la alianza con los Centros Forjar, se siguen manteniendo conversaciones con la Universidad Santo Tomás para la alianza de investigación que se prevé construir enfocado en el proyecto ¨Atrapa sueños¨. Por otro lado, se avanzó en la definición de actividades relacionadas a la socialización de la Política de Gestión del Conocimiento. Finalmente, se desarrolló una socialización del componente de Analítica institucional de la Política de Gestión del Conocimiento con el equipo de Diseño y Monitoreo de la DADE. </t>
  </si>
  <si>
    <t>Durante el mes de octubre se oficializó el Procedimiento para la generación e implementación de acciones de innovación mediante Circular No. 035 del 25/10/2022 y el Manual para la implementación de ruta de la política de Gestión del Conocimiento mediante el memorando I2022033647. Asimismo, se hizo seguimiento a la materialización de dos de las cinco propuestas (clasificadas de las 16) innovadoras para mejorar el acceso a la información implementado en las subdirecciones locales y nivel central. Se envió la solicitud a la Oficina Assora de Comunicaciones para la campaña de expectativa con dos mensajes masivos a 5600 personas vinculadas a la SDIS, se adicionaron 5 documentos más al repositorio de innovación.
Igualmente, se envió la solicitud de reserva del auditorio Huitaca a Subdirección de Servicios Administrativos de la Secretaría Genara de la Alcaldía Mayor de Bogotá para la reunión para definición de agenda del "Encuentro de innovadores sociales de la Secretaría Distrital de Integración Social". Se diseñó el contenido para el curso de innovación. Se documentó la primera parte de la metodología desarrollada por la Subdirección para la Juventud con apoyo de la Dirección de Análisis y Diseño Estratégico para llevar a cabo la prueba piloto de los instrumentos de evaluación. Se identificaron 5 documentos asociados al procedimiento de articulación de investigaciones con universidades. En la implementación de la Nuestra Escuela Territorial se socializaron temas como Política Pública de Juventud, Política Pública de Envejecimiento y Vejez con 264 asistentes.
Se reelaboró el borrador del concurso de innovación social. Se realizó una identificación preliminar de las variables mínimas para la caracterizar las personas beneficiarias de los servicios. Se llevaron a cabo las inscripciones de proyectos al Concurso "Mejores Equipos de trabajo 2022". Se realizaron diferentes reuniones intersectoriales y con Sociedad Civil a través de los diferentes consultivos para la realización de los consejos distritales de Política Social. Finalmente, se inició de la alianza con los Centros Forjar. Se realizó una jornada de socialización sobre la política de gestión del conocimiento a empleados de plata recién ingresados a la entidad.</t>
  </si>
  <si>
    <t>Todas las actividades programadas se ejecutaron en un 100% durante toda la vigencia cumpliendo con lo establecido en cada meta.</t>
  </si>
  <si>
    <t>10/1/2023
No se generan observaciones ni sugerencias frente al reporte del periodo.</t>
  </si>
  <si>
    <t xml:space="preserve">Para este periodo se programaron 26 tareas, y se ejecutaron todas las 26 actividades, en total se refleja un cumplimiento del 100%. </t>
  </si>
  <si>
    <t xml:space="preserve">12/12/2022
No se generan observaciones ni sugerencias para el periodo reportado. </t>
  </si>
  <si>
    <t xml:space="preserve">Para este periodo se programaron 22 tareas, y se ejecutaron todas las 22, en total se refleja un cumplimiento del 100%. </t>
  </si>
  <si>
    <t>10/11/2022
Los datos reportados para el periodo enero a octubre fueron migrados al formato que contiene la trazabilidad completa de los reportes anteriores, se solicita que el reporte siguiente se realice en el formato que se comparte por parte de la SDES, una vez finalizado el respectivo seguimiento mensual.
No se generan observaciones frente al análisis y las evidencias reportadas.</t>
  </si>
  <si>
    <t xml:space="preserve">La ejecución anual correspondió a un 99% del presupuesto programado, teniendo en cuenta que algunos de los procesos contractuales  presentaron tardanza en su ejecución y se proyectaron como reservas afectando la ejecución del PAC programado.   </t>
  </si>
  <si>
    <t xml:space="preserve">Para el trimestre octubre -diciembre la ejecución correspondió a un 97% del presupuesto programado, teniendo en cuenta que  algunos de los procesos contractuales  presentaron tardanza en su ejecución y se proyectaron como reservas afectando la ejecución del PAC programado.   </t>
  </si>
  <si>
    <t>Para el mes de noviembre la ejecución correspondió a un 99,3% del presupuesto programado, debido a diferencias presentadas en los pagos realizados.</t>
  </si>
  <si>
    <t>10/11/2022
Los datos reportados para el periodo enero a octubre fueron migrados al formato que contiene la trazabilidad completa de los reportes anteriores, se solicita que el reporte siguiente se realice en el formato que se comparte por parte de la SDES, una vez finalizado el respectivo seguimiento mensual.
No se generan observaciones frente al análisis reportado.</t>
  </si>
  <si>
    <t>Para el mes de octubre la ejecución correspondió a un 97,65% del presupuesto programado, debido a algunos procesos que se contrataron recientemente no alcanzaron la ejecución proyectada.</t>
  </si>
  <si>
    <t>Se cumplió con la meta programada para la vigencia, aún teniendo en cuenta que es la primera vez que se mide el seguimiento a la provisión de empleos y que la Planta tiene movimientos diarios.</t>
  </si>
  <si>
    <t>10/01/2023
No se generan observaciones ni sugerencias para el periodo de reporte.</t>
  </si>
  <si>
    <t xml:space="preserve">La planta de personal de la entidad se encuentra definida en el Decreto 460 del 12 de noviembre de 2021, en el cual  se establecen 2.174 empleos para la entidad. Sin embargo, en atención a un fallo de tutela, esta cifra se aumenta en 1 empleo adicional, para un total de 2.175.
Del total de empleos, con corte al mes de diciembre se encuentran provistos 1.805 así: 1497 corresponden a carrera administrativa, 67 a libre nombramiento y remoción, 1 en período fijo, 154 en periodo de prueba , 17 en período de prueba en ascenso y 69 vinculados provisionalmente.
Se cubrieron 1.798 empleos en promedio durante el trimestre octubre - diciembre, sobre el total de la planta de empleos para la vigencia 2022 en la SDIS,  lo que representa el 83% de empleos ocupados en el periodo, cumpliendo con Meta la del indicador.
Nota: La información reportada corresponde al estado de la Planta al 31 de diciembre del presente, sin embargo es importante precisar que la Planta tiene movimientos diarios.  </t>
  </si>
  <si>
    <t>12/12/2022
No se generan observaciones ni sugerencias para el periodo de reporte.</t>
  </si>
  <si>
    <t xml:space="preserve">La planta de personal de la entidad se encuentra definida en el Decreto 460 del 12 de noviembre de 2021, en el cual  se establecen 2.174 empleos para la entidad. Sin embargo, en atención a un fallo de tutela, esta cifra se aumenta en 1 empleo adicional, para un total de 2.175.
Del total de empleos, con corte al mes de noviembre se encuentran provistos 1.799 así: 1496 corresponden a carrera administrativa, 65 a libre nombramiento y remoción, 1 en período fijo, 151 en periodo de prueba , 19 en período de prueba en ascenso y 67 vinculados provisionalmente.
Nota: La información reportada corresponde al estado de la Planta al 30 de noviembre del presente, sin embargo es importante precisar que la Planta tiene movimientos diarios.  </t>
  </si>
  <si>
    <t>10/11/2022
No se generan observaciones ni sugerencias para el periodo de reporte.</t>
  </si>
  <si>
    <t xml:space="preserve">La planta de personal de la entidad se encuentra definida en el Decreto 460 del 12 de noviembre de 2021, en el cual  se establecen 2.174 empleos para la entidad. Sin embargo, en atención a un fallo de tutela, esta cifra se aumenta en 1 empleo adicional, para un total de 2.175.
Del total de empleos, con corte al mes de octubre se encuentran provistos 1.791 así: 1461 corresponden a carrera administrativa, 66 a libre nombramiento y remoción, 1 en período fijo, 128 en periodo de prueba , 55 en período de prueba en ascenso y 80 vinculados provisionalmente.
Nota: La información reportada corresponde al estado de la Planta al 31 de octubre del presente, sin embargo es importante precisar que la Planta tiene movimientos diarios.  </t>
  </si>
  <si>
    <t>Se cumplió con la línea de referencia definida para este indicador del 1.8% mensual, lo que significa que se mantuvo el indicador por debajo de dicha línea en el rango de "Sobresaliente".</t>
  </si>
  <si>
    <t xml:space="preserve">En el mes de diciembre se presentaron 107 casos de ausencias por incapacidad médica certificada, derivado de estas incapacidades se generaron 588 días de ausencia, registrando 511 días por enfermedad general, 77 días por accidente de trabajo, por lo cual se perdió 0,35 % de días programados de trabajo, por incapacidad médica, por debajo de la línea de referencia fijada y con un avance sobresaliente según la tabla de rangos establecida, teniendo en cuenta que se contaron con un total de 7908 trabajadores.  
En el cuarto trimestre, se registraron 401 casos de ausencia (156 casos en el mes de octubre, 138 en el mes de noviembre y 107 en el mes de diciembre), derivado de estas ausencias se registraron 1898 días perdidos (617 días en el mes de octubre, 693 días en el mes de noviembre y 588 días en el mes de diciembre), por diferentes tipos de origen. 
El promedio para el cuarto trimestre es  0,34% por debajo de la línea de referencia fijada y con un avance sobresaliente según la tabla de rangos establecida. 
Como evidencia se aporta la base de datos de ausentismo. (El numerador es la sumatoria de la fila 19 "Días perdidos" columnas AF, AI y AL y para el denominador es la sumatoria de la Fila 17 "Número de días de trabajo programados" columnas AF, AI y AL).
Como resultado del análisis se encontró que los mayores grupos de enfermedad causantes de incapacidad están generados por: 
Enfermedades del sistema osteomuscular y del tejido conectivo, enfermedades del sistema respiratorio, Neoplasias, Ciertas enfermedades infecciosas y parasitarias, síntomas, signos y hallazgos anormales clínicos y de laboratorio. Enfermedades del aparato genitourinario, enfermedades del sistema osteomuscular y del tejido conjuntivo, enfermedades del sistema respiratorio, ciertas enfermedades infecciosas y parasitarias, enfermedades del aparato genitourinario, traumatismos, envenenamientos y algunas otras consecuencias de causa externa, enfermedades del sistema circulatorio, trastornos mentales y del comportamiento, enfermedades endocrinas, nutricionales y metabólicas, neoplasias. 
Las acciones de prevención que se realizaron están de acuerdo con los programas de vigilancia epidemiológica, de promoción y prevención de la salud de la Entidad y son las siguientes: 
•Seguimiento y actualización de recomendaciones medico laborales (virtual), seguimiento a incapacidades prolongadas, implementación del programa de vigilancia epidemiológica de desórdenes músculo esqueléticos  con actividades como, adecuaciones de puestos de trabajo en casa, pausas activas, capacitación y sensibilización en higiene postural, actividad física, (dolor lumbar, síndrome del  túnel del carpo) 
En el programa de vigilancia epidemiológica de riesgo psicosocial se realizaron actividades como: acompañamiento y seguimiento psicosocial para casos específicos a funcionarios y contratistas que, por razón de la pandemia o por contagio de COVID 19 que pudieron requerir orientación de tipo psicosocial, Capacitaciones en Promoción de la Salud Mental y Prevención de los Riesgos Psicosociales, visitas a comisarias. 
En el programa de prevención de riesgo biológico se realizaron actividades de seguimiento al talento humano que presentó accidente laboral, inspecciones de bioseguridad, capacitaciones  y sensibilización Web en prevención de riesgo biológico, protocolos de bioseguridad, uso de elementos de bioseguridad y prevención de enfermedades respiratorias y Covid 19, etc. 
En el programa de prevención de  riesgo cardiovascular, se realiza capacitación en  fomentos de vida y entornos saludables,  en las diferentes subdirecciones estas actividades se realizaron por trabajo en casa, por llamada telefónica y/o virtual, de igual forma se realizó seguimiento a personas con recomendaciones en prevención de riesgo cardiovascular según exámenes medico ocupacionales y ausentismo presentado en este trimestre. 
En el programa de conservación visual se realizó capacitación y sensibilización en prevención y Conservación visual en las diferentes subdirecciones, seguimiento a recomendaciones según exámenes medico Ocupacionales                                                                                                                                                                                                                                                                                                                                                                         
En el programa de fomentos de vida y entornos saludables, se realiza capacitación y sensibilización en prevención de enfermedades respiratorias y covid 19.
</t>
  </si>
  <si>
    <t>En el mes de noviembre se registraron 138 casos de ausencias por incapacidad médica certificada por diferentes orígenes, como lo son: 3 por accidentes de trabajo, 135 por enfermedad general.
Derivado de estas incapacidades, se generaron 693 días de ausencia, registrando 646 días por enfermedad general y 47 días por accidente de trabajo.
En el mes se perdió el 0.35% de días programados de trabajo, por incapacidad médica, por debajo de la línea de referencia fijada, y con un avance sobresaliente según la tabla de rangos establecida; teniendo en cuenta que se contaron con un total de 10.032 trabajadores, 20 días de trabajo programados en el mes, para un total de 1620491 de horas de trabajo programados en la empresa por el número de trabajadores.
Como resultado del análisis se encontró que los mayores grupos de enfermedad causantes de incapacidad están generados por: enfermedades del sistema osteomuscular,  enfermedades del sistema respiratorio y traumatismos.</t>
  </si>
  <si>
    <t xml:space="preserve">En el mes de octubre se registraron 156 casos de ausencias por incapacidad médica certificada por diferente origen, como lo son: 9 por accidentes de trabajo, 147 por enfermedad general.
Derivado de estas incapacidades, se generaron 617 días de ausencia, registrando 501 días por enfermedad general y 116 días por accidente de trabajo.
En el mes se perdió el 0.31% de días programados de trabajo, por incapacidad médica, por debajo de la línea de referencia fijada, y con un avance sobresaliente según la tabla de rangos establecida; teniendo en cuenta que se contaron con un total de 9930 trabajadores, 20 días de trabajo programados en el mes, para un total de 198600 de horas de trabajo programados en la empresa por el número de trabajadores.
Como resultado del análisis se encontró que los mayores grupos de enfermedad causantes de incapacidad están generados por: enfermedades del sistema osteomuscular,  enfermedades del sistema respiratorio y traumatismos.
</t>
  </si>
  <si>
    <t>Se cumplió con la línea de referencia definida para este indicador del 2.0% mensual, lo que significa que se mantuvo el indicador por debajo de dicha línea en el rango de "Sobresaliente".</t>
  </si>
  <si>
    <t xml:space="preserve">En el mes de diciembre 2022 se presentaron 22 eventos,  los cuales han sido reportados a la ARL Positiva, de estos accidentes 13 fueron por causa de golpes que corresponden al 59% de los accidentes ocurridos en el mes, el 18% corresponden a accidentes ocurridos torcedura, esguince, desgarro muscular, herida o laceración de músculo o tendón, sin heridas y el excedente, es decir el 23% por fractura, conmoción y herida.
Para un total de 7908 entre funcionarios de planta y contratistas la frecuencia de la accidentalidad fue de 0,28 por debajo del línea de referencia fijada y con un avance Sobresaliente (100%) según la tabla de rangos establecida.
Con el fin de reducir la accidentalidad se realizaron las siguientes acciones en el período:
* Seguimiento a los casos COVID-19 (prueba confirmada), por parte del equipo de medicina laboral.
* Se realiza seguimiento a la ejecución del cronograma de inspecciones 2022  para todas las Unidades Operativas de la SDIS  frente al proceso de visitas de segunda ronda.
* Se realizaron inspecciones locativas, de emergencias y de verificación del Protocolo de Bioseguridad a las Unidades Operativas programadas para el periodo evaluado.
• Se hace seguimiento a la ejecución del cronograma de actividades de capacitación vigencia 2022, de acuerdo con la identificación de los riesgos y peligros a que se encuentran expuestos, capacitación en protocolo de Bioseguridad, capacitación en manejo de emergencias manejo de extintores, control de fugas y derrames, prevención de autocuidado y accidentalidad, prevención de caídas, manejo seguro de sustancias químicas y primeros auxilios psicológicos.
</t>
  </si>
  <si>
    <t>12/12/2022
Remitir la evidencia del indicador para validar el dato cuantitativo reportado.
12/12/2022
No se generan observaciones ni sugerencias adicionales para el periodo reportado.</t>
  </si>
  <si>
    <t xml:space="preserve">En el mes de Noviembre 2022 se presentaron 36 eventos, los cuales han sido reportados a la ARL Positiva, de estos accidentes 22 fueron por causa de golpes o contusión que corresponden al 61% de los accidentes ocurridos en el mes, 7 por torcedura, esguince, desgarro muscular, herida o laceración de musculo o tendón, sin heridas que corresponde al 19,5% el otro 19,5%  con 7 casos, corresponden a accidentes ocurridos por heridas, trauma superficial, lesiones múltiples y conmoción o trauma interno
Para este periodo se contó con  un total de 10.032 entre funcionarios de planta y contratistas dejando la frecuencia de la accidentalidad con el  0,36%,  por debajo del línea de referencia fijada y con un avance Sobresaliente (100%) según la tabla de rangos establecida.
Con el fin de reducir la accidentalidad se realizaron las siguientes acciones:
* Seguimiento a los procesos de investigación de los accidentes de trabajo ocurridos
* Se realiza seguimiento a la ejecución del cronograma de inspecciones 2022 para todas las Unidades Operativas de la SDIS frente al proceso de visitas.
•Se hace seguimiento a la ejecución del cronograma de actividades de capacitación vigencia 2022, de acuerdo a la identificación de los riesgos y peligros a que se encuentran expuestos, capacitación en prevención de caídas, generalidades de seguridad vial, reporte de actos y condiciones inseguras, autocuidado y prevención de la accidentalidad.
</t>
  </si>
  <si>
    <t xml:space="preserve">En el mes de octubre 2022 se presentaron 29 eventos, los cuales han sido reportados a la ARL Positiva; de estos accidentes 10 fueron por causa de golpes que corresponden al 34% de los accidentes ocurridos en el periodo, 6 por esguince, desgarro muscular, herida o laceración de musculo o tendón, torcedura, con un  21%, el otro 45% corresponden a 13 casos por  accidentes ocurridos por heridas, trauma superficial, lesiones múltiples y conmoción o trauma interno.
Para un total de 9930 entre funcionarios de planta y contratistas la frecuencia de la accidentalidad fue de 0,29%, por debajo del línea de referencia fijada y con un avance Sobresaliente (100%) según la tabla de rangos establecida.
Con el fin de reducir la accidentalidad se realizaron las siguientes acciones:
* Seguimiento a los procesos de investigación de los accidentes de trabajo ocurridos
* Se realiza seguimiento a la ejecución del cronograma de inspecciones 2022 para todas las Unidades Operativas de la SDIS frente al proceso de visitas.
• Se hace seguimiento a la ejecución del cronograma de actividades de capacitación vigencia 2022, de acuerdo a la identificación de los riesgos y peligros a que se encuentran expuestos, capacitación en prevención de caídas, generalidades de seguridad vial, reporte de actos y condiciones inseguras, autocuidado y prevención de la accidentalidad.
</t>
  </si>
  <si>
    <t>En el mes de septiembre 2022 se presentaron 43 eventos, los cuales han sido reportados a la ARL Positiva, de estos accidentes 28 fueron por causa de golpes que corresponden al 65% de los accidentes ocurridos en el mes, 10 fueron por torcedura, esguince, desgarro muscular, herida o laceración de músculo o tendón sin heridas, que corresponden al 23% y 5 accidentes por trauma, luxación, conmoción, quemadura, herida y efecto del tiempo que corresponde al 12% restante. 
Con un total de 9.908 entre funcionarios de planta y contratistas la frecuencia de la accidentalidad fue de 0,43 %, por debajo del línea de referencia fijada y con un avance Sobresaliente (100%) según la tabla de rangos establecida.
Con el fin de reducir la accidentalidad se realizaron las siguientes acciones en el trimestre:
* Seguimiento a los casos COVID-19 (prueba confirmada), por parte del equipo de medicina laboral.
* Se realiza seguimiento a la ejecución del cronograma de inspecciones 2022 para todas las Unidades Operativas de la SDIS frente al proceso de visitas y verificación de hallazgos.
*Fortalecimiento del informe de gestión de accidentalidad
*Seguimiento permanente a las medidas de intervención identificadas.
*Se hace seguimiento a la ejecución del cronograma de actividades de capacitación vigencia 2022, de acuerdo con la identificación de los riesgos y peligros a que se encuentran expuestos, capacitación en manejo de emergencias manejo de extintores, control de fugas y derrames, prevención de autocuidado y accidentalidad, manejo seguro de sustancias químicas y primeros auxilios psicológicos, prevención de caídas.</t>
  </si>
  <si>
    <t xml:space="preserve">En el mes de marzo 2022 se presentaron 46 eventos, los cuales han sido reportados a la ARL Positiva, de estos accidentes 20 fueron por causa de golpes, contusiones o aplastamientos que corresponden al 43% de los accidentes ocurridos en el período, 12 corresponden a accidentes ocurridos por torcedura, esguince, desgarro muscular, herida o laceración de músculo o tendón sin heridas y representan un 26% y 14 por otras lesiones lo que representa un 31%. 
Para el mes de marzo con un total de 10,385 funcionarios de planta y contrato, la frecuencia de la accidentalidad fue de 0,44%, porcentaje por debajo del techo fijado.
Desde el equipo de seguridad y salud en el trabajo a fin de reducir la accidentalidad se realizaron las siguientes acciones en el periodo:
* Se realiza la ejecución del cronograma de inspecciones 2022 para todas las Unidades Operativas de la SDIS  frente al proceso de visitas de segunda ronda.
* Se realizaron Inspecciones locativas de emergencias y de verificación del Protocolo de Bioseguridad a las Unidades Operativas programadas para el periodo evaluado.
• Se realiza la ejecución del cronograma de actividades de capacitación vigencia 2022, de acuerdo con la identificación de los riesgos y peligros a que se encuentran expuestos, de los cuales se abarcaron temas como: capacitación en protocolo de Bioseguridad, capacitación en manejo de emergencias manejo de extintores, control de fugas y derrames, prevención de autocuidado y accidentalidad, manejo seguro de sustancias químicas y primeros auxilios psicológicos entre otros.
</t>
  </si>
  <si>
    <t>Desde el segundo trimestre, se cumplió con la meta establecida y con el objetivo del indicador al 100%, no obstante se dio continuidad con las actividades programadas complementarias, para llegar al mayor número de servidores cubiertos.</t>
  </si>
  <si>
    <t>Durante el mes de diciembre se llevaron a cabo 4 actividades, con cobertura e impacto a 1429 servidores(as) y colaboradores(as) de la SDIS en el marco de la ejecución del Plan Anual de Bienestar Social, las actividades fueron: 
1. Cierre de gestión SDIS 2022, participación de 1206 servidores (as) de la SDIS.
2. Encuentro de parejas y parejas diversas SDIS 2022, participación de 50 servidores (as) de la SDIS , con sus parejas.
3. Gala de reconocimiento SDIS 2022, participación de 151 servidores(as) de la SDIS.
4. Taller recomendaciones para el abordaje de derechos sexuales y reproductivos con poblaciones diferenciales, participación de 22 servidores(as) y colaboradores(as) de la SDIS.
Para el trimestre octubre - diciembre se tiene una cobertura e impacto de 2531  servidores(as) y colaboradores(as) de la SDIS en el marco de la ejecución del Plan Anual de Bienestar Social
Aún cuando se cumplió con la meta de cobertura en el segundo trimestre, se ha dado continuidad con las actividades programadas, para alcanzar una mayor participación de servidores y servidoras de la Entidad en estas.</t>
  </si>
  <si>
    <t>Durante el mes de noviembre se contó con la participación de 308 servidores(as) y colaboradores(as) de la SDIS en el marco de la ejecución del Plan Anual de Bienestar Social, las actividades fueron: 
1. Taller Emocionario sesión 1, participación de 32 servidores(as) y colaboradores(as) de la SDIS 
2. Taller Emocionario sesión 2, participación de 63 servidores(as) y colaboradores(as) de la SDIS
3. Conferencia Ambientes Laborales Inclusivos, desde el reconocimiento de la diversidad sexual, participación de 63 Servidores (as) de la SDIS
4. Encuentro Pre Pensionados, participación de 64 Servidores (as) de la SDIS
5. Taller derechos sexuales y reproductivos en el conflicto armado, participación de 43 servidores(as) y colaboradores(as) de la SDIS 
6. Conversatorio derecho priorizado por las mujeres, vida libre de violencias, participación de 43 servidores (as) de la SDIS.
Aún cuando se cumplió con la meta de cobertura en el trimestre anterior, se ha dado continuidad con las actividades programadas, para alcanzar una mayor participación de servidores y servidoras de la Entidad en estas.</t>
  </si>
  <si>
    <t xml:space="preserve">Durante el mes de octubre 2022 se contó con 794 participaciones de servidores (as) públicos en actividades desarrolladas del Plan de Bienestar e Incentivos.
Aún cuando se cumplió con la meta de cobertura en el trimestre anterior, se ha dado continuidad con las actividades programadas, para alcanzar una mayor participación de servidores y servidoras de la Entidad en estas.
</t>
  </si>
  <si>
    <t xml:space="preserve">Se realizó la medición de satisfacción de las actividades ejecutadas cuyo resultado no fue el esperado. Durante el año 2022 se contó con dos entidades contratistas que ejecutaron actividades de bienestar, lo que pudo generar algo de insatisfacción. Para 2023 se estima reducir la meta de satisfacción considerando los resultados de los últimos 3 años. </t>
  </si>
  <si>
    <t xml:space="preserve">Para el mes de diciembre se realizaron 4 actividades en el marco del plan de bienestar social 2022, una vez aplicadas las encuestas de satisfacción correspondientes a 3 de estas actividades se obtienen los siguientes resultados:
1. Cierre de gestión SDIS 2022: esta actividad se llevó a cabo el día 01 de diciembre de 2022, con asistencia de 1.206 servidores(as) de la SDIS, 538 diligenciaron la encuesta de satisfacción, 43% manifestó sentirse "Súper Feliz" durante la actividad, 43% manifestó sentirse "Feliz" durante la actividad y el 12% manifestó sentirse "bien" durante la actividad.
2. Encuentro de parejas y parejas diversas SDIS 2022: esta actividad se llevó a cabo los días 03 y 04 de diciembre de 2022, con asistencia de 50 servidores(as) de la SDIS, 48 diligenciaron la encuesta de satisfacción, 96% manifestó sentirse "Súper Feliz" durante la actividad, 4% manifestó sentirse "Feliz" durante la actividad.
3. Conversatorio recomendaciones abordaje de derechos sexuales y reproductivos con poblaciones diferenciales, con asistencia de 22 servidores(as) y colaboradores(as) de la SDIS, 22 diligenciaron la encuesta de satisfacción, 14% manifestó sentirse “Súper Feliz” durante la actividad, 55% manifestó sentirse “Feliz”, durante la actividad y 32 % manifestó sentirse “Bien” durante la actividad.
En el trimestre octubre - diciembre de 2022, se aplicaron un total de 12 encuestas de satisfacción con 1.156 servidores que respondieron las encuestas, lo que arrojó un 86% de satisfacción.
</t>
  </si>
  <si>
    <t xml:space="preserve">Para el mes de noviembre se realizaron 6 actividades en el marco del plan de bienestar social 2022, una vez aplicadas las encuestas de satisfacción correspondientes a estas actividades se obtienen los siguientes resultados:
1. Taller Emocionario sesiones 1 y 2: Esta actividad se llevó a cabo los días 08 y 24 de noviembre de 2022 (se cuenta con una base de datos consolidada de encuestas de satisfacción, para las dos sesiones), con asistencia de 95 servidores(as) y colaboradores(as) de la SDIS, 53 diligenciaron la encuesta de satisfacción, 13% manifestó sentirse "Súper Feliz" durante la actividad, 28% manifestó sentirse "feliz" durante la actividad y el 58% manifestó sentirse "bien" durante la actividad.
2. Conferencia Ambientes Laborales Inclusivos, desde el reconocimiento de la diversidad sexual: Esta actividad se llevó a cabo el día 11 de noviembre de 2022, con asistencia de 63 servidores(as) de la SDIS, 51 diligenciaron la encuesta de satisfacción, 57% manifestó sentirse "Súper Feliz" durante la actividad, 37% manifestó sentirse "feliz" durante la actividad y el 6% manifestó sentirse "bien" durante la actividad.
3. Taller derechos sexuales y reproductivos en el conflicto armado: Esta actividad se llevó a cabo el día 17 de noviembre de 2022, con asistencia de 43 servidores(as) y colaboradores(as) de la SDIS, 43 diligenciaron la encuesta de satisfacción, 19% manifestó sentirse "Súper Feliz" durante la actividad, 56% manifestó sentirse "feliz" durante la actividad y el 26% manifestó sentirse "bien" durante la actividad.
4. Encuentro Pre Pensionados: Esta actividad se llevó a cabo el día 21 de noviembre de 2022, con asistencia de 64 servidores(as) de la SDIS, 26 diligenciaron la encuesta de satisfacción, 65% manifestó sentirse "Súper Feliz" durante la actividad, 27% manifestó sentirse "feliz" durante la actividad y el 8% manifestó sentirse "bien" durante la actividad.
5. Conversatorio derecho priorizado por las mujeres, vida libre de violencias: Esta actividad se llevó a cabo el día 22 de noviembre de 2022, con asistencia de 43 servidores(as) de la SDIS, 25 diligenciaron la encuesta de satisfacción, 52% manifestó sentirse "Súper Feliz" durante la actividad, 36% manifestó sentirse "feliz" durante la actividad y el 12% manifestó sentirse "bien" durante la actividad.
</t>
  </si>
  <si>
    <t>Para el mes de octubre se realizaron 5 actividades en el marco del plan de bienestar social e incentivos 2022, una vez aplicadas las encuestas de satisfacción correspondientes a estas actividades  se obtienen los siguientes resultados:
1. Vacaciones recreativas SDIS 2022: Esta actividad se llevó a cabo entre el 12 y el 14 de octubre de 2022 con asistencia de 195 niños y niñas, hijos e hijas de servidores de la SDIS, se diligenciaron  126  encuestas de satisfacción, 56% de los encuestados manifestó sentirse "Súper Feliz" durante la actividad, 37% de los encuestados manifestó sentirse "Feliz" durante la actividad y el 7% de encuestados manifestó sentirse "Bien" durante la actividad.
2. Taller programación neurolingüística: Esta actividad se llevó a cabo el día 21 de octubre de 2022 con asistencia de 53 servidores (as) y colaboradores(as) de la SDIS, se diligenciaron 47  encuestas de satisfacción, 38% de los encuestados  manifestó sentirse "Super Feliz" durante la actividad, 47% de los encuestados manifestó sentirse "Feliz " durante la actividad y 15% de los encuestados manifestó sentirse "Bien" durante la actividad.
3. Día de los niños y las niñas SDIS 2022: Esta actividad se llevó a cabo el día 26 de octubre de 2022, con asistencia de 190 servidores y servidoras y 254 niños y niñas hijos e hijas de los servidores (total 444 personas), se diligenciaron 122 encuestas de satisfacción, 55% de los encuestados manifestó sentirse "Super Feliz" durante la actividad, 36% de los encuestados  manifestó sentirse  "Feliz" durante la actividad, un 8% de los encuestados  manifestó sentirse "Bien" durante la actividad y  el 1% restante  manifestó sentimiento de "Mal" frente al desarrollo de la actividad.
4. Conversatorio día del trabajo decente en Colombia: Esta actividad se llevó a cabo el día 20 de octubre de 2022, con participación de 81 servidores/as de la SDIS, se diligenciaron 55 encuestas de satisfacción, 31% de los encuestados manifestó sentirse "Super Feliz" durante la actividad, un 58% de los encuestados manifestó sentirse "Feliz" durante la actividad y un 11% restante manifestó sentirse "Bien" durante el desarrollo de la actividad.
5. Entregable para hijos e hijas en condición de discapacidad, esta actividad consistente en entrega de un bono por valor de $120.000  redimible en almacenes éxito , surtimax y Carulla, se ejecuto el 28 de octubre de 2022, impactando a 21 servidores y servidoras de la SDIS y a sus hijos e hijas.</t>
  </si>
  <si>
    <t>Se realizó la medición de la meta en los periodos que se realizaron acciones formativas en el marco de las competencias técnicas, a las que les aplicó la medición del cierre de brecha. 
Se cumplió con la meta programada para la vigencia, aún teniendo en cuenta que durante los meses de agosto, septiembre y octubre se llevó a cabo la etapa contractual para la ejecución de las actividades previstas en el Plan Institucional de Capacitación de la vigencia 2022.</t>
  </si>
  <si>
    <t>Para el mes de diciembre se realizó la medición de cierre de brecha de la capacitación en Actualización normativa (Ley 1437 de 2011, Ley 1755 de 2015 (contencioso administrativo y derecho de petición), la cual contó con veinte (20) horas de formación y de la que participaron un total de 40 servidores y servidoras. Del total de participantes, 36 diligenciaron la evaluación pre y post, obteniendo que 26 de ellos aumentaron su conocimiento, lo que representa un 72% de disminución de brecha o mejora en el conocimiento.
La disminución de brecha de conocimiento para el período es de 72%</t>
  </si>
  <si>
    <t>Para el mes de noviembre se finalizaron las capacitaciones en redacción de informes técnicos y modelos de gestión y planeación estratégica, las cuales contaron con doce (12) horas de formación y de las que participaron un total de 27 servidores y servidoras en el tema de  redacción de informes técnicos, y para el caso de modelos de gestión y planeación estratégica, un total de 47 servidores y servidoras. 
Para el tema de redacción de informes técnicos de los 21 participantes que diligenciaron la evaluación pre y post, 17 de ellos aumentaron su conocimiento, lo que representa un 81% de disminución de brecha o mejora en el conocimiento.
En el tema de modelos de gestión y planeación estratégica, de los 41 servidores y servidoras participantes que diligenciaron la evaluación pre y post, 28 de ellos aumentaron su conocimiento, lo que representa un 68% de disminución de brecha o mejora en el conocimiento. 
La disminución de brecha de conocimiento para el período es de 75%</t>
  </si>
  <si>
    <t>Durante el mes de octubre se realizó el cronograma, la convocatoria y se dio inicio a las capacitaciones en ejecución del Plan Institucional de Capacitación para la vigencia 2022. Entre los temas citados se encuentran la redacción de informes técnicos y modelos de gestión y planeación estratégica, a los cuales se les medirá el cierre de brecha, una vez terminen.</t>
  </si>
  <si>
    <t>Durante la vigencia de 2022 se logró evidenciar el cumplimiento del 113% de los casos gestionados a través de la mesa de servicios tecnológicos generados a la Subdirección de Investigación e Información. Así las cosas el indicador logra un porcentaje de sobrecumplimiento para la vigencia del 113% con respecto a la meta propuesta (95%).
Por parte de la Subdirección de Investigación e Información se propone mantener el indicador y replantear la meta anual del mismo.</t>
  </si>
  <si>
    <t>Al cierre del 30 de diciembre de 2022, los tickets en estado SOLUCIONADO fueron 206 y los tickets en estado CERRADO fueron 4,342 para un total de 4.548 tickets gestionados de manera efectiva, de los 4,866 tickets totales (No se tienen en cuenta 21 tickets en estado ANULADO, en su mayoría por duplicidad). Obteniendo como resultado de atención un 93%, que comparado con la meta del 95% se logra un cumplimiento del 98% de lo planeado. 
Durante el mes, 46 tickets quedaron en estado SUSPENDIDO, los cuales 16 pertenecen a primer nivel y 27 a segundo nivel  (se encuentran suspendidos por repuestos 21, por cita pactada 4 y pendiente por documento 5).
14 tickets quedaron  en estado EN PROCESO,  de los cuales 6 pertenecen a primer nivel, 6 pertenecen a segundo nivel y 2 a Proveedor solution copy.
244 tickets quedaron en estado REGISTRADO, de los cuales 8 pertenecen a primer nivel y 235 a segundo nivel.
6 tickets quedaron en estado DESAPROBADO, los cuales  4 pertenecen a segundo nivel y 2 pertenecen a primer nivel.
1 ticket quedo en estado PENDIENTE, el cual  pertenece a segundo nivel.
 La mayoría de los tickets se relacionaron con Directorio Activo (1.483), Focalización (980), SIRBE (530), Seven (386), IOPS (314), AZDigital (309), laser (158), Correo (152), Equipo Completo (85), CPU (50) y  Información de Usuario (45), entre otros.</t>
  </si>
  <si>
    <t>13/12/2022 No se generan observaciones y/o recomendaciones respecto al análisis presentado en el seguimiento al indicador de gestión.</t>
  </si>
  <si>
    <t>Al cierre del 30 de noviembre de 2022, los tickets en estado SOLUCIONADO fueron 493 y los tickets en estado CERRADO fueron 3.899 para un total de 4.392 tickets gestionados de manera efectiva, de los 4.538 tickets totales (No se tienen en cuenta 26 tickets en estado ANULADO, en su mayoría por duplicidad). Obteniendo como resultado de atención un 97%, que comparado con la meta del 95% se logra un cumplimiento del 102% de lo planeado. 
Durante el mes, 68 tickets quedaron en estado SUSPENDIDO, los cuales 39 pertenecen a primer nivel, 28 a segundo nivel y 1 a Proveedor solution copy (la mayoría se encuentran suspendidos por repuestos 20, por cita pactada 15 y pendiente por documento 13).
45 tickes quedaron  en estado EN PROCESO,  de los cuales 14 pertenecen a primer nivel, 24 pertenecen a segundo nivel y 7 a Proveedor solution copy.
29 tickets quedaron en estado REGISTRADO, de los cuales 13 pertenecen a primer nivel y 16 a segundo nivel.
3 tickets quedaron en estado DESAPROBADO, los cuales pertenecen a segundo nivel.
1 ticket quedo en estado PENDIENTE, el cual pertenece a segundo nivel.
La mayoría de los tickets se relacionaron con Sirbe (1.298), Directorio Activo (949), AZ Digital (322), Focalización (285), IOPS (240), Laser (228), Seven (218), Equipo Completo (214), Correo (154), Información de usuario (118) y CPU (100), entre otros.</t>
  </si>
  <si>
    <t>17/11/2022 No se generan observaciones y/o recomendaciones respecto al análisis presentado en el seguimiento al indicador de gestión.</t>
  </si>
  <si>
    <t>Al cierre del 31 de octubre de 2022, los tickets en estado SOLUCIONADO fueron 172 y los tickets en estado CERRADO fueron 3.711 para un total de 3.883 tickets gestionados de manera efectiva, de los 3.975 tickets totales (No se tienen en cuenta 22 tickets en estado ANULADO, en su mayoría por duplicidad). Obteniendo como resultado de atención un 98%, que comparado con la meta del 95% se logra un cumplimiento del 103% de lo planeado. 
Durante el mes, 56 tickets quedaron en estado SUSPENDIDO, los cuales 41 pertenecen a primer nivel (la mayoría por que se encuentran pendientes por repuestos) y 15 a segundo nivel.
26 tickers quedaron  en estado EN PROCESO,  de los cuales 19 pertenecen a primer nivel y 7 pertenecen a segundo nivel.
9 tickets quedaron en estado REGISTRADO, de los cuales 3 pertenecen a primer nivel y 6 a segundo nivel.
1 ticket quedo  en estado DESAPROBADO, el cual  pertenece a segundo nivel.
La mayoría de los tickets se relacionaron con Directorio Activo (880), Sirbe (636), IOPS (323), Equipo Completo (282), Focalización (280), AZ Digital (258), Seven (237), Laser (201), Información de usuario (145) y Correo (139), entre otros.</t>
  </si>
  <si>
    <t>Durante la vigencia de 2022 se logró evidenciar el cumplimiento del 89% del cumplimiento de las encuestas de Satisfacción de los usuarios de la mesa de servicio generados a la Subdirección de Investigación e Información. Así las cosas el indicador logra un porcentaje de cumplimiento para la vigencia del 99% con respecto a la meta propuesta (90%).
Por parte de la Subdirección de Investigación e Información se propone mantener el indicador y continuar implementando mejoras que permitan llegar a un cumplimiento del 100%.</t>
  </si>
  <si>
    <t>12/01/2023 No se generan observaciones y/o recomendaciones respecto al análisis presentado al indicador de gestión.</t>
  </si>
  <si>
    <t xml:space="preserve">Al cierre del 30 de diciembre de 2022, los tickets en estado SOLUCIONADO fueron 206 y los tickets en estado CERRADO fueron 4,342 para un total de 4.548 tickets gestionados de manera efectiva, de los 4,866 tickets totales (No se tienen en cuenta 21 tickets en estado ANULADO, en su mayoría por duplicidad). 
De los tickets gestionados, los usuarios contestaron 1507 encuestas de satisfacción, correspondiente al 33%. En 1362 la calificación del usuario sobre la satisfacción del servicio de la Mesa tuvo puntajes promedio de 4 a 5, es decir, BUENO o EXCELENTE, obteniendo como resultado general un 90% de satisfacción, que comparado con la meta del 90%, nos arroja un cumplimiento del indicador en un 100%. </t>
  </si>
  <si>
    <t>12/12/2022 No se generan observaciones y/o recomendaciones respecto al análisis presentado al indicador de gestión.</t>
  </si>
  <si>
    <t xml:space="preserve">Al cierre del 30 de noviembre de 2022, los tickets en estado SOLUCIONADO fueron 493 y los tickets en estado CERRADO fueron 3.899 para un total de 4.392 tickets gestionados de manera efectiva, de los 4.538 tickets totales (No se tienen en cuenta 26 tickets en estado ANULADO, en su mayoría por duplicidad).
De los tickets gestionados, los usuarios contestaron 1.566 encuestas de satisfacción, correspondiente al 32%. En 1.426 la calificación del usuario sobre la satisfacción del servicio de la Mesa tuvo puntajes promedio de 4 a 5, es decir, BUENO o EXCELENTE, obteniendo como resultado general un 92% de satisfacción, que comparado con la meta del 90%, nos arroja un cumplimiento del indicador en un 102%. </t>
  </si>
  <si>
    <t>15/11/2022 No se generan observaciones y/o recomendaciones respecto al análisis presentado al indicador de gestión.</t>
  </si>
  <si>
    <t xml:space="preserve">Al cierre del 31 de octubre de 2022, los tickets en estado SOLUCIONADO fueron 172 y los tickets en estado CERRADO fueron 3.711 para un total de 3.883 tickets gestionados de manera efectiva, de los 3.997 tickets totales (No se tienen en cuenta 22 tickets en estado ANULADO, en su mayoría por duplicidad). 
De los tickets gestionados, los usuarios contestaron 1.798 encuestas de satisfacción, correspondiente al 46%. En 1.680 la calificación del usuario sobre la satisfacción del servicio de la Mesa tuvo puntajes promedio de 4 a 5, es decir, BUENO o EXCELENTE, obteniendo como resultado general un 93% de satisfacción, que comparado con la meta del 90%, nos arroja un cumplimiento del indicador en un 103%. </t>
  </si>
  <si>
    <t xml:space="preserve">Al cierre del periodo el indicador presenta una ejecución del 109% superando la programación inicialmente prevista, teniendo en cuenta el  surgimiento de nuevas necesidades de  intervenciones que debieron ser priorizadas y realizadas, esto con el fin de  garantizar una atención de calidad a la ciudadanía en infraestructuras adecuadas.
 </t>
  </si>
  <si>
    <t>En el marco del Plan de Desarrollo " Un nuevo contrato social y ambiental para el siglo XXI", la Secretaría Distrital de Integración Social, ha intervenido 327 equipamientos, de los cuales durante el mes de Noviembre  finalizó la intervención de 9 equipamientos administrados en la modalidad de mantenimiento preventivo o correctivo, para garantizar una atención de calidad a la ciudadanía, en infraestructura segura y en condiciones de salubridad.
Lo anterior corresponde al 66% de ejecución que representa el 109,4% con respecto al avance del indicador.</t>
  </si>
  <si>
    <t>En el marco del Plan de Desarrollo " Un nuevo contrato social y ambiental para el siglo XXI", la Secretaría Distrital de Integración Social, ha intervenido 319 equipamientos, de los cuales durante el mes de Noviembre  finalizó la intervención de 9 equipamientos administrados en la modalidad de mantenimiento preventivo o correctivo, para garantizar una atención de calidad a la ciudadanía, en infraestructura segura y en condiciones de salubridad.
Lo anterior corresponde al 64.06% de ejecución que representa el 106,7% con respecto al avance del indicador.</t>
  </si>
  <si>
    <t>15/10/2022 Se recomienda realizar un avance cuantitativo más específico, con el fin de evidenciar toda la gestión que realiza el proyecto de gestión respecto al cumplimiento de seguridad y salubridad de los inmuebles administrados por la entidad. No se generan observaciones respecto al análisis reportado para el seguimiento del indicador.</t>
  </si>
  <si>
    <t>En el marco del Plan de Desarrollo " Un nuevo contrato social y ambiental para el siglo XXI", la Secretaría Distrital de Integración Social, ha intervenido 310 equipamientos, de los cuales durante el mes de octubre finalizó la intervención de 10 equipamientos administrados en la modalidad de mantenimiento preventivo o correctivo, para garantizar una atención de calidad a la ciudadanía, en infraestructura segura y en condiciones de salubridad.
Lo anterior corresponde al 62.24% de ejecución que representa el 103,7% con respecto al avance del indicador.</t>
  </si>
  <si>
    <t>Durante la vigencia 2022 se proyectó la terminación de dos proyectos de obra, el cual corresponde al 100% de la vigencia.
1. OBRA NUEVA. CD SAN DAVID: Obra Terminada
2. OBRA DE REFORZAMIENTO ESTRUCTURAL Y/O RESTITUCIÓN: Centro Día CAMPO VERDE: a Diciembre DE 2022  presenta un avance físico ejecutado del  56,37%.
Esto implica un porcentaje de cumplimiento del 50%  con relación a la meta propuesta para el año 2022.
La no terminación del Centro día Campo Verde para la vigencia 2022,  conllevó al incumplimiento de la meta en un 100%, igualmente a la modificación del Contrato de Obra No 10508 de 2021, con objeto: “CONTRATAR TODAS  LAS  LABORES  RELACIONADAS  CON  LOS  AJUSTES,  ACTUALIZACIÓN  Y COMPLEMENTACIÓN   DE   LOS   ESTUDIOS   Y   DISEÑOS   EXISTENTES   PARA   LA MODIFICACACIÓN    DE    LA    LICENCIA    DE    CONSTRUCCIÓN,    ASÍ    COMO    LA TERMINACIÓN  DE  LA  CONSTRUCCIÓN  DE  LA  OBRA  CENTRO  DIA  CAMPO  VERDE, UBICADA EN LA LOCALIDAD BOSA EN BOGOTÁ DISTRITO CAPITAL, mediante solicitud de “otrosí modificatorio” que contemple la prórroga del contrato de obra No. 10508 de 2021, por un término cuatro (4) meses adicionales al contractual que finaliza el  26  de  diciembre  de  2022,  dando  finalización  al  contrato  el  26  de  abril  de  2023. Esta prorroga se sustenta en los siguientes motivos:
En desarrollo de la Etapa 2 del contrato, en la ejecución de las actividades  se han generado una serie de hechos que  han  afectado  el  plazo  contractual  inicial  para  la  terminación  de  la  obra,  que  fueron informados inicialmente por la interventoría , donde manifestaron a la Entidad que, existían complicaciones para la adquisición de la estructura tubular, toda vez que, se estaba presentando un desabastecimiento de perfilería metálica de los elementos que conforman las columnas estructura y el atraso que se produjo en la importación del material. Adicional a lo anterior, las lluvias que se han presentado en el  sector,  en  los  últimos  meses,  causaron  reprocesos,  que  repercutieron  en  los  procesos constructivos y afectando la programación inicial del proyecto. 
Por  otro  lado,  como  parte  de  la  Etapa  1 del contrato ,  se  realizaron  modificaciones  a  los  diseños  que conllevaron a la necesidad de la modificación de la Licencia de Construcción número LC 18-2-1267 con fecha de ejecutoria del 24 de enero de 2019,  y  se  está  a  la  espera  de  la  resolución  de  expedición  de  la  modificación  de  la licencia. 
 En  virtud  de  lo  anterior,  la supervisión del  contrato  de  interventoría  No.  10491  de  2021  consideró  oportuno,  conveniente  y necesario, acoger la recomendación de la interventoría a fin de modificar el contrato de obra No 10508 de 2021, para la ampliación del plazo de ejecución de cuatro (4) meses, toda vez que, es necesario concederla para avanzar y poder culminar la Etapa 2 del contrato de obra No 10508 de 2021, en cumplimiento de objeto contractual.</t>
  </si>
  <si>
    <r>
      <t xml:space="preserve">Durante la vigencia se proyecta la terminación de dos proyectos de obra, 1 en Modalidad de obra nueva y 1 en modalidad de reforzamiento estructural o restitución, al cierre del mes de Diciembre presentan el siguiente avance:
</t>
    </r>
    <r>
      <rPr>
        <sz val="9"/>
        <rFont val="Arial"/>
        <family val="2"/>
      </rPr>
      <t xml:space="preserve"> 
OBRA NUEVA. CD SAN DAVID: El contrato de obra e interventoría culminaron el 12 de agosto de 2022, y se suscribe el acta de terminación de la misma fecha. Se remite acta de terminación del contrato de obra e interventoría.
OBRA DE REFORZAMIENTO ESTRUCTURAL Y/O RESTITUCIÓN: CAMPO VERDE: Diciembre DE 2022:  Según el informe semanal No.39 a corte del 26 de diciembre de 2022, entregado por la Interventoría, correspondiente a la etapa No 2, el proyecto presenta un avance físico programado del  42,45% y un avance físico ejecutado del  56,37%, con un avance del 13,91%, que responde a la reprogramación realizada que dio origen a Otrosí No. 2.
</t>
    </r>
  </si>
  <si>
    <r>
      <t xml:space="preserve">Durante la vigencia se proyecta la terminación de dos proyectos de obra, 1 en Modalidad de obra nueva y 1 en modalidad de reforzamiento estructural o restitución, al cierre del mes de octubre presentan el siguiente avance:
</t>
    </r>
    <r>
      <rPr>
        <sz val="9"/>
        <rFont val="Arial"/>
        <family val="2"/>
      </rPr>
      <t xml:space="preserve"> 
OBRA NUEVA. CD SAN DAVID: El contrato de obra e interventoría culminaron el 12 de agosto de 2022, y se suscribe el acta de terminación de la misma fecha. Se remite acta de terminación del contrato de obra e interventoría.
OBRA DE REFORZAMIENTO ESTRUCTURAL Y/O RESTITUCIÓN: CAMPO VERDE: NOVIEMBRE DE 2022:  Según el informe semanal No. 35  a corte del 28 de noviembre de 2022, entregado por la Interventoría, correspondiente a la etapa No 2, el proyecto presenta un avance físico programado del  71,08% y un avance físico ejecutado del  39,33%, con un atraso del 31,35%, este el contratista logro una recuperación del 2,19%.
</t>
    </r>
  </si>
  <si>
    <t>15/11/2022 No se generan observaciones respecto al análisis reportado para el seguimiento del indicador.</t>
  </si>
  <si>
    <t>Durante la vigencia se proyecta la terminación de dos proyectos de obra, 1 en Modalidad de obra nueva y 1 en modalidad de reforzamiento estructural o restitución, al cierre del mes de octubre presentan el siguiente avance:
OBRA NUEVA. CD SAN DAVID: El contrato de obra e interventoría culminaron el 12 de agosto de 2022, y se suscribe el acta de terminación de la misma fecha. Se remite acta de terminación del contrato de obra e interventoría.
OBRA DE REFORZAMIENTO ESTRUCTURAL Y/O RESTITUCIÓN: CAMPO VERDE: OCTUBRE DE 2022:  Según el informe semanal No. 31 a corte del 31 de octubre de 2022, entregado por la Interventoría, correspondiente a la etapa No 2, el proyecto presenta un avance físico programado del  57,41% y un avance físico ejecutado del  35,65%, con un atraso del 21.76%. Así las cosas la interventoría radicó el 18 de octubre de 2022, informe para el inicio del presunto incumplimiento, el cual se encuentra en revisión del apoyo a la supervisión.</t>
  </si>
  <si>
    <r>
      <t>Dura</t>
    </r>
    <r>
      <rPr>
        <sz val="9"/>
        <rFont val="Arial"/>
        <family val="2"/>
      </rPr>
      <t>nte el año 2022, se recibieron un total de 70 solicitudes  de tramité de procesos, de los cuales se tramitaron 60</t>
    </r>
    <r>
      <rPr>
        <sz val="9"/>
        <color theme="1"/>
        <rFont val="Arial"/>
        <family val="2"/>
      </rPr>
      <t xml:space="preserve"> hasta su adjudicación, así: 
Primer trimestre 5 (Aun no se había iniciado la medición del indicador).
Segundo trimestre 8.
Tercer trimestre 25.
Cuarto trimestre 22
En virtud de lo anterior, se alcanzó un nivel de avance de 98% de cumplimiento a la meta propuesta.
Este indicador se actualizará para la vigencia 2023.</t>
    </r>
  </si>
  <si>
    <t>14/01/2023 No se generan observaciones respecto al análisis presentado en el seguimiento al indicador de gestión. Se deja la siguiente recomendación: revisar si para la próxima vigencia el cumplimiento del indicador puede superar la meta actual. Si es así se recomienda actualizar la meta del indicador para la próxima vigencia 2023.</t>
  </si>
  <si>
    <t>Durante el  cuarto trimestre del año 2022, a la subdirección de contratación, fueron radicados por las áreas técnicas, un total de 24 solicitudes de trámites de procesos de selección, de los cuales fueron tramitados en debida forma las 22 solicitudes, realizando la revisión de documentos previos de estructuración, otorgando avales para presentación de procesos ante el comité de contratación, y avalando procesos de mínima cuantía para radicación por AZ digital. y creando eventos de cotización para expedición de ordenes de compra
Las 2 Solicitudes restantes fueron devueltas sin trámite conforme a los tiempos requeridos en para el trámite no se lograda registrar antes de 31 de diciembre de 2022.</t>
  </si>
  <si>
    <t>15/12/2022 No se generan observaciones respecto al análisis presentado en el seguimiento al indicador de gestión. Se deja la siguiente recomendación: revisar si el cumplimiento en cada periodo va ser más alto a la meta propuesta. Si es así debemos actualizarlo para la próxima vigencia.</t>
  </si>
  <si>
    <t xml:space="preserve">Durante el mes de noviembre  del año 2022, a la subdirección de contratación, fueron radicados por las áreas técnicas, un total de 2 solicitudes de trámites de procesos de selección, de los cuales fueron tramitados en debida forma las 2 solicitudes, realizando la revisión de documentos previos de estructuración, otorgando avales para  procesos de mínima cuantía para radicación por AZ digital. </t>
  </si>
  <si>
    <t>17/11/2022 No se generan observaciones respecto al análisis presentado en el seguimiento al indicador de gestión. Se deja la siguiente recomendación: revisar si el cumplimiento en cada periodo va ser más alto a la meta propuesta. Si es así debemos actualizarlo para la próxima vigencia.</t>
  </si>
  <si>
    <t>Durante el mes de octubre del año 2022, a la subdirección de contratación, fueron radicados por las áreas técnicas, un total de 15 solicitudes de trámites de procesos de selección, de los cuales fueron tramitados en debida forma las 14 solicitudes, realizando la revisión de documentos previos de estructuración, otorgando avales para presentación de procesos ante el comité de contratación, y avalando procesos de mínima cuantía para radicación por AZ digital. y creando eventos de cotización para expedición de ordenes de compra.</t>
  </si>
  <si>
    <t>14/06/2022 No se generan observaciones respecto al análisis presentado en el seguimiento al indicador de gestión. Se tiene la siguiente recomendación: se sugiere que en la información cualitativa se incorpore los procesos que se adelantaron en este mes. Por último, solo se recuerda que lo cuantitativo solo se reporta según su periodicidad en este caso cada trimestre, otro mes se deja en blanco las casillas respectivas.</t>
  </si>
  <si>
    <t>16/05/2022 No se generan observaciones respecto al análisis presentado en el seguimiento al indicador de gestión. Se tiene la siguiente recomendación: se sugiere que en la información cualitativa se incorpore los procesos que se adelantaron en este mes. Por último, solo se recuerda que lo cuantitativo solo se reporta según su periodicidad en este caso cada trimestre, otro mes se deja en blanco las casillas respectivas.</t>
  </si>
  <si>
    <r>
      <t>Dura</t>
    </r>
    <r>
      <rPr>
        <sz val="9"/>
        <rFont val="Arial"/>
        <family val="2"/>
      </rPr>
      <t>nte el año 2022, se recibieron un total de 14 solicitudes de tramite de selección, las cuales fueron tramitadas en su totalidad alcanzando un nivel de avance del 125% de cumplimiento de la meta propuesta.
Este indicador se mantiene para la vigencia 2023.</t>
    </r>
  </si>
  <si>
    <t>Durante el mes de octubre se radicaron un total de 2 solicitudes de procesos competitivos, los cuales se tramitaron dentro del termino. En los meses de noviembre y diciembre del 2022, no fueron radicadas solicitudes de procesos competitivos en la Subdirección</t>
  </si>
  <si>
    <t>15/12/2022 No se generan observaciones respecto al análisis presentado en el seguimiento al indicador de gestión. Se deja la siguiente recomendación: revisar si el cumplimiento en cada periodo va ser más alto a la meta propuesta, actualmente el indicador esta en sobrecumplimiento (125%). Si es así debemos actualizarlo para la próxima vigencia.</t>
  </si>
  <si>
    <t xml:space="preserve">Durante el mes de Noviembre del 2022, no fueron radicadas solicitudes de procesos competitivos en la Subdirección de contratación por lo cual no se reporta indicador para este mes. </t>
  </si>
  <si>
    <t>Durante el mes de Octubre del 2022, el estado de las solicitudes de procesos competitivos radicados se da de la siguiente manera: de un total de 2 solicitudes de procesos competitivos radicados, se tramitaron dentro del término 2 para un resultado de 100%.</t>
  </si>
  <si>
    <t>La Subdirección de Contratación en la vigencia 2022 enfocó sus esfuerzos en agilizar el control de legalidad que realiza a las solicitudes de contratación de prestación de recurso humano radicadas, mediante la revisión  de la documentación pertinente y  completa. Se evidencian variaciones en el flujo de contratación en los meses de vigencia de ley de garantías del gobierno nacional, la cual se normalizo  el  20/06/2022. En virtud de lo anterior, se alcanza la meta cumplimiento de la Subdirección de Contratación mediante la  gestión de la dependencia.
Este indicador se mantiene para la vigencia 2023.</t>
  </si>
  <si>
    <t xml:space="preserve">A partir de la terminación de la Ley de Garantías del Gobierno Nacional, desde el  20/06/2022 se reinició la suscripción de contratos.
En el mes de DICIEMBRE  se recibieron 77 solicitudes de contratación y gracias al plan de contingencia que se adelanta, se logró la gestión y suscripción de 193 en el periodo de medición, de los cuales 5 procesos fueron rechazados o desistidos y 188 procesos se suscribieron en el periodo dando lugar al inicio de ejecución del mismo, cerrando la brecha de contratación que se tenia en periodos anteriores. 
</t>
  </si>
  <si>
    <t>15/12/2022 No se generan observaciones respecto al análisis presentado en el seguimiento al indicador de gestión. Se deja la siguiente recomendación: revisar si el cumplimiento en cada periodo va ser más alto a la meta propuesta, actualmente el indicador esta en sobrecumplimiento (117%). Si es así debemos actualizarlo para la próxima vigencia.</t>
  </si>
  <si>
    <t xml:space="preserve">A partir de la terminación de la Ley de Garantías del Gobierno Nacional, desde el  20/06/2022 se reinició la suscripción de contratos.
En el mes de NOVIEMBRE  se recibieron 108 solicitudes de contratación y gracias al plan de contingencia que se adelanta, se logró la gestión y suscripción de 157 en el periodo de medición, de los cuales 10 procesos fueron rechazados o desistidos y 147 procesos se suscribieron en el periodo dando lugar al inicio de ejecución del mismo, cerrando la brecha de contratación que se tenia en periodos anteriores. 
</t>
  </si>
  <si>
    <t xml:space="preserve">A partir de la terminación de la Ley de Garantías del Gobierno Nacional, desde el  20/06/2022 se reinició la suscripción de contratos.
En el mes de OCTUBRE se recibieron 264 solicitudes de contratación y gracias al plan de contingencia que se adelanta, se logró la gestión y suscripción de 311 en el periodo de medición, de los cuales 7 procesos fueron rechazados o desistidos y 304 procesos se suscribieron en el periodo dando lugar al inicio de ejecución del mismo, cerrando la brecha de contratación que se tenia en periodos anteriores. 
</t>
  </si>
  <si>
    <t>La Subdirección de Contratación durante la vigencia 2022 dio trámite al 97% de los procesos modificatorios radicados, correspondientes a contratos, convenios, Omaso… entre otras, sin incluir al recurso humano, para un total de 1476 procesos revisados integralmente, validados y publicados en debida forma cumpliendo así con el total de las necesidades solicitadas por las diferentes áreas de la SDIS.
Este indicador se mantiene para la vigencia 2023.</t>
  </si>
  <si>
    <t>Para el mes de diciembre del 2022, el estado de las solicitudes de modificaciones contractuales radicadas se da de la siguiente manera: de un total 143 entre solicitudes de modificaciones y contratos iniciales radicadas, se tramitaron dentro del término 143 para un resultado de 100%</t>
  </si>
  <si>
    <t>15/12/2022 No se generan observaciones  y/o recomendaciones respecto al análisis presentado en el seguimiento al indicador de gestión.</t>
  </si>
  <si>
    <t>Para el mes de noviembre del 2022, el estado de las solicitudes de modificaciones contractuales radicadas se da de la siguiente manera: de un total 131 entre solicitudes de modificaciones y contratos iniciales radicadas, se tramitaron dentro del término 131 para un resultado de 100%</t>
  </si>
  <si>
    <t>Para el mes de Octubre del 2022, el estado de las solicitudes de modificaciones contractuales radicadas se da de la siguiente manera: de un total 39 entre solicitudes de modificaciones y contratos iniciales radicadas, se tramitaron dentro del término 39 para un resultado de 100%,</t>
  </si>
  <si>
    <t xml:space="preserve">
Para la vigencia 2022, la Subdirección de Contratación ha desarrollado diferentes estrategias para que la entidad realice la solicitud de liquidación en los tiempos establecidos, con la documentación pertinente, completa y que el informe final de supervisión, contenga los aspectos: técnicos, legales y financieros completos, que permitan establecer los términos definitivos y reales de la liquidación de los contratos y convenios, tales  como alertas tempranas a los supervisiones, acciones pedagógicas y de orientación. De igual manera, el equipo de liquidaciones se ha fortalecido agilizando los tiempos de revisión y tramite de solicitud de liquidación.
Este indicador se mantiene para la vigencia 2023.</t>
  </si>
  <si>
    <t>Para el periodo comprendido entre el 20 de noviembre al 20 de diciembre, se radicaron las siguientes solicitudes de liquidación: 
69 tramites liquidatarios.
45 terminaciones anticipadas.  Para un total de 114 solicitudes
En el mes de diciembre, se tramitaron:
168 tramites liquidatarios  (144 Solicitudes de liquidación radicadas en periodos anteriores + 24 del periodo de medición).
39 Terminaciones anticipadas (39 tramitadas y 6 devueltas al área) para un total de 207 solicitudes tramitadas.
Lo anterior, representa una ejecución satisfactorio del 182%. 
Desde la Subdirección de Contratación, se continúa con la ejecución de actividades como  alertas tempranas a los supervisiones, acciones pedagógicas y de orientación, buscando que las solicitudes de trámite de liquidación y terminaciones anticipadas se radiquen dentro del término legal, con la documentación pertinente, completa y que el informe final de supervisión, contenga los aspectos: técnicos, legales y financieros completos, que permitan establecer los términos definitivos y reales de la liquidación de los contratos y convenios.</t>
  </si>
  <si>
    <r>
      <t xml:space="preserve">Para el periodo comprendido entre el 20 de octubre al 20 de noviembre, se radicaron las siguientes solicitudes de liquidación: 
71 tramites liquidatarios.
28 terminaciones anticipadas.
Para un total de </t>
    </r>
    <r>
      <rPr>
        <b/>
        <sz val="9"/>
        <color theme="1"/>
        <rFont val="Arial"/>
        <family val="2"/>
      </rPr>
      <t>99 solicitudes</t>
    </r>
    <r>
      <rPr>
        <sz val="9"/>
        <color theme="1"/>
        <rFont val="Arial"/>
        <family val="2"/>
      </rPr>
      <t xml:space="preserve">
En el mes de noviembre, se tramitaron:
59 tramites liquidatarios  (23 Solicitudes de liquidación radicadas en periodos anteriores + 36 del periodo de medición) y 26 terminaciones anticipadas.
Para un total </t>
    </r>
    <r>
      <rPr>
        <b/>
        <sz val="9"/>
        <color theme="1"/>
        <rFont val="Arial"/>
        <family val="2"/>
      </rPr>
      <t>del 85 tramites</t>
    </r>
    <r>
      <rPr>
        <sz val="9"/>
        <color theme="1"/>
        <rFont val="Arial"/>
        <family val="2"/>
      </rPr>
      <t xml:space="preserve">
Lo anterior, representa una ejecución satisfactorio del 86%. 
Las 35 solicitudes de tramites radicadas del 20 de octubre  al 20 de noviembre, se están gestionado y se dará tramite en el siguiente periodo.
Desde la Subdirección de Contratación, se continúa con la ejecución de actividades como  alertas tempranas a los supervisiones e interventorías, acciones pedagógicas y de orientación, buscando que las solicitudes de trámite de liquidación y terminaciones anticipadas se radiquen dentro del término legal, con la documentación pertinente, completa y que el informe final de supervisión, contenga los aspectos: técnicos, legales y financieros completos, que permitan establecer los términos definitivos y reales de la liquidación de los contratos y convenios.</t>
    </r>
  </si>
  <si>
    <t>17/11/2022 No se generan observaciones respecto al análisis presentado en el seguimiento al indicador de gestión. Se deja la siguiente recomendación: adelantar todas las acciones pertinentes para dar cumplimiento a la meta para el último periodo de la vigencia.</t>
  </si>
  <si>
    <t xml:space="preserve">Para el periodo comprendido entre el 20 de septiembre al 20 de octubre, se radicaron las siguientes solicitudes de liquidación: 
105 tramites liquidatarios.
19 terminaciones anticipadas.  
En el mes de octubre, se tramitaron:
65 tramites liquidatarios (35 Solicitudes de liquidación radicadas en periodos anteriores + 30 del periodo de medición).
18 Terminaciones anticipadas.
Lo anterior, representa una ejecución satisfactorio del 66%. 
Las 75 solicitudes de tramites radicadas del 20 de septiembre  al 20 de octubre, se están gestionado y se dará tramite en el siguiente periodo.
Desde la Subdirección de Contratación, se continúa con la ejecución de actividades como  alertas tempranas a los supervisiones e interventorías, acciones pedagógicas y de orientación, buscando que las solicitudes de trámite de liquidación y terminaciones anticipadas se radiquen dentro del término legal, con la documentación pertinente, completa y que el informe final de supervisión, contenga los aspectos: técnicos, legales y financieros completos, que permitan establecer los términos definitivos y reales de la liquidación de los contratos y convenios. </t>
  </si>
  <si>
    <t xml:space="preserve">Para mayo los supervisores e interventores, radicaron ante el grupo de liquidaciones 103 solicitudes de liquidaciones de contratos y 28 terminaciones anticipadas, para un total de 131 solicitudes de trámite liquidatario, de las cuales se tramitaron en el mes de mayo 89, con un cumplimiento de un 68%.  Las radicaciones pendientes por tramitar se devolvieron a sus ordenadores, por falta de algún soporte y quedarán tramitadas para el siguiente mes. 
Se ha continuado con las siguientes acciones implementadas para el procedimiento de liquidación: para este mes se continúan con las alertas tempranas a los supervisiones e interventorías, en acciones pedagógicas y de orientación, buscando que las solicitudes de trámite de liquidación y terminaciones anticipadas, se radiquen dentro del término legal, con la documentación pertinente legal, completa y que el Informe Final de Supervisión, contenga los aspectos: técnicos, legales y financieros, completos, que permitan establecer los términos definitivos y reales de la liquidación de los contratos y convenios. </t>
  </si>
  <si>
    <t xml:space="preserve">Para Abril los supervisores e interventores, radicaron ante el grupo de liquidaciones  76 solicitudes de liquidaciones de contratos y 33 terminaciones anticipadas, para un total de 131 solicitudes de trámite liquidatario, de las cuales se tramitaron en el mes de abril 109, con un cumplimiento de un 83%.  Las radicaciones pendientes por tramitar se devolvieron a sus ordenadores, por falta de algún soporte y quedarán tramitadas para el siguiente mes. 
Se ha continuado con las siguientes acciones implementadas para el procedimiento de liquidación: para este mes se continúan con las alertas tempranas a los supervisiones e interventorías, en acciones pedagógicas y de orientación, buscando que las solicitudes de trámite de liquidación y terminaciones anticipadas, se radiquen dentro del término legal, con la documentación pertinente legal, completa y que el Informe Final de Supervisión, contenga los aspectos: técnicos, legales y financieros, completos, que permitan establecer los términos definitivos y reales de la liquidación de los contratos y convenios. </t>
  </si>
  <si>
    <t xml:space="preserve">Para marzo los supervisores e interventores, radicaron ante el grupo de liquidaciones  83 solicitudes de liquidaciones de contratos y 8 terminaciones anticipadas, para un total de 91 solicitudes de trámite liquidatario, de las cuales se tramitaron en el mes de marzo 70, con un cumplimiento de un 77%.  Las radicaciones pendientes por tramitar se devolvieron a sus ordenadores, por falta de algún soporte y quedarán tramitadas para el siguiente mes. 
Se ha continuado con las siguientes acciones implementadas para el procedimiento de liquidación: para este mes se continúan con las alertas tempranas a los supervisiones e interventorías, en acciones pedagógicas y de orientación, buscando que las solicitudes de trámite de liquidación y terminaciones anticipadas, se radiquen dentro del término legal, con la documentación pertinente legal, completa y que el Informe Final de Supervisión, contenga los aspectos: técnicos, legales y financieros, completos, que permitan establecer los términos definitivos y reales de la liquidación de los contratos y convenios. </t>
  </si>
  <si>
    <t xml:space="preserve">Para febrero los supervisores e interventores, radicaron ante el grupo de liquidaciones 29 solicitudes de liquidaciones de contratos y 5 terminaciones anticipadas, para un total de 34 solicitudes de trámite liquidatario, de las cuales se tramitaron en el mes de febrero 27, con un cumplimiento de un 79%.
Las radicaciones pendientes por tramitar se devolvieron a sus ordenadores, por falta de algún soporte y quedarán tramitadas para el siguiente mes. 
Se ha continuado con las siguientes acciones implementadas para el procedimiento de liquidación: para este mes se continúan con las alertas tempranas a los supervisiones e interventorías, en acciones pedagógicas y de orientación, buscando que las solicitudes de trámite de liquidación y terminaciones anticipadas, se radiquen dentro del término legal, con la documentación pertinente legal, completa y que el Informe Final de Supervisión, contenga los aspectos: técnicos, legales y financieros, completos, que permitan establecer los términos definitivos y reales de la liquidación de los contratos y convenios. </t>
  </si>
  <si>
    <t xml:space="preserve">Para enero del 2022 los supervisores e interventores, radicaron ante el grupo de liquidaciones 30 solicitudes de liquidaciones de contratos y 8 terminaciones anticipadas, para un total de 38 solicitudes de trámite liquidatario, de las cuales se tramitaron en el mes de enero 30, con un cumplimiento de un 79%.
Las radicaciones pendientes por tramitar se devolvieron a sus ordenadores, por falta de algún soporte y quedarán tramitadas para el siguiente mes. 
Se ha continuado con las siguientes acciones implementadas para el procedimiento de liquidación: para este mes se continúan con las alertas tempranas a los supervisiones e interventorías, en acciones pedagógicas y de orientación, buscando que las solicitudes de trámite de liquidación y terminaciones anticipadas, se radiquen dentro del término legal, con la documentación pertinente legal, completa y que el Informe Final de Supervisión, contenga los aspectos: técnicos, legales y financieros, completos, que permitan establecer los términos definitivos y reales de la liquidación de los contratos y convenios. </t>
  </si>
  <si>
    <t>Durante el año desde la Dirección de Gestión Corporativa - Equipo de Gestión Ambiental, se realizaron y aprobaron un total de 661 intervenciones ambientales, de las 661 intervenciones ambientales programadas en las diferentes unidades operativas y administrativas activas y programadas en la vigencia.
Con lo informado anteriormente, se tiene como resultado el desarrollo de las intervenciones ambientales, las cuales se encuentran distribuidas en la vigencia de la siguiente manera, 64 para el mes de febrero, 120 para el mes de marzo, 136 para el mes de abril, 143 del mes de mayo, 104 del mes de junio, 36 del mes de julio, 48 del mes de agosto y 10 en el mes de septiembre, culminando y dándole cumplimiento al 100% de la actividad planteada y programada para el año 2022, es importante resaltar que esta actividad se cumplió en su totalidad al mes de septiembre y los soportes ya fueron reportados.
Con esto, se logra adelantar procesos masivos de socialización e implementación de estrategias ambientales a nivel institucional que conllevaron al desarrollo y puesta en marcha de buenas prácticas ambientales por parte de los funcionarios, contratistas y participantes de las diferentes unidades operativas y administrativas de la SDIS, obteniendo un mejoramiento de las condiciones ambientales institucionales y de ciudad y reduciendo significativamente los impactos ambientales de la ciudad.
Lo anterior se ve reflejado en:
* La disminución de la generación de residuos peligrosos y no aprovechables
* El aumento en el aprovechamiento de los residuos reciclables
* La consolidación de una cultura en el ahorro eficiente del agua y la energía
* Aumento en la implementación de huertas, jardines verticales entre otras buenas prácticas ambientales que le aportan al mejoramiento climático de la ciudad
* La diminución en la presión al relleno sanitario, la protección del suelo y los cuerpos de agua.</t>
  </si>
  <si>
    <t>Para este mes se continuo con el proceso de consolidación y reporte de los diferentes informes ambientales de conformidad con la información del cumplimento de los lineamientos ambientales, que se obtuvieron  bajo el desarrollo de las intervenciones ambientales en cada unidad operativa y/o administrativa.
Por otra parte, se consolido con el equipo ambiental, acciones para continuara con el proceso de la planificación ambienta a desarrollar en la vigencia 2023.</t>
  </si>
  <si>
    <t>Para este mes se adelantó el proceso de consolidación y reporte de los diferentes informes ambientales de conformidad con la información del cumplimento de los lineamientos ambientales, que se obtuvo bajo el desarrollo de las intervenciones ambientales en cada unidad operativa y/o administrativa. Adicionalmente se comenzó el proceso de planificación de acciones ambientales a desarrollar en la vigencia 2023.</t>
  </si>
  <si>
    <t>18/11/2022
No se generan observaciones o recomendaciones respecto al análisis presentado en el seguimiento al indicador de gestión.</t>
  </si>
  <si>
    <t>Para este mes se adelantó el proceso de análisis de la información del cumplimento de los lineamientos ambientales, que se obtuvo bajo el desarrollo de las intervenciones ambientales en cada unidad operativa y/o administrativa, para la consolidación de los diferentes informes y reportes ambientales de la entidad.</t>
  </si>
  <si>
    <t>Durante el periodo del reporte (III trimestre) desde la Dirección de Gestión Corporativa - Equipo de Gestión Ambiental, se realizaron y aprobaron un total de 94 intervenciones ambientales, alcanzando un total acumulado para los tres trimestres de 661 intervenciones ambientales en unidades operativas y administrativas.
Estas intervenciones fueron programadas y se encuentran distribuidas de la siguiente manera: en el mes de julio 36 intervenciones ambientales, en el mes de agosto 48 intervenciones ambientales y en el mes de septiembre 10 intervenciones ambientales. Para el tercer trimestre se cuenta con un total de 661 unidades operativas activas, a las cuales en su totalidad se les realizó la medición de la implementación de lineamientos ambientales institucionales (intervención ambiental). Con estos resultados se obtiene de manera cuantitativa y porcentual un cumplimiento acumulado para la vigencia del 100%.
Estas intervenciones ambientales, se encuentran territorializadas de la siguiente manera:
Total trimestre: Antonio Nariño 1, Barrios Unidos 3, Bosa 6, Chapinero 1, Ciudad Bolívar 23, Engativá 1, Fontibón 2, Kennedy 14, Los Mártires 2, Puente Aranda 5, Rafael Uribe Uribe 2, San Cristóbal 5, Santa Fe 2, Suba 1, Sumapaz 1, Teusaquillo 1, Usaquén 5, Usme 14, Fuera De Bogotá 5.
Evidencias: se tienen una carpeta para cada mes, en donde se encuentra los 94 pdf, con las actas de intervención ambiental por cada unidad operativa intervenida (matriz de intervención) y la lista de asistencia de intervención. Adicionalmente, se remite matriz con la consolidación de las intervenciones realizadas, con las fechas y matriz con el inventario con la cantidad de unidades operativas activas.</t>
  </si>
  <si>
    <t>El cumplimiento del 100% de las actividades programadas para la construcción de la política de calidad de los servicios sociales, contribuyó al fortalecimiento estratégico de la Secretaría Distrital de Integración Social, toda vez que, la definición y construcción de directrices, lineamientos y procedimientos dirigidos a la calidad de los servicios, garantiza la prestación en condiciones de alta calidad, procesos de autoevaluación, mejora continua, seguimiento e inspección y vigilancia.</t>
  </si>
  <si>
    <t>12/01/2023:
No se generan observaciones respecto al análisis reportado para el seguimiento del indicador y sus respectivas evidencias.
Sin embargo, se recomienda concluir en el corto plazo, la oficialización del Procedimiento de formulación de estándares, con el fin de que las directrices se encuentren completas y así mismo puedan ser socializadas al interior de la Entidad.</t>
  </si>
  <si>
    <t xml:space="preserve">De acuerdo con el cronograma definido para la formulación de la política de calidad, para el segundo semestre se realizó el total de actividades programadas, correspondiente a (4) actividades que aportan a la expedición de la Política de Calidad, las cuales se describen a continuación:
1. Elaboración procedimiento formulación de estándares de calidad: 
2. Elaboración procedimiento de estándares transversales 
3. Expedición de acto administrativo de la  Política de Calidad para los  servicios sociales de la SDIS.
4. Elaboración de lineamientos para la implementación de la política de calidad de los servicios sociales. </t>
  </si>
  <si>
    <t xml:space="preserve">06/12/2022:
No se generan observaciones respecto al análisis reportado para el seguimiento del indicador. </t>
  </si>
  <si>
    <t>De acuerdo con el cronograma definido para la formulación de la Política de calidad de los servicios sociales de la SDIS, durante el mes de noviembre se avanzó en: 
- Ajustes del procedimiento de estándares de calidad, de acuerdo con la revisión realizada por el equipo SG. 
- Oficialización del Procedimiento Diseño, Actualización y aplicación de estándares Técnicos Transversales de calidad, mediante circular No. 038 – 25/11/2022. 
- Elaboración de la circular denominada "Ruta para la formulación e implementación de la Política de calidad de los servicios sociales de la Secretaría Distrital de Integración Social".</t>
  </si>
  <si>
    <t xml:space="preserve">09/11/2022:
No se generan observaciones respecto al análisis reportado para el seguimiento del indicador. </t>
  </si>
  <si>
    <t xml:space="preserve">De acuerdo con el cronograma definido para la  formulación de la Política de calidad de los servicios sociales de la SDIS, durante el mes de octubre se avanzó en: 
- Actualización del  procedimiento "Formulación, autoevaluación y seguimiento de los estándares de calidad", el cual fue radicado mediante az según procedimiento de revisión de documentos establecido en Sistema de Gestión. 
- Elaboración del procedimiento "Diseño y aplicación de estándares técnicos transversales de calidad": durante el mes de octubre con el equipo de inspección y vigilancia se adelantó la elaboración de dicho procedimiento, el cual durante este  mes se radico en az según procedimiento de revisión de documentos establecido en Sistema de Gestión.
- De acuerdo con las disposiciones de la Oficina  Asesora Jurídica se dispone a expedir como acto administrativo una circular que determine las acciones y cronograma de la Política de calidad. </t>
  </si>
  <si>
    <t xml:space="preserve">
</t>
  </si>
  <si>
    <t>Obedeciendo a necesidad de actualización en el indicador  la cual se surtió a partir del mes abril, se reporta la atención  de un total de 749 solicitudes de publicación de contenido en las diferentes secciones de la página web oficial de la entidad, atendidas de manera pertinente en su totalidad; dicha gestión permitió que la comunicación institucional se prestara de manera oportuna, eficaz y eficiente. Siendo así, el cierre de la vigencia arroja un porcentaje de cumplimiento frente al indicador de gestión CE_004 del 100% lo que permitió implementar en este aspecto en su totalidad la estrategia de comunicación de la Secretaría de Integración Social a nivel interno y externo manteniendo informados a los grupos de interés sobre la gestión propia de la entidad.</t>
  </si>
  <si>
    <t>18/01/2023
Por favor verificar en la evidencia se identifica un total de 52 solicitudes recibidas y tramitadas, por lo cual los datos cuantitativos presentados difieren. Se sugiere redactar el análisis mensual de acuerdo con el número de solicitudes según la evidencia.
Se sugiere ajustar el análisis anual mencionando que el indicador empezó a medirse desde el mes de abril de 2022 por lo  tanto el número de solicitudes no coincide con el que se menciona para el total del año.
18/01/2023
No se generan observaciones o sugerencias adicionales para el reporte del periodo.</t>
  </si>
  <si>
    <t xml:space="preserve">Durante el mes de diciembre se recibieron 44 solicitudes de publicación de contenido en la página web por parte de las dependencias  de la entidad, las cuales se gestionaron así: Publicación de actos Administrativos 19 , Publicación interna de la entidad en la pagina web 4, Publicación en el Home de la Entidad 1, Publicación informes 11, Régimen Legal 7 y sección de transparencia 8, lo cual permite evidenciar un cumplimiento en la gestión del 100% mensual. </t>
  </si>
  <si>
    <t>12/12/2022
De acuerdo con la evidencia presentada, de las 62 solicitadas fueron realizadas 51, por favor verificar y ajustar según corresponda.
15/12/2022
No se generan observaciones o sugerencias adicionales para el reporte del periodo.</t>
  </si>
  <si>
    <t xml:space="preserve">Durante el mes de noviembre se recibieron 62 solicitudes de publicación de contenido en la página web por parte de las dependencias  de la entidad, las cuales se gestionaron así: Sección Transparencia 17, Notificaciones Administrativas 28, Informes Total 12, Nombramientos 1 y Actualizaciones Micro sitio 4, lo cual permite evidenciar un cumplimiento en la gestión del 100% mensual. </t>
  </si>
  <si>
    <t>10/11/2022
No se generan observaciones o sugerencias para el reporte del periodo.</t>
  </si>
  <si>
    <t>Durante el  mes de octubre se realizó la publicación de 93 notas  solicitadas por las  dependencias: Dirección de nutrición y abastecimiento, Dirección de Análisis y Diseño Estratégico, Dirección Territorial, Oficina de Control  Interno, Oficina de Asuntos Disciplinarios, Subd. de Gestión y desarrollo de talento Humano, Subdirección Administrativa y Financiera, Sub. de Contratación, Sub. de Discapacidad, Subd. de Infancia, Subd. Local de Ciudad Bolívar, Subd. Local  de Kennedy, Subd. Local de Usme/Sumapaz y Subsecretaría.  de las  cuales el 100% de  estas fueron atendidas en los  tiempos estimados.</t>
  </si>
  <si>
    <t>La actividad de monitoreo permite a la Secretaría contar con sistemas de información robustos y sólidos que generan datos e información con calidad y pertinencia para la toma de decisiones oportunas frente a los medios masivos de comunicación en los que se mencionaron los servicios de la Secretaría Distrital de Integración Social. 
Para la vigencia 2022 la Oficina Asesora de Comunicaciones realizó el monitoreo anual de  noticias de  comunicación externa identificando así la orientación positiva, neutra y negativa de las noticias o información publicada sobre la gestión de la entidad con un resultado de 877 menciones realizadas arrojando  este ejercicio un  cumplimiento del  86% de noticias positivas y neutras, logrando así un cumplimiento del 87% respecto  a la meta formulada (98%). Es pertinente considerar que un alto porcentaje la información que emitieron los medios de comunicación durante la coyuntura del segundo y tercer trimestre fue de carácter negativo por la crisis en la prestación de los  servicios sociales y esto afectando la meta propuesta, lo cual no es responsabilidad del monitoreo mismo.</t>
  </si>
  <si>
    <t>18/01/2023
Por favor ajustar el análisis anual, toda vez que el resultado para la vigencia está por debajo de la meta esperada; se debe justificar el no cumplimiento de la meta o mencionar las situaciones que conllevaron a dicho resultado.
18/01/2023
No se generan observaciones o sugerencias adicionales para el reporte del periodo.</t>
  </si>
  <si>
    <t xml:space="preserve">Respecto al monitoreo de medios para el trimestre comprendido entre octubre a diciembre, se realizó  el seguimiento a 209 noticias respectivamente así: para el mes de octubre  se presentaron 80 noticias, de la cuales fueron 45 positivas, 30 neutras y 5 negativas, durante el mes de noviembre el comportamiento de las menciones  fue, 35 noticias positivas, 33 neutras y 0 negativas y, finalmente para el mes de  diciembre se monitorearon 61 noticias de las cuales 40 fueron menciones positivas, 18 neutras frente  a tan solo 3 negativas, el resultado de  este seguimiento se remitió mediante correo electrónico  al cuerpo directivo de la entidad cada mes con el fin de aportar insumos para la toma de decisiones al interior de sus equipos en función  de la mejora continua en la prestación de los servicios de la entidad.
Porcentualmente se puede denotar que para el mes de octubre el 94% fueron notas positivas y neutras frente a un 6% negativas , para noviembre el 100% fueron notas positivas y neutras y finalmente el mes de diciembre la tendencia positiva y neutra es de un 96% a tan solo el 4% en menciones negativas.
</t>
  </si>
  <si>
    <t>12/12/2022
No se generan observaciones o sugerencias para el reporte del periodo.</t>
  </si>
  <si>
    <t xml:space="preserve">Dando cumplimiento a las actividades de la Política y Plan de comunicaciones de Comunicaciones, se remitió mediante correo electrónico el archivo adjunto del monitoreo de medios correspondiente al mes de noviembre 2022.  
Del mismo modo se le informó a los directivos de la entidad que de acuerdo al seguimiento se logró un alcance de 35 noticias positivas y 33 neutras frente a cero negativas. Los temas relevantes fueron el abastecimiento de pollo en los jardines Infantiles y la campaña "nos cuidamos en familia", atención oportuna en la Calera en la ola invernal, inscripción del programa  2 Parcero por Bogotá";  es importante acotar que, frente a las menciones negativas, siempre se tuvo una respuesta de la entidad, la cual fue replicada por los medios de comunicación como aclaración a las situaciones expuestas  y publicadas en medios de comunicación como El Tiempo, El Espectador, El Colombiano, Caracol TV, RCN TV, entre otros. 
</t>
  </si>
  <si>
    <t xml:space="preserve">Con el objetivo de que el cuerpo directivo  cuente con datos cualitativos y cuantitativos de las menciones en medios de comunicación  (radio, televisión, internet y prensa) sobre los servicios prestados por la entidad, el 08 de noviembre se remite  el informe de monitoreo de medios  correspondiente  al mes de octubre, dicho documento  especifica que para este periodo la entidad fue mencionada en 80 noticias, de las cuales 45 son positivas y 30 Neutras frente a 5 negativas. </t>
  </si>
  <si>
    <t xml:space="preserve">
Mediante la aplicación mensual de la encuesta a los clientes internos  de la entidad sobre los productos y servicios de la Oficina Asesora de Comunicaciones-OAC, se obtuvieron datos cuantitativos y cualitativos frente a la percepción  de la gestión  de la oficina que permitieron tomar decisiones al interior de la dependencia con el fin de mejorar la fluidez, oportunidad y eficiencia de la información  de interés de los colaboradores  que hacen parte de la Secretaría Distrital de Integración Social. Como evidencia de ello, en la actualidad se cuenta con el boletín interno  que fue lanzado en el mes de julio como respuesta a los resultados obtenidos de la tabulación y análisis de las encuestas aplicadas durante el primer semestre de esta anualidad.  
Del mismo modo, es importante acotar que esta buena práctica de medición voluntaria por parte de funcionarios y contratistas de la entidad permitió que en el segundo  semestre  se obtuviera una alta respuesta   como resultado  del conocimiento de la gestión de la dependencia independientemente de si fueron elevados requerimientos de productos y/o servicios.  
Sin embargo, ya que en la actualidad la encuesta permite que los colaboradores que no han realizado solicitud de algún producto, puedan responder la herramienta de medición, los resultados tienen un nivel de variación alto lo que generó que el resultado para la vigencia 2022 se presentara por debajo de la meta establecida. En consecuencia, la OAC realizará la reformulación de la encuesta para garantizar el cumplimiento del 100% de la meta propuesta para el año 2023.</t>
  </si>
  <si>
    <t>18/01/2023
Por favor ajustar el reporte cuantitativo ya que el indicador hace referencia al No. de clientes internos satisfechos en el periodo, el cual según la evidencia corresponde al 82%, es decir 209 personas.
Con base en lo anterior, debe ajustarse el análisis anual, toda vez que el resultado para la vigencia estaría por debajo de la meta esperada; se debe justificar el no cumplimiento de la meta o mencionar las situaciones que conllevaron a dicho resultado.
18/01/2023
No se generan observaciones o sugerencias adicionales para el reporte del periodo.</t>
  </si>
  <si>
    <t xml:space="preserve">De acuerdo con  los resultados obtenidos  de la aplicación de la encuesta  que busca medir el nivel  de satisfacción frente a los servicios  prestados por la Oficina Asesora de Comunicaciones para el mes de diciembre se realiza la tabulación y análisis  de datos arrojados durante  el segundo semestre. 
Los datos obtenidos y la misma metodología aplicada  para el primer semestre se empleó para el periodo de julio a diciembre de 2022 con un total 255 respuestas recibidas  arrojando como evaluación del análisis de esta herramienta  que : 
Se presenta una baja en el número de respuestas emitidas para el corte del mes de diciembre, por tanto, la Oficina  Asesora de Comunicaciones con el compromiso de ampliación en la aplicación de esta herramienta de medición para el año 2023 reevaluará la cantidad  de preguntas con el fin de recoger  de manera efectiva la percepción de los colaboradores de la entidad  que demandan los servicios de la dependencia.
 Como quiera que el 82% de los encuestados calificaron como satisfactorios los servicios prestados por la dependencia, se puede determinar que, aunque no todos los encuestados han realizado solicitudes de servicios ante la OAC, sí conocen la existencia de la dependencia y los servicios que esta presta.
Finalmente se vislumbra que el servicio prestado por la oficina Asesora de Comunicaciones ha sido oportuno, claro y eficiente. 
</t>
  </si>
  <si>
    <t xml:space="preserve">En el periodo de Noviembre se remitió la encuesta de medición a la satisfacción  de los servicios prestados por la Oficina  Asesora de Comunicaciones, esta actividad se llevó a cabo mediante el Boletín interno (Noviembre 9,16 y 23) y vía Teams (Noviembre 11y 17)  </t>
  </si>
  <si>
    <t>Durante el mes de octubre la oficina Asesora de Comunicaciones remitió  la  encuesta  para su respectivo   diligenciamiento por parte de los colaboradores  de la entidad, mediante Teams (05 octubre),  Yammer (07 de octubre) y Mailing (13 octubre);  con el fin de obtener insumos  cuantificables  para la toma de decisiones, mejora o permanencia de la calidad  de los servicios prestados  por la dependencia.</t>
  </si>
  <si>
    <t>Clientes internos satisfechos con la atención de la Oficina Asesora de Comunicaciones</t>
  </si>
  <si>
    <t>El seguimiento mensual al indicador, permitió controlar el cumplimiento de las actividades de relación con entes externos de control para la vigencia 2022. 
Durante el 2022 se dio cumplimiento al 100% de las actividades solicitadas de relación con entes externos de control.</t>
  </si>
  <si>
    <t>14/01/2023. No se generan observaciones o recomendaciones respecto al análisis y evidencias presentados en el seguimiento al indicador de gestión.</t>
  </si>
  <si>
    <t>Durante el mes de diciembre se realizó: 
* Veinte (20) apoyos a coordinación de respuestas, verificaciones, alertas  y articulaciones para  la entrega de la respuestas a solicitudes de la Contraloría de Bogotá.
Es importante resaltar que durante este periodo la OCI, apoyó en la verificación  de las respuestas a las observaciones presentadas en el Informe Preliminar de auditoría de Desempeño  Código 89, en términos de oportunidad, integralidad y pertinencia. Así mismo, de acuerdo con lo asignado realizó la verificación de las respuestas a las preguntas de los cuestionarios de información general y de políticas públicas lideradas por la SDIS (un total de 320 preguntas), lo cual fue presentado en el marco de la Auditoría a ODS1 realizada por la Contraloría de Bogotá, y desde la OCI se realizó el cargue de las mismas en el aplicativo dispuesto por el ente de control. 
* Se emitió una (1) alerta temprana para el seguimiento y presentación oportuna de la información de la cuenta fiscal a cargo de la Entidad, a través del sistema dispuesto por la Contraloría de Bogotá D.C. (SIVICOF). 
* Se emitió una (1) alerta en relación con los términos comunicados por la Contraloría de Bogotá D.C. mediante los oficios No. 2-2022-25764 de 01/12/2022 y No. 2-2022-26111 de 06/12/2022, para el cargue de información en el marco de pruebas piloto para la implementación de la Resolución Reglamentaria No. 026 de 2022.
* Se brindó una (1) asesoría para la formulación del plan de mejoramiento en atención al informe final de la Auditoría de Desempeño Código 89 PAD 2022 de la Contraloría de Bogotá D.C., lo cual incluyó la socialización de lineamientos y cronograma para el diligenciamiento y del Formato S3CB-0402F, así como el seguimiento al trámite de trasmisión del  plan de mejoramiento a través de SIVICOF (cuenta ocasional).
Lo anterior dando cumplimiento con las actividades solicitadas de relación con entes externos de control del Plan Anual de Auditoría
Para el trimestre (octubre, noviembre y diciembre) se ejecutaron en total ciento tres (103) actividades cumpliendo al 100% con lo solicitado.</t>
  </si>
  <si>
    <t>13/12/2022. No se generan observaciones o recomendaciones respecto al análisis presentado en el seguimiento al indicador de gestión</t>
  </si>
  <si>
    <t>Durante el mes de noviembre se realizó: 
*Cuarenta y dos (42) apoyos a coordinación de respuestas, verificaciones, alertas  y articulaciones para  la entrega de la respuestas a solicitudes de la Contraloría de Bogotá.
Es importante resaltar que durante este periodo la OCI, apoyó en la coordinación  de la respuesta al Informe Preliminar de auditoría de Desempeño  Código 89.
*Se emitió una (1) alerta temprana para el seguimiento y presentación oportuna de la información de la cuenta fiscal a cargo de la Entidad, a través del sistema dispuesto por la Contraloría de Bogotá D.C. (SIVICOF). 
* Se emitió una (1) alerta en relación con la asignación de responsabilidades frente a la rendición de la cuenta, en el marco del análisis adelantado por la administración previo al trámite de modificación de la Resolución Nº. 0099 de enero 22 de 2021, 
“Por la cual se prescriben los métodos y se establece la forma, términos, responsables, y procedimientos para la presentación de informes de la Rendición de las Cuentas de la Secretaría Distrital de Integración Social a la Contraloría de Bogotá D.C., mediante el aplicativo SIVICOF y se dictan otras disposiciones”.
Lo anterior dando cumplimiento con las actividades solicitadas de relación con entes externos de control del Plan Anual de Auditoría.</t>
  </si>
  <si>
    <t>Durante el mes de octubre se realizó: 
*Treinta y tres (33) apoyos a coordinación de respuestas, verificaciones, alertas  y articulaciones para  la entrega de la respuestas a solicitudes de la Contraloría de Bogotá.
*Se emitió una (1) alerta temprana para el seguimiento y presentación oportuna de la información de la cuenta fiscal a cargo de la Entidad, a través del sistema dispuesto por la Contraloría de Bogotá D.C. (SIVICOF). 
*Se realizó un (1) seguimiento al registro y cargue de las modificaciones de acciones de mejora suscritas ante la Contraloría de Bogotá D.C.
*Se brindó una (1) asesoría para la formulación del plan de mejoramiento en atención al informe final de la Auditoría de Desempeño Código 215 PAD 2022 de la Contraloría de Bogotá D.C., lo cual incluyó la socialización de lineamientos y cronograma para el diligenciamiento y del Formato CB-0402F, así como el seguimiento al trámite de trasmisión del  plan de mejoramiento a través de SIVICOF (cuenta ocasional).
Lo anterior dando cumplimiento con las actividades solicitadas de relación con entes externos de control del Plan Anual de Auditoría.</t>
  </si>
  <si>
    <t>El seguimiento mensual al indicador, permitió controlar el cumplimiento de las actividades de Evaluación independiente del Plan Anual de Auditoría para la vigencia 2022. 
Durante el 2022 se dio cumplimiento al 100% de las actividades programadas de Evaluación independiente del Plan Anual de Auditoría.</t>
  </si>
  <si>
    <r>
      <t xml:space="preserve">Para el mes de diciembre las actividades programadas y finalizadas fueron: </t>
    </r>
    <r>
      <rPr>
        <sz val="9"/>
        <color rgb="FFFF0000"/>
        <rFont val="Arial"/>
        <family val="2"/>
      </rPr>
      <t xml:space="preserve">
</t>
    </r>
    <r>
      <rPr>
        <sz val="9"/>
        <rFont val="Arial"/>
        <family val="2"/>
      </rPr>
      <t>*Una (1) publicación del Seguimiento al plan de mejoramiento Interno 
*Una (1) publicación del Seguimiento al Plan de Mejoramiento Externo.</t>
    </r>
    <r>
      <rPr>
        <sz val="9"/>
        <color rgb="FFFF0000"/>
        <rFont val="Arial"/>
        <family val="2"/>
      </rPr>
      <t xml:space="preserve"> 
</t>
    </r>
    <r>
      <rPr>
        <sz val="9"/>
        <rFont val="Arial"/>
        <family val="2"/>
      </rPr>
      <t>*Un (1) Informe de auditoría interna
*Cuatro (4) Informes de seguimiento
Para el trimestre (octubre, noviembre y diciembre) se realizó: 
*Tres (3) publicación del Seguimiento al plan de mejoramiento Interno 
*Tres (3) publicación del Seguimiento al Plan de Mejoramiento Externo. 
*Tres (3) Informes de auditoría interna
*Siete (7) Informes de seguimiento 
Lo anterior, dando cumplimiento al 100% de las actividades programadas de Evaluación independiente del Plan Anual de Auditoría.</t>
    </r>
  </si>
  <si>
    <r>
      <t xml:space="preserve">Para el mes de noviembre las actividades programadas y finalizadas fueron: </t>
    </r>
    <r>
      <rPr>
        <sz val="9"/>
        <color rgb="FFFF0000"/>
        <rFont val="Arial"/>
        <family val="2"/>
      </rPr>
      <t xml:space="preserve">
</t>
    </r>
    <r>
      <rPr>
        <sz val="9"/>
        <rFont val="Arial"/>
        <family val="2"/>
      </rPr>
      <t>*Una (1) publicación del Seguimiento al plan de mejoramiento Interno 
*Una (1) publicación del Seguimiento al Plan de Mejoramiento Externo.</t>
    </r>
    <r>
      <rPr>
        <sz val="9"/>
        <color rgb="FFFF0000"/>
        <rFont val="Arial"/>
        <family val="2"/>
      </rPr>
      <t xml:space="preserve"> 
</t>
    </r>
    <r>
      <rPr>
        <sz val="9"/>
        <rFont val="Arial"/>
        <family val="2"/>
      </rPr>
      <t>*Un (1) Informe de auditoría interna</t>
    </r>
    <r>
      <rPr>
        <sz val="9"/>
        <color rgb="FFFF0000"/>
        <rFont val="Arial"/>
        <family val="2"/>
      </rPr>
      <t xml:space="preserve">
</t>
    </r>
    <r>
      <rPr>
        <sz val="9"/>
        <rFont val="Arial"/>
        <family val="2"/>
      </rPr>
      <t>Lo anterior dando cumplimiento con  las actividades programadas de Evaluación independiente del Plan Anual de Auditoría.</t>
    </r>
  </si>
  <si>
    <t>Para el mes de octubre las actividades programadas y finalizadas fueron: 
*Una (1) publicación del Seguimiento al plan de mejoramiento Interno 
*Una (1) publicación del Seguimiento al Plan de Mejoramiento Externo. 
*Un (1) Informe de auditoría interna
*Tres (3) Informes de seguimiento 
Lo anterior dando cumplimiento con  las actividades programadas de Evaluación independiente del Plan Anual de Auditoría.</t>
  </si>
  <si>
    <t>El seguimiento mensual al indicador, permitió controlar el cumplimiento de las actividades de Evaluación de la gestión del Riesgo en el Plan Anual de Auditoría
para la vigencia 2022. 
Durante el 2022 se dio cumplimiento al 100% de las actividades programadas de  Evaluación de la gestión del Riesgo en el Plan Anual de Auditoría.</t>
  </si>
  <si>
    <t>Para el mes de diciembre no se tenían actividades programadas de Evaluación de la gestión del Riesgo en el Plan Anual de Auditoría.
Para el semestre (julio a diciembre) se realizó una (1) actividad, cumpliendo al 100% con las actividades programadas de Evaluación de la gestión del Riesgo en el Plan Anual de Auditoría.</t>
  </si>
  <si>
    <t>Para el mes de noviembre no se tenían actividades programadas de Evaluación de la gestión del Riesgo en el Plan Anual de Auditoría</t>
  </si>
  <si>
    <t>Para el mes de octubre no se tenían actividades programadas de Evaluación de la gestión del Riesgo en el Plan Anual de Auditoría</t>
  </si>
  <si>
    <t xml:space="preserve">Para el mes de septiembre se realizó la jornada de sensibilización en administración de riesgos, cumpliendo con la actividad  programada de Evaluación de la gestión del Riesgo en el Plan Anual de Auditoría.
Teniendo en cuenta que, la periodicidad de la medición del indicador es semestral se precisa que, para el trimestre (julio, agosto, septiembre) se realizó una (1) actividad, cumpliendo al 100% con las actividades programadas de Evaluación de la gestión del Riesgo en el Plan Anual de Auditoría.
</t>
  </si>
  <si>
    <t>El seguimiento mensual al indicador, permitió controlar el cumplimiento de las actividades de Enfoque hacia la prevención en el Plan Anual de Auditoría para la vigencia 2022. 
Durante el 2022 se dio cumplimiento al 100% de las actividades programadas o solicitadas de Enfoque hacia la prevención en el Plan Anual de Auditoría.</t>
  </si>
  <si>
    <r>
      <t>Para el mes de diciembre se acompaño a una (1) audiencia contractual, cumpliendo con las actividad programadas o solicitadas de Enfoque hacia la prevención del Plan Anual de Auditoría.</t>
    </r>
    <r>
      <rPr>
        <sz val="9"/>
        <color rgb="FFFF0000"/>
        <rFont val="Arial"/>
        <family val="2"/>
      </rPr>
      <t xml:space="preserve">
</t>
    </r>
    <r>
      <rPr>
        <sz val="9"/>
        <rFont val="Arial"/>
        <family val="2"/>
      </rPr>
      <t xml:space="preserve">
Para el trimestre (octubre, noviembre y diciembre):
*Se acompaño a cuatro (4) audiencias contractuales
Cumpliendo al 100% con las actividades programadas o solicitadas de Enfoque hacia la prevención del Plan Anual de Auditoría.</t>
    </r>
  </si>
  <si>
    <t>Para el mes de noviembre no se tenían actividades programadas o solicitadas(*) de Enfoque hacia la prevención en el Plan Anual de Auditoría
(*)Corresponde a las solicitudes de acompañamiento a las audiencias contractuales.</t>
  </si>
  <si>
    <t>Para el mes de octubre se acompaño a tres (3) audiencias contractuales, cumpliendo con las actividad programadas o solicitadas de Enfoque hacia la prevención del Plan Anual de Auditoría.</t>
  </si>
  <si>
    <t>El seguimiento mensual al indicador, permitió controlar el cumplimiento de las actividades de liderazgo estratégico del Plan Anual de Auditoría para la vigencia 2022. 
Durante el 2022 se dio cumplimiento al 100% de las actividades programadas de liderazgo estratégico en el Plan Anual de Auditoría.</t>
  </si>
  <si>
    <t>14/01/2023. No se generan observaciones o recomendaciones respecto al análisis y evidencia presentados en el seguimiento al indicador de gestión.</t>
  </si>
  <si>
    <t>Para el mes de diciembre no se tenían actividades programadas de liderazgo estratégico en el Plan Anual de Auditoría.
Para el trimestre (octubre, noviembre y diciembre) se ejecutó una (1) actividad, cumpliendo con el 100% de las 3 actividades programadas de liderazgo estratégico en el  Plan Anual de Auditoría.</t>
  </si>
  <si>
    <t xml:space="preserve">Para el mes de noviembre no se tenían actividades programadas de liderazgo estratégico en el Plan Anual de Auditoría.
</t>
  </si>
  <si>
    <t>Para el mes de octubre se realizó una (1) sesión ordinaria del Comité Institucional de Coordinación del Sistema de Control Interno, cumpliendo con la actividad programada de liderazgo estratégico del Plan Anual de Auditoría.</t>
  </si>
  <si>
    <t>7/07/2022: Se recomienda revisar el resultado de junio, debido a que la tendencia anual del indicador es creciente y solamente el 100% se daría cuando en indicador cumpla el año de análisis.
También se recomienda tener en cuenta el plan anual de auditoría, debido a que es una de las evidencias y no se encontró.
11/07/2022. No se generan más observaciones o recomendaciones respecto al análisis presentado en el seguimiento al indicador de gestión.</t>
  </si>
  <si>
    <t>En relación con el cumplimiento del indicador relacionado con las respuestas a las solicitudes para los conceptos a los Proyectos de Acuerdo presentados por el Concejo de Bogotá, y los Proyectos de Ley por el Congreso de la República, es preciso señalar que durante el segundo y cuarto trimestre se presentan los porcentajes de cumplimiento más altos, contrario al primer y tercer trimestre. De lo anterior, se concretan las siguientes conclusiones que dieron origen a un cumplimiento del 49% durante la vigencia 2022, así: 
i) Para los trimestres donde se dio el cumplimiento más bajo, se precisa el alto volumen de solicitud de conceptos que llegaron a la Entidad, lo cual involucra varias área para su construcción armónica y la coordinación entre la Oficina Jurídica, la Dirección de Análisis y Diseño Estratégico, así como la  dependencia responsable del concepto técnico según el tema. Además, del envío oportuno al el Equipo de Direccionamiento Político para su correspondiente consolidación, revisión y envío al Despacho, lo cual dificultaba el cumplimiento del plazo señalado, puesto que en todos los casos se debe abordar un estudio profundo de cada proyecto, obtención, procesamiento, análisis de información, así como valoración de la pertinencia, conveniencia, impacto fiscal, administrativo, operativo y jurídico sobre la misionalidad de la SDIS, conllevando que en algunas ocasiones se excediera el tiempo otorgando a la Entidad para la respuesta, no obstante, todas las respuestas fueron enviadas de forma previa a las sesiones donde se debatía en la respectiva corporación. 
ii) Otro de los retos que se presentaron durante el tercer trimestre, fue  el volumen de solicitudes que se recibieron, en un mismo día, como se indica en el reporte del mes de octubre, donde se radicaron para el mismo día quince (15) Proyectos de Ley, que requerían de una coordinación interna entre varias dependencias de la Secretaría, así como de la lectura de articulados extensos y complejos, y que a su vez y para dar cumplimiento a los términos, debían dejarse enviados el mismo día, es decir, se destaca que el término para este tipo de trámites resulta insuficiente para la complejidad del mismo, sumado a los otros tipos de requerimientos que se recibían diariamente en la Entidad. 
Adicionalmente, es preciso señalar que si bien el porcentaje del indicador para la vigencia 2022, quedó en el margen deficiente, es importante tener en cuenta que ninguno de los conceptos para los Proyectos de Acuerdo que fueron solicitados, fueron debatidos. Por el contrario, varios de los que habían sido radicados en las sesiones ordinarias del Concejo de Bogotá fueron archivados en su momento, lo cual se constituye en un importante resultado para la Entidad en términos de la calidad de las respuestas. Por lo anterior, se precisa que la oportunidad fue cabalmente cumplida en términos de su radicación previa al debate en el Concejo de Bogotá. 
No obstante lo anterior, como acciones de mejora ante los retos presentados, durante el segundo semestre se avanzó en mesas de trabajo con las dependencias responsables de emitir los insumos, con el objetivo de articular previamente una sola línea como Entidad, para evitar reprocesos y devoluciones al momento de realizar la revisión y consolidación de los conceptos técnicos, jurídicos y financieros. Así mismo, se realizó una reunión con el equipo técnico para evaluar el término que debía tenerse en cuenta al momento de reportar el cumplimiento del indicador. Lo anterior, teniendo en cuenta que los ocho (8) días que contempla el Decreto Distrital 438 de 2019 no son preclusivos, y tienen como objetivo establecer el procedimiento para las relaciones político-normativas del Concejo de Bogotá. Por lo anterior, se tiene previsto que para la vigencia 2023, el indicador se valore teniendo en cuenta  que los conceptos solicitados a la Secretaría Distrital de Integración Social, sean enviados en oportunidad, en el entendido que estos se profieran antes del respectivo debate que se adelanta antes los Entes de Control Político.</t>
  </si>
  <si>
    <t>13/01/2023. Se debe presentar el "análisis anual" del indicador (columna CC), en el cual se debe describir brevemente el desempeño del indicador durante el año, presentando conclusiones sobre el resultado obtenido (columna CJ), las dificultades para lograr el cumplimiento de la meta y las medidas a tomar en la vigencia 2023 para mejorar el resultado del 49% obtenido para la vigencia 2022 (deficiente).
18/01/2023. No se generan observaciones adicionales respecto al análisis y evidencias presentadas en el seguimiento al indicador de gestión.</t>
  </si>
  <si>
    <t>El indicador para el cuarto trimestre de 2022 presenta un cumplimiento del 100%, el cual corresponde a 6 respuestas de conceptos a proyectos de acuerdos  entregados dentro de los términos legales, de un total de 6 solicitudes cuyos tiempos de respuesta vencían en el período. De esta forma se resalta un resultado favorable a partir de la implementación de la estrategia liderada por el equipo de control político, que permitió mejorar el comportamiento de periodos anteriores y cumplir a cabalidad con la calidad y oportunidad en la emisión de las respuestas a los proyectos de acuerdo que recibió la Entidad por parte del Honorable Concejo de Bogotá.</t>
  </si>
  <si>
    <t xml:space="preserve">09/12/2022:
No se generan observaciones respecto al análisis reportado para el seguimiento del indicador. </t>
  </si>
  <si>
    <t>Durante el mes de noviembre, se realizó el direccionamiento, la revisión y consolidación de las solicitudes de concepto a los Proyectos de Acuerdo, de conformidad con el procedimiento establecido en el Equipo de Direccionamiento Político.
Así mismo, y en aras de mejorar con el cumplimiento de los términos establecidos en el procedimiento, se emitieron las respectivas alertas a los referentes de las áreas, para que remitieran los insumos dentro de los tiempos establecidos. De igual manera, y en los casos donde se consideró necesario, se adelantaron reuniones en las áreas, para definir la línea del concepto previamente y disminuir reprocesos al momento de consolidar el concepto final.
Adicionalmente, se realizó revisión y depuración de 3 de los Proyectos de Acuerdo de las sesiones ordinarias de noviembre que fueron archivados, sin embargo, de conformidad con lo establecido en el parágrafo del artículo 79 del Acuerdo 741-2019 pueden ser desarchivados con un nuevo número, en este caso se solicitarán nuevamente comentarios, que se atenderán en los términos establecidos.</t>
  </si>
  <si>
    <t xml:space="preserve">Durante el mes de octubre, se realizó el direccionamiento, la revisión y consolidación de las solicitudes de concepto a los Proyectos de Acuerdo, de conformidad con el procedimiento establecido en el Equipo de Direccionamiento Político. 
Así mismo, y en aras de mejorar con el cumplimiento de los términos establecidos en el procedimiento, se emitieron las respectivas alertas a los referentes de las áreas, para que remitieran los insumos dentro de los tiempos establecidos. Por último y en los casos donde se consideró necesario, se adelantaron reuniones entre las áreas, para definir la línea del concepto previamente y disminuir los reprocesos al momento de consolidar el concepto final.
</t>
  </si>
  <si>
    <t xml:space="preserve">Cumplimiento por parte de las dependencias, de la remisión de los insumos para la consolidación y respuesta final de la solicitud de conceptos a proyectos y acuerdos de ley, dentro de los tiempos establecidos </t>
  </si>
  <si>
    <t>En relación con el cumplimiento del indicador relacionado con los derechos de petición del Concejo de Bogotá y del Congreso de la República, así como las proposiciones y solicitudes de las Mesas de Trabajo durante la vigencia 2022, se precisa que se obtuvo un cumplimiento del 98% del indicador. Lo anterior obedece en primer lugar a la coordinación interna entre el Equipo de Control Político, a través del cual se lograron consolidar estrategias durante el año, como: i) establecer dos cortes durante el día para revisar el reparto allegado a la Entidad. Uno se realizaba en horas de la mañana y otro en horas de la tarde, con el objetivo de que la persona responsable se encargará de revisarlo y ese mismo día, o a más tardar al día siguiente se remitiera a las áreas responsables de emitir los insumos. ii) definir un método para conocer el estado diario de los requerimientos, los vencimientos del día, la entrega de insumos, las solicitudes de ajustes, así como las prórrogas. iii) La consolidación de la base de datos como una herramienta clave para la organización de los requerimientos allegados a la Entidad, la sistematización de las peticiones por Concejal, tema y Partido Político. Lo anterior, en aras de facilitar la consistencia en las respuestas, así como los reportes para los informes solicitados por la Subsecretaría. iv). Las reuniones de retroalimentación con las áreas, donde se socializaron los indicadores de cumplimiento del primer semestre de cada dependencia, así como unas pautas y recomendaciones al momento de remitir los insumos, para evitar devoluciones.
Entre los retos presentados durante la vigencia, es preciso señalar que las principales dificultades se presentaron con el cumplimiento de los términos por parte de las áreas para remitir los insumos solicitados, así como los reprocesos que se daban con las respuestas brindadas, lo cual ocasionaba que el documento se tuviera que devolver varias veces cuando la información no se encontraba estructurada, o no se estaba respondiendo de fondo a la pregunta, o los anexos se encontraban incompletos.</t>
  </si>
  <si>
    <t>13/01/2023. Se debe presentar el "análisis anual" del indicador (columna CC), en el cual se debe describir brevemente el desempeño del indicador durante el año, presentando conclusiones sobre el resultado obtenido, los factores de éxito, dificultades y aspectos que justifiquen el resultado. Tener en cuenta el resultado del 98% obtenido para la vigencia (sobresaliente).
18/01/2023. No se generan observaciones adicionales respecto al análisis y evidencias presentadas en el seguimiento al indicador de gestión.</t>
  </si>
  <si>
    <t>Para el mes de diciembre el indicador presenta un resultado relevante del 97% correspondiente a 57 respuestas a requerimientos y proposiciones entregados dentro de los términos legales, de un total de 59 requerimientos y proposiciones cuyos tiempos de respuesta vencían en el período. Se destaca el buen comportamiento del indicador durante toda la vigencia, dada la alta complejidad que implica el proceso de análisis de las peticiones de control político, la obtención, análisis, consolidación de información y emisión de las respuestas dentro de términos muy cortos (en promedio 3 días hábiles), por lo que las estrategias implementadas por el equipo de control político han permitido entregar respuestas a los requerimientos con calidad y oportunidad.
De igual manera, se continúan fortaleciendo los procesos de articulación con las demás dependencias de la Secretaría Distrital de Integración Social, en aras de minimizar los reprocesos en las solicitudes de insumos, y que los mismos permitan dar una respuesta efectiva y con calidad.</t>
  </si>
  <si>
    <t xml:space="preserve">09/12/2022:
No se generan observaciones respecto al análisis y evidencias reportados para el seguimiento del indicador. </t>
  </si>
  <si>
    <t>Para el mes de noviembre el indicador presenta un resultado del 98%, el cual corresponde a 85 respuestas a requerimientos y proposiciones entregados dentro de los términos legales, de un total de 87 requerimientos y proposiciones cuyos tiempos de respuesta vencían en el período. Se continúa fortaleciendo las estrategias que permiten entregar respuestas a los requerimientos con calidad y oportunidad.</t>
  </si>
  <si>
    <t xml:space="preserve">Para el mes de octubre el indicador presenta un resultado del 100%, el cual corresponde a 69 respuestas a requerimientos y proposiciones entregados dentro de los términos legales, de un total de 69 requerimientos y proposiciones cuyos tiempos de respuesta vencían en el período. Se continúa fortaleciendo las estrategias que permiten entregar respuestas a los requerimientos con calidad y oportunidad.
De igual manera, se continúan fortaleciendo los procesos de articulación con las demás dependencias de la Secretaría Distrital de Integración Social, en aras de minimizar los reprocesos en las solicitudes de insumos, y que los mismos permitan dar una respuesta efectiva y con calidad.
</t>
  </si>
  <si>
    <t xml:space="preserve">Cumplimiento por parte de las dependencias, de la remisión de los insumos para la consolidación y respuesta final del requerimiento, dentro de los tiempos establecidos </t>
  </si>
  <si>
    <t>En la vigencia 2022 se realizó seguimiento al cumplimiento del criterio de coherencia en las respuestas a peticiones ciudadanas emitidas por la entidad. Del total de peticiones con respuesta definitiva, se tomó una muestra aleatoria para analizar el cumplimiento de criterios de calidad (coherencia, claridad y calidez); en este sentido, para el indicador se logró el 97%, referente a la calidad de las respuestas emitidas por la entidad, porcentaje que al no estar al 100%, el equipo SIAC viene generando estrategias a nivel interno que se espera aumenten el porcentaje actual. Las mismas se relacionan a continuación:
• Socialización vía mailing/boletín semanal informativo al talento humano de la entidad de pieza comunicativa relacionada con el criterio de coherencia, recordando los tips para dar respuesta a las solicitudes ciudadanas.                                                                                                                  
•Se emite memorando interno informando a las áreas sobre el incumplimiento a los criterios evaluados en el análisis realizado, así mismo  se comparte a las dependencias alternativas de mejora (tips de lenguaje claro, claves para la redacción, entre otros) para cumplir con los criterios de calidad.</t>
  </si>
  <si>
    <t xml:space="preserve">10/01/2023. Se debe presentar el "análisis anual" del indicador (columna CC), en el cual se debe describir brevemente el desempeño del indicador durante el año, presentando conclusiones sobre el resultado obtenido, los factores de éxito, dificultades y aspectos que justifiquen el resultado.
13/01/2023:
No se generan observaciones adicionales respecto al análisis y evidencias presentadas para el seguimiento del indicador. </t>
  </si>
  <si>
    <t xml:space="preserve">En el cuarto trimestre de la vigencia 2022, el indicador alcanzó un 100% respecto a la meta programada. El equipo del Servicio Integral de Atención a la Ciudadanía -SIAC, realizó seguimiento al cumplimiento del criterio de coherencia a las respuestas a peticiones ciudadanas emitidas por la entidad, de un universo tomado a partir de las bases reportadas mensualmente para un total de seis mil ciento setenta y dos (6.172) peticiones con respuesta definitiva, se tomó una muestra aleatoria (a través del aplicativo Epi-info) de ciento noventa y siete (197), para analizar el cumplimiento de criterios de calidad (coherencia, claridad y calidez) de las cuales, diez (10) hacen referencia a reconocimientos positivos y dos  (2) peticiones no tienen la respuesta formal cargada en el sistema de Bogotá Te Escucha o se utilizaron documentos que no permiten realizar el análisis por lo tanto no aplican. </t>
  </si>
  <si>
    <t xml:space="preserve">Para el mes de Noviembre el equipo del Servicio Integral de Atención a la Ciudadanía -SIAC (nivel central), realizó las siguientes acciones:
• Seguimiento a la calidad de la respuesta (criterio de coherencia) de las peticiones ciudadanas tramitadas en la SDIS. Este análisis se llevó a cabo a partir de la muestra generada en el aplicativo Epi - info encontrando que la totalidad de respuestas analizadas cumplieron con este criterio.
• Socialización vía mailing/boletín semanal informativo al talento humano de la entidad de pieza comunicativa relacionada con el criterio de coherencia, recordando los tips para dar respuesta a las solicitudes ciudadanas.                                                                                                                  
•Se continua  emitiendo el  memorando interno informando a las áreas sobre el incumplimiento a los criterios evaluados en el análisis realizado, así mismo  se siguen reportando alternativas de mejora (tips de lenguaje claro, claves para la redacción, entre otros) para cumplir con los criterios de calidad.
</t>
  </si>
  <si>
    <r>
      <t xml:space="preserve">Entre el 1 de enero y el 31 de marzo de 2022, el indicador alcanzó un 91% respecto a la meta programada.                                                                                                                                                                                               Al respecto, el equipo del Servicio Integral de Atención a la Ciudadanía -SIAC, realizó seguimiento al cumplimiento del criterio de coherencia a las respuestas a peticiones ciudadanas emitidas por la entidad, de un universo de siete mil ochocientos cincuenta y uno  (7.851) peticiones con respuesta definitiva , se tomó una muestra aleatoria (a través del aplicativo Epi-info) de ciento noventa y ocho (198), para analizar el cumplimiento de criterios de calidad (coherencia, claridad y calidez) de las cuales, nueve (9) hacen referencia a reconocimientos positivos, una (1) petición se cierra por desistimiento tácito, y siete (7)  peticiones se cerraron con el evento de cierre con respuesta definitiva, sin embargo, no tienen la respuesta formal cargada en el sistema de </t>
    </r>
    <r>
      <rPr>
        <i/>
        <sz val="9"/>
        <rFont val="Arial"/>
        <family val="2"/>
      </rPr>
      <t>Bogotá Te Escucha</t>
    </r>
    <r>
      <rPr>
        <sz val="9"/>
        <rFont val="Arial"/>
        <family val="2"/>
      </rPr>
      <t xml:space="preserve"> o se utilizaron documentos  que no permiten realizar el análisis por lo tanto no aplican.                                                                                                                                             
En este orden de ideas, se verifica el cumplimiento a ciento ochenta y un (181) respuestas, encontrando que todas cumplen  el criterio de coherencia, sin embargo, siete (7) respuestas no cumplen con el criterio de calidez. 
Como estrategia de mejora el equipo SIAC realizo durante este periodo las siguientes acciones: 
* Memorando interno  informando a las áreas responsables sobre los hallazgos encontrados en el análisis realizado aportando alternativas de mejora (tips de lenguaje claro, claves para la redacción, entre otros) para cumplir con los criterios de calidad. 
* Soporte permanente a los/as designados/as para la operación Sistema Distrital para la Gestión de Peticiones Ciudadanas (a través de WhatsApp) sobre el trámite de requerimientos ciudadanos, entre ellos, los criterios de calidad de las respuestas.                                                                                               
* Socialización vía e-mail  de una pieza comunicativa acerca de los de tips de lenguaje claro sobre el criterio de coherencia .
Con lo anterior, medir el criterio de coherencia en las respuestas a las peticiones ciudadanas permite definir acciones de mejora respecto a la calidad en la comunicación entre la ciudadanía y la SDIS; así como, en la credibilidad de esta en la gestión institucional.</t>
    </r>
  </si>
  <si>
    <t xml:space="preserve">1. Identificar el número total de respuestas definitivas a requerimientos ciudadanos entregados mensualmente a la ciudadanía (tamaño de la población), las cuales se exportan del Sistema Distrital para la Gestión de Peticiones Ciudadanas – Bogotá te escucha-, SDQS.
2. Ingresar mensualmente al aplicativo Epi-info el número de requerimientos con respuesta definitiva para obtener el tamaño de la muestra a evaluar (la muestra es establecida según la fórmula* con un margen de confiabilidad del 90%, margen de error del 10% y una ocurrencia del 0,5; estos márgenes los establece el SIAC y serán constantes durante la vigencia).
3. Ingresar en hoja de Excel (macro) el tamaño de la muestra y el tamaño de la población para obtener aleatoriamente los requerimientos a evaluar.
4. Ubicar los requerimientos seleccionados en la base de datos exportada mensualmente de Bogotá te escucha -SDQS-, y descargar la respuesta definitiva para verificar el criterio de coherencia.
5.  Evaluar que la respuesta emitida corresponda a lo solicitado por el/la ciudadano/a.
6. Consolidar trimestralmente las bases de datos con respuestas y criterio de coherencia verificado durante el mes (la cual corresponde al denominador del indicador).
7.Si el dato arrojado (cumple -Sí) para el atributo de coherencia será el numerador del indicador.  
*Nota: para el cálculo del indicador de la vigencia, tanto el numerador como el denominador corresponderán a la suma de todos los periodos. 
* 
</t>
  </si>
  <si>
    <t>Durante la vigencia 2022, la entrega de respuestas a las peticiones ciudadanas alcanzó un 97% de oportunidad, referente a 30.580 peticiones que corresponden al 100% de las allegadas a la entidad. 
Teniendo en cuenta el porcentaje de cumplimiento, se indica que durante el año se generaron situaciones que no permitieron el cumplimiento total, las cuales se relacionan a continuación: 
- Rotación de designados para la operación de la plataforma Bogotá te escucha y la vinculación de nuevo talento humano en los equipos de trabajo de algunas dependencias, lo que demoró la oportunidad en la entrega de respuestas a la ciudadanía.
- Cambios en el talento humano responsable de la emisión de respuestas a peticiones ciudadanas en los diferentes proyectos y servicios
Es importante indicar que el equipo del Servicio Integral de Atención a la Ciudadanía-SIAC,  desarrolla estrategias constantes para mejorar la meta, y dar cumplimiento del 100% a la actividad, a través de:  
- Alertas semanales a través de correos electrónicos de los designados de las diferentes áreas, como acción preventiva para la entrega oportuna de las respuestas.
- Apoyo a los designados(as), de manera constante, brindando soporte a fin de aclarar dudas respecto al trámite de las peticiones y operación de la plataforma Bogotá te Escucha y evitar retrasos en la respuesta a las peticiones.
- A fin de generar una mayor apropiación del conocimiento de los designados se desarrollan  procesos de sensibilización en temas relacionados a la plataforma Bogotá te escucha.</t>
  </si>
  <si>
    <t>Durante el cuarto trimestre de 2022, la entrega de respuestas a las peticiones ciudadanas alcanzó un 97% de oportunidad. La entidad emitió respuesta a un total de seis mil ciento setenta y dos (6.172) peticiones de las cuales, se respondieron dentro de los términos legales (oportunamente), cinco mil novecientas ochenta y cinco (5.985). De acuerdo con la información anterior, el 100% de la meta no se alcanzó por:
 Cambios en el talento humano responsable de la emisión de respuestas a peticiones ciudadanas en los diferentes proyectos y servicios
 Dependencias con peticiones sin respuesta correspondientes a trimestres anteriores.
 Rotación de designados para la operación de la plataforma Bogotá te escucha y la vinculación de nuevo talento humano en los equipos de trabajo de algunas dependencias, lo que demoró la oportunidad en la entrega de respuestas a la ciudadanía. 
 Cargue extemporáneo de respuestas a peticiones ciudadanas, en la plataforma Bogotá te escucha, aun cuando la entrega se realizó en los términos de ley, por lo cual, el SIAC continúa implementado el “Instrumento de verificación a respuestas a peticiones entregadas oportunas; no obstante, cargadas extemporáneamente en Bogotá te escucha”, a fin de que las dependencias indiquen la fecha real en la que se emitió respuesta a la ciudadanía.
Se precisa que el equipo SIAC, realiza seguimiento permanente a la entrega oportuna de las respuestas a las peticiones ciudadanas, a través de: 
Alertas semanales a través de correos electrónicos, como acción preventiva para la entrega oportuna de las respuestas.
• Soporte permanente con designados(as) a través del grupo de WhatsApp, para aclarar dudas respecto al trámite de las peticiones y operación de la plataforma Bogotá te Escucha.
• Realización de diez (10) jornadas de transferencia de conocimiento dirigidas a trece (13) designados de la operación del Sistema Distrital para la Gestión de peticiones ciudadanas.
• Desarrollo de proceso de sensibilización en temas relacionados con el SIAC y enfocado en gran parte a pqrs a tres (3) designados nuevos.
Socialización  vía email de pieza comunicativa sobre tips de oportunidad acerca de los tiempos legales para el trámite de las peticiones. La cual es trasmitida por el boletín semanal de comunicaciones.</t>
  </si>
  <si>
    <t>Durante el mes de noviembre el equipo SIAC (componente trámite de peticiones ciudadanas), en función del cumplimiento de la oportunidad en la entrega de respuestas a peticiones ciudadanas realizó las siguientes actividades:
• Alertas semanales a través de correos electrónicos, como acción preventiva para la entrega oportuna de las respuestas. 
• Soporte permanente con designados(as) a través del grupo de WhatsApp, para aclarar dudas respecto al trámite de las peticiones y operación de la plataforma Bogotá te Escucha.
• Realización de diez (10) jornadas de transferencia de conocimiento dirigidas a trece (13) designados de la operación del Sistema Distrital para la Gestión de peticiones ciudadanas. 
• Desarrollo de proceso de sensibilización en temas relacionados con el SIAC y enfocado en gran parte a pqrs a tres (3) designados nuevos.</t>
  </si>
  <si>
    <t>Para el período reportado (octubre), el quipo SIAC no contaba con la totalidad del talento humano para realizar las obligaciones asociadas al trámite de requerimientos ciudadanos, por lo que se priorizó la asignación de peticiones a las dependencias competentes de emitir respuesta, así como la remisión de alertas tempranas, a través de correo electrónico, a las dependencias con peticiones próximas a vencer como acción preventiva para la entrega oportuna de las respuestas. 
De igual manera, se continúa en contacto permanente con designados(as), a través del grupo de WhatsApp, para brindar soporte en tiempo real sobre las dudas respecto al trámite de las peticiones y operación de la plataforma Bogotá te escucha.</t>
  </si>
  <si>
    <t xml:space="preserve">Durante el tercer trimestre de 2022, la entrega de respuestas a las peticiones ciudadanas alcanzó un 95,43% de oportunidad. La entidad emitió respuesta a un total de ocho mil cuarenta y nueve (8.049) peticiones de las cuales, se respondieron dentro de los términos legales (oportunamente), siete mil seiscientas ochenta y una (7.681). De acuerdo con la información anterior, el 100% de la meta no se alcanzó por:
 Cambios en el talento humano responsable de la emisión de respuestas a peticiones ciudadanas en los diferentes proyectos y servicios, durante este periodo sobre todo en la Dirección de Nutrición y Abastecimiento, siendo la dependencia con mayor número de peticiones con incumplimiento de los términos legales. 
 Dependencias con peticiones sin respuesta correspondientes a trimestres anteriores.
 Rotación de designados para la operación de la plataforma Bogotá te escucha y la vinculación de nuevo talento humano en los equipos de trabajo de algunas dependencias, lo que demoró la oportunidad en la entrega de respuestas a la ciudadanía. 
 Dependencias con peticiones sin respuesta correspondientes a trimestres anteriores.
 Cargue extemporáneo de respuestas a peticiones ciudadanas, en la plataforma Bogotá te escucha, aún cuando la entrega se realizó en los términos de ley, por lo cual, el SIAC continúa implementado el “Instrumento de verificación a respuestas a peticiones entregadas oportunas; no obstante, cargadas extemporáneamente en Bogotá te escucha”, a fin de que las dependencias indiquen la fecha real en la que se emitió respuesta a la ciudadanía.
Se precisa que el equipo SIAC, realiza seguimiento permanente a la entrega oportuna de las respuestas a las peticiones ciudadanas, a través de: 
 Envío semanal de alertas tempranas (correos electrónicos) a las dependencias parametrizadas, con requerimientos próximos a vencer. 
 Acompañamiento en mesas de trabajo con las dependencias que han sido reiterativas en la falta de oportunidad en la emisión de respuestas.
 Adelantando procesos de inducción y reinducción, que se requieran (a los servidores, servidoras y contratistas de la entidad).
 Se realiza soporte constante (a través de WhatsApp) a los designados para la operación de Bogotá te escucha, sobre el trámite de peticiones ciudadanas en la entidad, y el uso eficiente de la plataforma. 
 Socialización  vía email de pieza comunicativa sobre tips de oportunidad acerca de los tiempos legales para el trámite de las peticiones. La cual es trasmitida por el boletín semanal de comunicaciones.
Así mismo, a fin de brindar herramientas que contribuyan a la emisión de respuestas a peticiones ciudadanas con criterios de calidad (claridad, calidez y coherencia), se implementó un taller de lenguaje claro dirigido a los colaboradores de la Subdirección de Gestión y Desarrollo del Talento Humano y referentes de las Subdirecciones técnicas de Nivel central. </t>
  </si>
  <si>
    <r>
      <t xml:space="preserve">Durante el  período reportado (1 de enero  a marzo 31 de 2022), el indicador  alcanzó un 97.11% respecto a la meta programada, es decir, de siete mil ochocientas treinta (7.830) peticiones ciudadanas gestionadas, siete mil seiscientas cuatro (7.604) se respondieron dentro de los términos legales.  
Las causas por las cuales no se  alcanzó  la meta del 100% son las siguientes: 
● Se continúan recibiendo un número considerable de peticiones ciudadanas a través del canal virtual (medio correo electrónico y Contáctenos), de competencia y no competencia de la SDIS.
● Cambios en el talento humano responsable de la emisión de respuestas a peticiones ciudadanas en los diferentes proyectos y servicios. 
● Represamiento de peticiones recibidas en trimestres anteriores, y respondidas en el período reportado, lo que influyó en la oportunidad del trámite por parte de las dependencias competentes.
●Cargue extemporáneo de respuestas a peticiones ciudadanas, en la plataforma </t>
    </r>
    <r>
      <rPr>
        <i/>
        <sz val="9"/>
        <rFont val="Arial"/>
        <family val="2"/>
      </rPr>
      <t>Bogotá Te Escucha</t>
    </r>
    <r>
      <rPr>
        <sz val="9"/>
        <rFont val="Arial"/>
        <family val="2"/>
      </rPr>
      <t>, aun cuando la entrega se realizó en los términos de ley, por lo cual, el SIAC continúa implementado el “Instrumento de verificación a respuestas a peticiones entregadas oportunas"; a fin de que las dependencias indiquen la fecha real en la que se emitió respuesta a la ciudadanía. 
Además, el equipo SIAC viene implementado estrategias de mejora a través de acciones de seguimiento,  que han incidido positivamente para que se mantenga un nivel de oportunidad mayor al 95%:  
●Trabajo articulado  con equipos de contingencia, tanto en el SIAC como en las Subdirecciones Locales y Técnicas con el fin de garantizar la oportunidad en las respuestas emitidas a la ciudadanía. 
●Seguimiento permanente a la entrega oportuna de las respuestas a las peticiones ciudadanas, a través del envío semanal de alertas tempranas (correos electrónicos) a las dependencias parametrizadas, con requerimientos próximos a vencer. 
●Soporte permanente (a través de WhatsApp) a los designados para la operación de Bogotá te escucha, sobre el trámite de peticiones ciudadanas en la entidad, y el uso eficiente de la plataforma. 
●Acompañamiento en mesas de trabajo con las dependencias que han sido reiterativas en la falta de oportunidad en la emisión de respuestas y adelantando procesos de inducción y reinducción, que se requieran (a los servidores, servidoras y contratistas de la entidad).
●Socialización  vía email  de una pieza  comunicativas sobre  tips de  oportunidad  acerca de los tiempos legales para el tramite de las peticiones.</t>
    </r>
  </si>
  <si>
    <t>El proceso planeación estratégica busca definir y direccionar los lineamientos para la formulación y seguimiento de la plataforma estratégica, planes, programas y proyectos en pro de la eficiencia en el gasto público que permitan dar cumplimiento a la misión y visión institucional.</t>
  </si>
  <si>
    <t>Desde el equipo de seguimiento a proyectos se realizó el seguimiento correspondiente al informe SPI de 18 proyectos de inversión en los periodos de enero a septiembre, de enero a octubre y de enero a noviembre de 2022, realizando la verificación de la información suministrada en los reportes, así como la retroalimentación a través de reuniones con los profesionales delegados de cada área técnica.
Como evidencia se anexan las 18 actas de retroalimentación de los seguimientos de los proyectos de inversión en cada uno de los periodos de seguimiento mencionados.</t>
  </si>
  <si>
    <t>12/01/2022. No se generan observaciones o recomendaciones respecto a los avances y evidencias presentados en el monitoreo al riesgo de gestión.
La evaluación de controles se encuentra disponible en: https://sig.sdis.gov.co/index.php/es/proceso-de-planeacion-estrategica-riesgos</t>
  </si>
  <si>
    <t>Debido a que las dependencias remiten información sin tener en cuenta los criterios establecidos en el procedimiento Precios unitarios de referencia (PCD-PE-014)</t>
  </si>
  <si>
    <t>Cada vez que se reciben solicitudes de las dependencias, los profesionales del equipo de costos de la Subdirección de Diseño, Evaluación y Sistematización, realizan el análisis sobre los estudios de mercado para la adquisición de bienes y servicios, con el propósito de verificar que los  valores remitidos por los posibles oferentes estén acordes con la realidad del mercado y la correcta implementación de los criterios establecidos en el procedimiento Precios unitarios de referencia (PCD-PE-014).
En el caso que la información presente inconsistencias se devuelve la solicitud a la dependencia solicitante para que realice el respectivo ajuste y continuar con el procedimiento. 
Como evidencia se cuenta con los radicados de las solicitudes y los memorandos de respuesta.</t>
  </si>
  <si>
    <t>(Número de solicitudes tramitadas que cumplen con los criterios establecidos / Número de solicitudes radicadas por las dependencias) *100
Nota: debido a que la actividad se ejecuta a demanda, la meta para cada trimestre es del 100%.</t>
  </si>
  <si>
    <t xml:space="preserve">El equipo de costos de la Subdirección de Diseño, Evaluación y Sistematización, proyectó respuesta a 13 de las 13 solicitudes realizadas por las dependencias para obtener concepto favorable de viabilidad a los precios de referencia correspondientes a estudios de mercado, recibidos entre el 01 de octubre al 30 de diciembre de 2022, lo que nos da un porcentaje de avance del 100%. 
Discriminado de la siguiente manera:
* En octubre se tramitaron 10 de 10 solicitudes 
* En el mes de noviembre se tramitaron 2 de 2 solicitudes radicadas.
* Finalmente en el mes de diciembre se tramitaron 1 de 1 solicitud allegadas el corte.
Evidencias: memorandos de solicitud de viabilidad de precios </t>
  </si>
  <si>
    <t>Con corte a 30 de diciembre de 2022 se enviaron 6 memorandos a las dependencias para hacer entrega oficial de los 9 listados a los cuales se les identificaron las inconsistencias de la información en el aplicativo de focalización, incluyendo fichas en edición y fichas mal diligenciadas, así como los reportes de inconsistencias de información a otros servicios que no se encuentran parametrizados en el aplicativo. 
Como evidencia se anexan los 6 memorandos a las dependencias con el reporte de las inconsistencias y los 9 listados con las inconsistencias anexos</t>
  </si>
  <si>
    <t>Circular No. 030 del 03/10/2022</t>
  </si>
  <si>
    <t>R-PE-005</t>
  </si>
  <si>
    <t>Debido a crisis sociales que generen paros, huelgas, alteración del orden público y/o transporte, así como crisis sanitarias que generen epidemias, enfermedades y/o pérdidas humanas</t>
  </si>
  <si>
    <t>Posibilidad de no contar con el talento humano necesario para asegurar la prestación continua de los servicios sociales en la entidad, de forma temporal o definitiva, debido a factores externos que afectan las seguridad y salud de personal o sus familias</t>
  </si>
  <si>
    <t>Daños a activos fijos/eventos externos / interrupción.</t>
  </si>
  <si>
    <t>El equipo del sistema de gestión de continuidad del negocio de la Dirección de Análisis y Diseño Estratégico (DADE) identifica anualmente con todas las dependencias de la entidad los cargos críticos para conformar los equipos de recuperación de procesos y servicios, generando el documento "Anexo 1. Informe BIA - Cargos críticos". Esto se realiza con el fin de contar con la información del personal critico necesario para garantizar la operación de la entidad, en caso de la ocurrencia de crisis sociales o sanitarias que afecten el cumplimiento de la misionalidad institucional.
En caso de no contar con el documento actualizado, se deberá tener en cuenta la versión vigente publicada en el módulo web del Sistema de Gestión de la entidad.</t>
  </si>
  <si>
    <t xml:space="preserve">Equipo Sistema de gestión de continuidad del negocio de la Dirección de Análisis y Diseño Estratégico </t>
  </si>
  <si>
    <t>Actualizar y publicar en el  módulo web del Sistema de Gestión el Anexo 1 del Informe BIA- Cargos Críticos</t>
  </si>
  <si>
    <t xml:space="preserve">1 Documento actualizado y publicado </t>
  </si>
  <si>
    <t>No aplica. Riesgo oficializado el 03/10/2022.</t>
  </si>
  <si>
    <t>Con corte a 31 de diciembre de 2022 el equipo del Sistema de Gestión continuidad de negocio actualizó el Informe de Análisis del impacto al negocio- BIA y sus anexos.
Se Actualizó y publicó en el  módulo web del Sistema de Gestión el Anexo 1 del Informe BIA- Cargos Críticos.
Como evidencia se anexa el Informe de Análisis del impacto al negocio- BIA y el Anexo 1 del Informe BIA- Cargos Críticos.</t>
  </si>
  <si>
    <t xml:space="preserve">Durante el cuarto  trimestre se realizaron 3 socializaciones  a los referentes de comunicación territorial y de nivel central, en estos espacios se  dio línea y seguimiento  a las actividades  enmarcadas en el Plan de Comunicaciones vigencia 2022, del mismo modo, para el mes de diciembre se realizó la evaluación  de la gestión frente al cumplimiento de los indicadores estratégicos de las Oficina Asesora de Comunicaciones  el cual  se remitió a los referentes de comunicación territorial y de nivel central y equipo de comunicaciones, con el fin de retroalimentar la gestión realizada, evidenciar las fortalezas y oportunidades  de mejoras a aplicar en la vigencia 2023. De esta manera se da un cumplimiento a las actividades de control aplicadas.  </t>
  </si>
  <si>
    <t>13/01/2023
Ajustar el nivel de avance acumulado puesto que al realizar en el último trimestre 3 socializaciones el acumulado seria de 90% y no del 100%.
Por favor remitir soporte de remisión o de la socialización del informe Balance actividades OAC.
18/01/2023
No se generan observaciones ni sugerencias adicionales para el periodo reportado.
La evaluación de controles se encuentra disponible en: https://sig.sdis.gov.co/index.php/es/comunicacion-estrategica-riesgos</t>
  </si>
  <si>
    <t xml:space="preserve">
Durante el cuatro trimestre se realizaron 2 jornadas de entrenamiento a voceros donde se abordaron los temas correspondientes a las sesiones restantes programadas para la socialización de la manual de crisis  , del mismo modo, con ocasión a la realización de comité de gestión y desempeño se realizó la  exposición del Protocolo a los directivos de la entidad, finalmente, para el mes de diciembre se realizó él envió  a los correo  institucionales  del Protocolo de Manejo de comunicación en situación de crisis el cual fue  actualizado  en el mes de noviembre. </t>
  </si>
  <si>
    <t>13/01/2023
No se generan observaciones ni sugerencias en el periodo reportado.
La evaluación de controles se encuentra disponible en: https://sig.sdis.gov.co/index.php/es/comunicacion-estrategica-riesgos</t>
  </si>
  <si>
    <t>Respecto al monitoreo de medios, se remitió efectivamente al cuerpo directivo de la entidad mediante correo electrónico,  los  seguimientos  de los  meses de  octubre, noviembre y diciembre  oportunamente, con el envío de este seguimiento a medios  se le informó a al cuerpo directivo de la entidad  el siguiente comportamiento de las menciones en medios de comunicación: 
Octubre: Noticias positivas y neutras :75
Noviembre: Noticias positivas y neutras: 68 
Diciembre: Noticias positivas y neutras :58</t>
  </si>
  <si>
    <t>13/01/2023
Por favor cargar las evidencias del periodo para verificar los datos reportados.
18/01/2023
No se generan observaciones ni sugerencias adicionales para el periodo reportado.
La evaluación de controles se encuentra disponible en: https://sig.sdis.gov.co/index.php/es/comunicacion-estrategica-riesgos</t>
  </si>
  <si>
    <t>El profesional encargado de Gobierno Digital presenta el Informe de seguimiento al Plan Estratégico de Tecnologías de la Información PETI de las actividades 2022, el cual contiene el avance de iniciativas de transformación y de operación que plantean aspectos estratégicos que permiten apoyar la armonización de los procesos misionales y de tecnología, y a su vez, se muestran los valores de indicadores definidos en el PETI con corte a 30 de diciembre de 2022.</t>
  </si>
  <si>
    <t>13/01/2023
No se generan observaciones respecto a los avances y evidencias presentados en el monitoreo al riesgo de gestión.</t>
  </si>
  <si>
    <t>En el periodo comprendido entre el 1 de octubre al 31 de diciembre de 2022 no se han finalizado los procesos de transferencia o intercambio de información que han sido solicitados por las dependencias interesadas, que permita el diligenciamiento completo y visto bueno del Formato de Identificación de transferencia o intercambio de información con terceros.</t>
  </si>
  <si>
    <t>12/1/2023. No se generan observaciones por parte de la segunda línea de defensa, respecto a los avances y evidencias presentados en el monitoreo al riesgo de gestión.
La evaluación de controles se encuentra disponible en: https://sig.sdis.gov.co/index.php/es/gestion-del-conocimiento-riesgos</t>
  </si>
  <si>
    <t>En el periodo comprendido entre el 1 de octubre al 31 de diciembre de 2022 no se han finalizado los procesos de transferencia o intercambio de información que han sido solicitados por las dependencias interesadas, que permita el diligenciamiento, aprobación, consolidación y análisis de los Formato de Identificación de transferencia o intercambio de información con terceros. Se adjunta presentación con el estado a la fecha de los procesos de Acuerdos de Intercambio de Información.
De esta manera, no se ha materializado el riesgo de gestión del proceso, por cuanto no se ha finalizado los procesos de transferencia o intercambio de información en curso. Adjunto modelo de Formato de identificación de acuerdo de intercambio de información que se diligenció con el IDIGER, el cual está en proceso de aprobación.</t>
  </si>
  <si>
    <t>12/1/2023. No se generan observaciones por parte de la segunda línea de defensa, respecto a los avances y evidencias presentados en el monitoreo al riesgo de gestión.
Para la próxima vigencia 2023 se sugiere analizar la pertinencia de la acción de control ya que se evidencia que no fue necesaria su ejecución de manera permanente para el control de la materialización del riesgo.
La evaluación de controles se encuentra disponible en: https://sig.sdis.gov.co/index.php/es/gestion-del-conocimiento-riesgos</t>
  </si>
  <si>
    <t>Posibilidad que los servicios diseñados no contemplen las necesidades de la población vulnerable, generando servicios aprobados sin cumplimiento de los objetivos trazados frente a la cobertura y beneficios entregados, sin generar impacto en la población y detrimento de los recursos públicos, esto debido a que el área técnica puede definir un servicio social partiendo de estimados de percepción de necesidades o de la necesidad de justificar una ejecución presupuestal.</t>
  </si>
  <si>
    <t xml:space="preserve">En el cuarto trimestre del año 2022 se avanzó en el cumplimiento del memorando de mayo 2022 "Periodo de transición para la transformación de los servicios sociales y reglas de transición con respecto a los beneficiarios", para lo cual se realizó la Mesa Técnica Gis el 09/11/2022. 
Como se evidencia en el acta de la mesa de trabajo, durante la presentación de los servicios, desde la Subsecretaría se hace mención a los participantes de la instancia, que al momento de ajustarse o crearse un servicio social, es necesario tener en cuenta el lineamiento “Lineamiento creación, transformación o actualización de los servicios sociales de la SDIS", toda vez que, orienta en el cumplimiento de criterios como la definición de la necesidad de la población y el análisis económico , entre otros. 
Se adjunta la evidencia relacionada. </t>
  </si>
  <si>
    <t xml:space="preserve">15/01/2023: No se presentan observaciones al reporte y evidencias enviados. </t>
  </si>
  <si>
    <t>De acuerdo con el cronograma definido para la formulación de la Política de calidad de los servicios de la SDIS, durante el cuarto trimestre se avanzó en el total de las actividades logrando finalizar los productos que enmarcaran la política de calidad:
1. Elaboración procedimiento formulación de estándares de calidad: 
2. Elaboración procedimiento de estándares transversales 
3. Expedición de acto administrativo de la  Política de Calidad para los  servicios sociales de la SDIS.
4. Elaboración de lineamientos para la implementación de la política de calidad de los servicios sociales. 
Se adjuntan las evidencias relacionadas con las anteriores actividades</t>
  </si>
  <si>
    <t>Se realizó reunión mensual ordinaria de la  Mesa de implementación del sistema de gestión de las dependencias misionales, en el cual se realiza un monitoreo permanente a las actividades del proceso.  Como evidencia se entrega:
Octubre
* Acta y asistencia Mesa SG Misional
* Presentación Mesa SG Misional
Noviembre
* Acta y asistencia Mesa SG Misional
* Presentación Mesa SG Misional.  
Diciembre
* Acta y asistencia Mesa SG Misional
* Presentación Mesa SG Misional.</t>
  </si>
  <si>
    <t>13/01/2023. No se generan observaciones por parte de la segunda línea de defensa, respecto a los avances y evidencias presentados en el cuarto monitoreo al riesgo de gestión.</t>
  </si>
  <si>
    <t>Se entrega informe de calidad de la información (seguimiento del procedimiento Recolección, Crítica y Digitación (PCD-PSS-022)) de las subdirecciones de: Gestión Integral Local; Identificación, Caracterización e Integración; Infancia, Juventud, Adultez, Vejez, DNA - Abastecimiento, LGBTI , Discapacidad y las 16 subdirecciones locales, correspondiente al tercer cuatrimestre de la vigencia 2022.</t>
  </si>
  <si>
    <t>Seis (6) subdirecciones realizaron la socialización del protocolo formulación de la descripción del problema y concepto profesional (PTC-PSS-035). 
Se anexan actas y listados de asistencia de las socializaciones de las siguientes dependencias:
1. Subdirección para la vejez
2. Subdirección de abastecimiento
3. Subdirección para la juventud
4.Subdirección para la Identificación, Caracterización e Integración.
5. Subdirección para la Gestión Integral local
6. Subdirección para la familia
Nota: se rectifica que la subdirección técnica para la familia si debe realizar la socialización, son 10 actas de socialización debido a que la subdirección de abastecimiento y subdirección de nutrición reportan un insumo en conjunto.</t>
  </si>
  <si>
    <t>Circular 030 del 03/10/2022</t>
  </si>
  <si>
    <t>R-PSS-004</t>
  </si>
  <si>
    <t>1. Debido a que las unidades operativas de la entidad no cuentan en su totalidad con el Plan de Emergencia y Contingencia (PEC) y aquellas que cuentan con este, no lo tienen actualizado.</t>
  </si>
  <si>
    <t xml:space="preserve">Posibilidad de la suspensión total o parcial en la prestación de servicios sociales, derivada de factores internos y/o externos que afecten al personal, los beneficiarios, y/o los proveedores, ocasionando un incumplimiento de la misión institucional. </t>
  </si>
  <si>
    <t>1.  En el último trimestre de la vigencia 2022, el Líder de Seguridad y Salud en el trabajo realiza la revisión, actualización  y socialización del formato para la elaboración  de los Planes de Emergencia y Contingencia (PEC) de cada unidad operativa, con el fin de generar las orientaciones vigentes que permitan atender apropiadamente  un evento que altere las condiciones normales de funcionamiento y que obligue a una respuesta inmediata en las instalaciones de cada unidad operativa, en coherencia con los lineamientos del sistema de continuidad de negocio. Como evidencia se cuenta con el formato actualizado. Teniendo en cuenta la prioridad de la actividad para el Plan de Continuidad de Negocio, no se contempla su no ejecución.</t>
  </si>
  <si>
    <t xml:space="preserve">Líder de Seguridad y Salud en el Trabajo </t>
  </si>
  <si>
    <t>Formato para el Plan de emergencia y contingencia - PEC, actualizado</t>
  </si>
  <si>
    <r>
      <t>Un</t>
    </r>
    <r>
      <rPr>
        <sz val="10"/>
        <color rgb="FF00B050"/>
        <rFont val="Arial"/>
        <family val="2"/>
      </rPr>
      <t xml:space="preserve"> </t>
    </r>
    <r>
      <rPr>
        <sz val="10"/>
        <rFont val="Arial"/>
        <family val="2"/>
      </rPr>
      <t>(01) formato correspondiente al 100%</t>
    </r>
  </si>
  <si>
    <t>Se realiza la revisión y actualización del formato correspondiente al plan de emergencias y contingencias donde se revisa que se incluyan las amenazas identificadas en las diferentes unidades operativas de la entidad, así mismo se debe contar con sus respectivos Procedimientos operativos normalizados y se hace la inclusión de la información y Procedimiento Operativo Normalizado en Primeros Auxilios Psicológicos.</t>
  </si>
  <si>
    <t>2. Debido al presunto incumplimiento de la normatividad  aplicable a las unidades operativas.</t>
  </si>
  <si>
    <t>2. En el último trimestre de la vigencia 2022, el Gestor de Proceso de Prestación de Servicios Sociales junto con el equipo de planeación y misional de la Dirección Territorial, diseñarán un instrumento de chequeo que permita  identificar la normatividad  aplicable a cada unidad operativa (salubridad, licencias, permisos, etc.) con el fin de que no se genere incumplimiento que pueda ocasionar la suspensión parcial o total de las unidades operativas imposibilitando la prestación de los servicios sociales. Como evidencia se entregará el instrumento diseñado Teniendo en cuenta la prioridad de la actividad para el Plan de Continuidad de Negocio, no se contempla su no ejecución.</t>
  </si>
  <si>
    <t>Gestor de Proceso - Equipo de Planeación y Misional de la Dirección Territorial</t>
  </si>
  <si>
    <t>Formato Lista de chequeo creado.</t>
  </si>
  <si>
    <r>
      <rPr>
        <sz val="10"/>
        <rFont val="Arial"/>
        <family val="2"/>
      </rPr>
      <t>Un</t>
    </r>
    <r>
      <rPr>
        <sz val="10"/>
        <color rgb="FF00B050"/>
        <rFont val="Arial"/>
        <family val="2"/>
      </rPr>
      <t xml:space="preserve"> </t>
    </r>
    <r>
      <rPr>
        <sz val="10"/>
        <color theme="1"/>
        <rFont val="Arial"/>
        <family val="2"/>
      </rPr>
      <t>(01) Formato lista de Chequeo correspondiente al 100%</t>
    </r>
  </si>
  <si>
    <t>Se entrega el diseño de un instrumento de chequeo que permite identificar la normatividad  aplicable a cada unidad operativa (salubridad, licencias, permisos, etc.) elaborado por el equipo de la Dirección Territorial teniendo en cuenta la información reportada por las subdirecciones técnicas misionales.</t>
  </si>
  <si>
    <t>3. Debido a factores externos no controlables por la Entidad, como:
 - No contar con el suministro de insumos, materiales y otros por parte de los proveedores, 
 - La alteración del orden público, paros que impiden la entrega de suministros e insumos por proveedores o la movilidad de personal o de los beneficiarios.
 - La declaración de emergencia sanitaria o aislamiento preventivo que imposibilite el desplazamiento a las unidades operativas.
 - La suspensión de la red eléctrica, de acueducto o alcantarillado, el internet, etc.</t>
  </si>
  <si>
    <t>3. En el último trimestre de la vigencia 2022, los líderes de los equipos técnicos de los servicios sociales pertenecientes al proceso misional prestación de servicios sociales para la inclusión social y delegados de la mesa GIS, deben realizar actualización de las fichas técnicas de los servicios y modalidades ajustando la oferta de servicios sociales en casos de suspensión total o parcial, cambiando a servicios en casa, en calle u otras estrategias. Como evidencia se entregarán las fichas técnicas de los servicios y modalidades. Teniendo en cuenta la prioridad de la actividad para el Plan de Continuidad de Negocio, no se contempla su no ejecución.</t>
  </si>
  <si>
    <t>Líderes de los equipos técnicos de los servicios sociales y modalidades y delegados mesa GIS</t>
  </si>
  <si>
    <t>(Propuestas de Fichas Técnicas actualizadas de los servicios y modalidades / Total de  Servicios y modalidades que requieren actualización de Fichas técnicas)*100</t>
  </si>
  <si>
    <t xml:space="preserve">100% de propuestas de fichas técnicas actualizadas de los servicios y modalidades </t>
  </si>
  <si>
    <t xml:space="preserve">Se entregan propuestas de fichas técnicas actualizadas de los servicios/modalidades/estrategia: 
* Subdirección para la Adultez (07): atención y desarrollo de capacidades para mujeres habitantes de calle y en alto riesgo de estarlo, Alta dependencia física, mental o cognitiva para la población habitante de calle, Atención sociosanitaria para población habitante de calle y en alto riesgo, Comunidad de vida para población habitante de calle, Autocuidado para población habitante de calle y en alto riesgo de estarlo, Hogar de paso día y hogar de paso noche para la atención de población habitante de calle y Móvil de abordaje territorial para el fenómeno de habitabilidad en calle.
* Subdirección para la Discapacidad (09): Bogotá te cuida en casa, Centro de Atención Distrital - CADIS, Centros Avanzar, Centros Integrarte Atención Externa, Centros Integrarte Atención Interna, Fortalecimiento a la inclusión y apoyo alimentario a personas con Discapacidad, Centros Crecer, Centros Renacer y Cuidando de ti.
* Subdirección para Asuntos LGBTI (05): Ampliación e instalación de capacidades formativas, Bono Multicolor, Reafírmate: el chuchú de la Cédula, Casas LGBTI y Unidad contra la discriminación - UCD. 
* Subdirección para la Gestión Integral Local (05): Centros de Desarrollo Comunitario - CDC, Fortalecimiento de procesos territoriales e iniciativas de Innovación Social, Tiempo propio para personas cuidadoras, Acompañamiento a Hogares en Pobreza Oculta y Acompañamiento a Hogares Pobres. 
* Subdirección para la Identificación, Caracterización e Integración (07): Acciones para la Integración y los Derechos, Ayuda Humanitaria para la Estabilización, Integración en tú camino, Para la Integración y los Derechos de los Migrantes, Refugiados y Retornados, Gestión del Riesgo, Respuesta Social y Estrategia para atención a personas u hogares que, enfrentan situaciones de emergencia social y requieren atención social inmediata - transferencia monetaria de emergencia social transitoria no condicionada. 
* Subdirección para la Infancia (13): Jardines infantiles, Jardines Infantiles Nocturnos, Casa de Pensamiento Intercultural, Espacios Rurales, Creciendo Juntos, Crecemos en la Ruralidad, Centros Amar, Centro Amar Nocturno, Estrategia Móvil para prevención y erradicación del trabajo infantil ampliado - EMPETIA -, Centro Abrazar, Arte de Cuidarte, Atrapasueños y Casa de Memoria y lúdica. 
* Subdirección para la Juventud (04): Casas de Juventud, Forjar Restaurativo, Servicio Social Parceros por Bogotá y Prevención de la Paternidad y Maternidad temprana en Bogotá. 
* Subdirección para la Vejez (08): Apoyos Económicos para personas mayores, Servicio Centro Día Casa de la Sabiduría, Comunidad de Cuidado, Cuidado en Casa, Cuidado Transitorio Día - Noche, Estrategia Centro Día al Barrio, Estrategia Redes de Cuidado Comunitario y Bogotá te Acompaña en la Vejez. 
* Subdirección de Nutrición y Subdirección de Abastecimiento (02): Comedores Comunitarios y Compromiso por una Alimentación Incluyente.
* Subdirección para la Familia (02): Prevención del Riesgo de Ubicación Institucional de Niñas y Niños y Centros Proteger - Atención Integral a niños y niñas en vulneración de derechos con medida de ubicación institucional. 
Cada propuesta de ficha técnica actualizada contempla la prestación del servicio/modalidad/estrategia en casos de suspensión total o parcial.
En total se entregan 62 fichas, de las 62 fichas que requieren actualización. </t>
  </si>
  <si>
    <t xml:space="preserve">En el cuarto trimestre del año 2022 se realizaron 11 jornadas de sensibilización en cultura del servicio, con un acumulado de 36 jornadas a la fecha de reporte, incluyendo temas relacionados con el manual del servicio de la SDIS y de la Secretaría General, características del servicio a la ciudadanía; y protocolos de atención con enfoque diferencial y transeccional.                                                                                                                             
Con la participación de 235 colaboradores públicos de las dependencias de: Talento humano (1), Sub Infancia ruralidad (2), SLIS Santafé-Candelaria (2), SLIS San Cristóbal (2), Sub GIL (1), SLIS Suba (1), Sub ICI Red cade (1), SLIS Ciudad bolívar (1). Llegando  a un acumulado de 337 personas asistentes a jornadas de sensibilizaciones.
En carpeta compartida se encuentran  evidencias de las jornadas de sensibilización, con las subcarpetas por mes con las dependencias donde se realizaron las jornadas (acta, listas de asistencia), correos de documentos de memoria compartidos a los participantes y resultados del test de sensibilización.  
</t>
  </si>
  <si>
    <t>10/01/2023. Se debe verificar el periodo de reporte, el cual corresponde al cuatro trimestre, sin embargo se esta registrando "tercer trimestre". Igualmente, revisar los niveles de avance del periodo y acumulado, pues el resultado registrado no corresponde con los datos mencionados (37 jornadas realizadas, de 36 jornadas programadas). Pendiente la validación de lo reportado con las evidencias que se deben suministrar por el proceso. Adicionalmente se debe registrar en la columna AU si el riesgo se materializó en el periodo (SI o NO).
14/01/2023: No se presentan observaciones adicionales al reporte y evidencias presentadas.
Link de acceso evaluación de controles:
https://sig.sdis.gov.co/index.php/es/atencion-a-la-ciudadania-riesgos</t>
  </si>
  <si>
    <t xml:space="preserve">Durante el cuarto trimestre  se realizó inducción a 12  colaboradores del grupo SIAC.
• Presentación Servicio Integral a la Ciudadanía SIAC. 
• Charla inicial Sensibilización cultural del Servicio en la SDIS, características del servicio. 
• Peticiones ciudadanas y aplicativo Bogotá te escucha. 
• Canales de atención, ruta de acceso documentos proceso atención ciudadana, buzón de sugerencias y actividades en el Punto de Atención a la Ciudadanía. 
• Aplicación prueba de valoración de conocimientos para el punto SIAC
Evidencias: acta de inducción y listado de asistencia
</t>
  </si>
  <si>
    <t>10/01/2023. Pendiente la validación de lo reportado con las evidencias que se deben suministrar por el proceso.
14/01/2023: No se presentan observaciones adicionales al reporte y evidencias presentadas.
Link de acceso evaluación de controles:
https://sig.sdis.gov.co/index.php/es/atencion-a-la-ciudadania-riesgos</t>
  </si>
  <si>
    <t>10/01/2023: No se presentan observaciones al reporte. Actividad de control cumplida al 100% para el año.
Link de acceso evaluación de controles:
https://sig.sdis.gov.co/index.php/es/atencion-a-la-ciudadania-riesgos</t>
  </si>
  <si>
    <t xml:space="preserve">Durante el cuarto trimestre se realizaron tres (3) visitas a los responsables de los puntos SIAC, así: SLIS San Cristóbal, SLIS Tunjuelito y Subdirección para la Identificación, Caracterización e Integración. Para un acumulado de 19 visitas a los responsables de los puntos SIAC.
Evidencias: 
*Actas de visitas de acompañamiento y seguimiento.
*Cronograma de acompañamiento y seguimiento puntos SIAC, el cual se ha ajustado conforme a la necesidad del servicio. </t>
  </si>
  <si>
    <t>Durante el cuarto trimestre, se envió a la Oficina Asesora de Comunicaciones, una (1) solicitud de publicación del informe de gestión del SIAC, correspondiente al tercer trimestre de 2022 (el informe de resultados de encuestas de satisfacción y percepción corresponde al anexo 7, del informe de gestión del SIAC). Para un acumulado de cuatro (4) solicitudes de publicación a la Oficina Asesora de Comunicaciones, del informe de gestión del SIAC.
Evidencia: Formato solicitud remitido a la OAC -soporte envío de correo.</t>
  </si>
  <si>
    <t>10/01/2023. Pendiente la validación de lo reportado con las evidencias que se deben suministrar por el proceso. Adicionalmente se debe registrar en la columna AU si el riesgo se materializó en el periodo (SI o NO).
14/01/2023: No se presentan observaciones adicionales al reporte y evidencias presentadas.
Link de acceso evaluación de controles:
https://sig.sdis.gov.co/index.php/es/atencion-a-la-ciudadania-riesgos</t>
  </si>
  <si>
    <t xml:space="preserve">Al corte del reporte del cuarto trimestre se realizaron 15 solicitudes de información a las dependencias (Direcciones y Subdirecciones Técnicas) con el fin de articular la entrega oportuna de la información de los servicios sociales en el marco de la ruta de información, para lo cual se remitió vía correo electrónico mensualmente (3 durante el trimestre de 2022) la solicitud referente a la actualización de la información. 
Durante el cuarto trimestre a través de correo electrónico, se solicitó a la Dirección de Análisis y Diseño Estratégico-DADE-, información relacionada con bases longitudinales de datos de los servicios de: Apoyos económicos para persona mayor (AE), comedores y cocinas populares, Bonos canjeables por alimentos para personas con discapacidad (PCD), Canasta Alimentaria y Bono canjeable por alimentos con el objeto de suministrarla oportunamente a la ciudadanía por medio de los canales de interacción (presencial, telefónico y virtual); igualmente, conforme a la ruta de información, se solicitó a las Subdirecciones Técnicas el cargue de información actualizada, con el propósito de ser trasmitida a través de los puntos SIAC oportunamente a la ciudadanía. 
Evidencias: 
*Soporte 1. Correos de solicitud de información a las Subdirecciones Técnicas y correo dirigido a las delegadas de la entrega de la información en la DADE.
Adicionalmente, los responsables de puntos SIAC continúan diariamente solicitando a los referentes de los servicios sociales de las subdirecciones Locales, información relacionada con: fecha de entrega de bonos canjeables por alimentos, oferta de cursos, entre otros; la cual se carga en las carpetas disponibles en SharePoint. 
Evidencia: 
*Soporte 2. Pantallazos de información cargada en SharePoint. </t>
  </si>
  <si>
    <t>Se realizaron mensualmente las pre nóminas, de acuerdo con el número total de nóminas oficiales generadas en el trimestre, así: 
1. En el mes de octubre se elaboraron tres (3) nóminas: nómina normal del mes y una (1) nómina adicional del mes y se anexa nomina adicional acumulada en kactus en septiembre y pagada en octubre 2022.
2. en el mes de noviembre se elaboraron tres (3) nóminas: nómina normal del mes y dos (2) nóminas adicionales.
3. En el mes de diciembre se elaboraron dos (2) nóminas: nómina normal del mes y una nómina (1) adicional, para el pago de los teletrabajadores de la entidad.
Como evidencia se anexan ocho (8) formatos FOR-TH-023 "Revisión Prenómina" diligenciados y firmados, para el trimestre octubre a diciembre de 2022.</t>
  </si>
  <si>
    <t>10/1/2023
No se generan observaciones o sugerencias para el periodo de reporte.
La evaluación de controles se encuentra disponible en: https://sig.sdis.gov.co/index.php/es/gestion-de-talento-humano-riesgos</t>
  </si>
  <si>
    <t>Durante el cuarto trimestre de 2022 se revisaron los formatos préstamo y consulta documental – Historias Laborales (FOR GD-012), de los meses de octubre, noviembre y diciembre, en los cuales se evidenció el registro correcto de la información tanto de consulta, como de préstamos de Historias Labores, según lo establece el procedimiento. Las consultas y/o préstamos, fueron realizados a personas autorizadas por la Subdirectora de Gestión y Desarrollo de Talento Humano.
Se anexa como evidencias:  Acta de revisión y Formatos: Préstamo y Consulta Documental – Historias Laborales diligenciados del trimestre.</t>
  </si>
  <si>
    <t>Para el cuarto trimestre de 2022 se continua generando información relacionada con las actividades planeadas por parte de las áreas funcionales de Bienestar Social e Incentivos, Capacitación y Seguridad y Salud en el Trabajo, teniendo en cuenta la oferta y el avance en la implementación de los planes institucionales, permitiendo generar acciones para la promoción de participación por parte de servidores, servidoras y contratistas. 
Es por ello, que en articulación con la Oficina Asesora de Comunicaciones se realiza diseño y divulgación del Boletín Mensual de Actividades en las siguientes fechas:
* Boletín Digital Octubre 2022:  Envío el 11 de octubre de 2022
* Boletín Digital Noviembre 2022:  Envío el 04 de noviembre de 2022
* Boletín Digital Diciembre 2022:  Envío el 09 de diciembre de 2022
Como evidencia se adjuntan los tres (3) Boletines en PDF.
Nota: Adicionalmente, para generar un mayor impacto y recordación de las actividades relacionadas, estás mismas se divulgan masivamente en el Boletín Interno SDIS que circula con una periodicidad semanal.</t>
  </si>
  <si>
    <t>Mensualmente el responsable en el área de nómina, continúa con la verificación del listado de personas posesionadas y/o desvinculadas, de acuerdo con el listado y soportes suministrados por el área funcional de administración de personal. 
Se anexa base de datos cruzada, que corresponde al listado de servidores que ingresaron (ver Hoja Ingresos) y los servidores que se retiraron (ver Hoja Retiros), de la entidad, versus las afiliaciones o desafiliaciones realizadas correspondientes a los meses de octubre, noviembre y diciembre de 2022</t>
  </si>
  <si>
    <t xml:space="preserve">10/1/2023
No se generan observaciones o sugerencias para el periodo de reporte.
La evaluación de controles se encuentra disponible en: https://sig.sdis.gov.co/index.php/es/gestion-de-talento-humano-riesgos
</t>
  </si>
  <si>
    <t>El líder de infraestructura presenta el cuarto informe del resultado del seguimiento y monitoreo trimestral al estado de la infraestructura y servicios tecnológicos de la Entidad administrados por la Subdirección de Investigación e información, donde se evidencia que en los servicios de base de datos se han aplicado las mejores prácticas para una administración eficiente y como resultado se confirma que se ha mantenido una disponibilidad del 100% en servidores, almacenamiento, telefonía, canales de comunicación, ofimática, licenciamiento, redes LAN, base de datos y seguridad perimetral, por otro lado, se evidencian los mantenimientos que fueron realizados durando el periodo reportado y los incidentes presentados. A su vez, se realizaron continuas visitas a Unidades Operativas con canal MPLS, lo que permite identificar y dar solución a requerimientos a nivel de red y de infraestructura en general.</t>
  </si>
  <si>
    <t>14/01/2023
No se generan observaciones respecto a los avances y evidencias presentados en el monitoreo al riesgo de gestión.</t>
  </si>
  <si>
    <t>El líder de mesa de servicios presenta el cuarto informe del seguimiento que se hace trimestralmente a las estrategias de divulgación  y apropiación del punto único de contacto y los canales de la mesa de servicio, en el cual se relacionan las acciones dirigidas al fortalecimiento de los canales de atención de la Mesa de Servicios y todas aquellas encaminadas a la disminución de solicitudes de productos y servicios relacionados con TI a través de dichos canales, desde donde se puede realizar una medición del nivel de efectividad de las estrategias realizadas durante este periodo y de ser necesario tener un punto de partida para emprender mejoras que apunten a la calidad de la oferta de servicios desde la Subdirección de Investigación e Información.</t>
  </si>
  <si>
    <t>Definir e implementar las actividades de mejora, de conformidad con el estado del proceso.</t>
  </si>
  <si>
    <t>1. Incremento generalizado en los casos de crímenes, vandalismo o ataques cibernéticos a la Entidad.</t>
  </si>
  <si>
    <t>Posibilidad de la perdida de información de registros financieros, documentos críticos, información contable, registro de beneficiarios, daño en los sistemas y/o vulneración de los mismos, debido a la falta de preparación tecnológica ante un incidente que pueda provocar un desastre o evento catastrófico que impida a la entidad llevar a cabo sus procesos esenciales y misionales lo que puede generar  afectación en los servicios de atención a usuarios internos y externos.</t>
  </si>
  <si>
    <t>El funcionario o contratista encargado de ejecutar las actividades de Oficial de Seguridad de la Información realizará seguimiento trimestral a los lineamientos definidos frente a la gestión de vulnerabilidades en el Plan de Seguridad y Privacidad de la Información. En caso tal de que el Oficial de Seguridad de la Información no haga el seguimiento este será realizado por el profesional de seguridad en apoyo a la gestión. 
Evidencia: Informe de seguimiento al Plan de Seguridad y Privacidad de la Información.</t>
  </si>
  <si>
    <t>Oficial de Seguridad de la Información</t>
  </si>
  <si>
    <t>Informe de Seguimiento al Plan de Seguridad y Privacidad de la Información</t>
  </si>
  <si>
    <t>Riesgo oficializado el 03/10/2022.</t>
  </si>
  <si>
    <t>El Oficial de Seguridad de la Información realizó seguimiento trimestral a los lineamientos definidos frente a la gestión de vulnerabilidades en el Plan de Seguridad y Privacidad de la Información. 
Evidencia: Informe de seguimiento al Plan de Seguridad y Privacidad de la Información.</t>
  </si>
  <si>
    <t>2. Malos manejos en los equipos y sistemas de la entidad por parte de servidores públicos de la  SDIS.</t>
  </si>
  <si>
    <t>El funcionario o contratista encargado de infraestructura trimestralmente realizará seguimiento al correcto uso del espacio asignado en la nube a las dependencias de la Entidad, en caso de que el funcionario o contratista encargado de infraestructura no realice el seguimiento, será realizado por el profesional de apoyo a la gestión del equipo de infraestructura. 
Evidencia: Informe del seguimiento al correcto uso del espacio asignado en la nube.</t>
  </si>
  <si>
    <t xml:space="preserve">Líder de infraestructura </t>
  </si>
  <si>
    <t>Informe del seguimiento al correcto uso del espacio asignado en la nube.</t>
  </si>
  <si>
    <t>El Líder de infraestructura realizó seguimiento trimestral al correcto uso del espacio asignado en la nube a las dependencias de la Entidad.
Evidencia: Informe del seguimiento al correcto uso del espacio asignado en la nube.</t>
  </si>
  <si>
    <t>3. Desconocimiento de normatividad vigente en relación con la seguridad de la información de la SDIS.</t>
  </si>
  <si>
    <t>Los funcionarios o contratistas encargados de ejecutar las actividades de Oficial de Seguridad y Líder de Infraestructura cada vez que sea requerido, actualizaran los lineamientos definidos frente a la implementación del DRP tecnológico de la entidad en el Plan de recuperación de desastres tecnológico a cargo de la Subdirección de Investigación e Información. En caso tal de que el Oficial de Seguridad y Líder de infraestructura no realicen la actualización a los lineamientos, será realizado por el profesional de seguridad en apoyo a la gestión. 
Evidencia: Plan de recuperación de desastres tecnológico de la entidad actualizado.</t>
  </si>
  <si>
    <t>Líder de infraestructura y Oficial de Seguridad de la Información</t>
  </si>
  <si>
    <t>Plan de recuperación de desastres tecnológico de la entidad actualizado.</t>
  </si>
  <si>
    <t>El Oficial de Seguridad y Líder de Infraestructura realizaron la actualización a los lineamientos definidos frente a la implementación del DRP tecnológico de la entidad en el Plan de recuperación de desastres tecnológico.
Evidencia: Plan de recuperación de desastres tecnológico de la entidad actualizado.</t>
  </si>
  <si>
    <t>Desde el equipo de liquidaciones, se enviaron correos de alerta a los ordenadores del gasto y supervisores asi:  durante el mes de octubre: 31 alertas programadas, en el mes de noviembre 40 alertas programas y en diciembre 39 alertas programadas, dando cumplimiento a las alertas tempranas realizadas como estrategia para que la entidad realice la solicitud de liquidación en los tiempos establecidos, con la documentación pertinente, completa y que el informe final de supervisión, contenga los aspectos: técnicos, legales y financieros completos, que permitan establecer los términos definitivos y reales de la liquidación de los contratos y convenios</t>
  </si>
  <si>
    <t>10/01/2023. Se recomienda precisar la cantidad de alertas enviadas respecto a la cantidad programada en el periodo, según lo definido en el indicador (columna V).
14/01/2023 No se generan observaciones o recomendaciones respecto a los avances y evidencias presentados en el monitoreo al riesgo de gestión.</t>
  </si>
  <si>
    <t xml:space="preserve">La Subdirección de Contratación realizó las 2 socializaciones del instructivo de supervisión programadas para la vigencia en los trimestres anteriores, manteniéndose el nivel de avance en 100%. </t>
  </si>
  <si>
    <t>10/01/2023. La acción reportada corresponde al tercer trimestre y la misma ya fue reportada dentro de tal periodo. Si la actividad de control fue cumplida en su totalidad en un periodo anterior, se debe describir de tal forma, manteniendo el avance ya logrado.
14/01/2023 No se generan observaciones o recomendaciones respecto a los avances y evidencias presentados en el monitoreo al riesgo de gestión.</t>
  </si>
  <si>
    <t>Durante el cuarto trimestre (octubre noviembre y diciembre) del 2022, se radicaron a la Subdirección de Contratación de un total de 44 procesos iniciales, de los cuales 33 han surtido el trámite completo, es decir se les realizó el correspondiente control de legalidad, lo que significa una revisión integral de todos los documentos del proceso, entre los cuales se encuentra la matriz de riesgo, es de anotar, que los 33 trámites fueron estudiados y aprobados por el comité de contratación y posteriormente la subdirección de contratación efectuó su trámite final en la plataforma de SECOP II, así las cosas, se tiene como resultado un 100% de matrices revisadas en el marco del control de legalidad.
Los contratos devueltos, no fueron tramitados por lo cual fueron devueltos, mitigando completamente que un proceso sea adelantado sin contar con el lleno de los requisitos entre los cuales esta contar con Matriz de riesgo debidamente revisada y firmada por el supervisor correspondiente.</t>
  </si>
  <si>
    <t>10/01/2023 No se generan observaciones respecto al cumplimiento y evidencias presentados en el monitoreo al riesgo de gestión. 
Adicionalmente, se recomienda tener en cuenta los cambios en la ejecución de la actividad de control, además de lo establecido en el procedimiento Administración de riesgos previsibles inherentes a la compra o contratación de bienes o servicios PCD-GEC-007, con el fin de que los ajustes requeridos sean incorporados en la actualización al riesgo para la vigencia 2023.</t>
  </si>
  <si>
    <t>Realizar la estructura del proceso según su modalidad contractual</t>
  </si>
  <si>
    <t>R-GEC-004</t>
  </si>
  <si>
    <t>Insuficiente apropiación de las directrices del proceso de gestión contractual por parte de los  equipos que apoyan la gestión contractual en cada dependencia</t>
  </si>
  <si>
    <t xml:space="preserve">Posibilidad de no adquirir los bienes y servicios requeridos por la entidad por errores (fallas o deficiencias) en los tramites contractuales requeridos para la suscripción de los contratos por retrasos, inconsistencias u omisiones </t>
  </si>
  <si>
    <t xml:space="preserve">El (los) profesional (es) designado por el (la)  Subdirector (a) de Contratación, cada vez que se actualiza algún procedimiento socializa las directrices con los enlaces de contratación mediante comunicación oficial o jornadas de socialización con el propósito de divulgar los cambios realizados. Si no se realiza la socialización oportuna, se realizará una socialización masiva cada 3 meses. Como evidencia se deja registro de las comunicaciones o jornadas de sensibilización. </t>
  </si>
  <si>
    <t>El (los) profesional (es) designado por el (la)  Subdirector (a) de Contratación.</t>
  </si>
  <si>
    <t xml:space="preserve">(Numero de socializaciones realizadas a las actualizaciones de los documentos, asociados al proceso Gestión Contractual / Numero de socializaciones programas a las actualizaciones de los documentos, asociados al proceso Gestión Contractual) * 100. </t>
  </si>
  <si>
    <t>Riesgos oficializados el 03/10/2022.</t>
  </si>
  <si>
    <t xml:space="preserve">
En el ultimo trimestre del año, se actualizaron los siguientes procedimientos:
PCD-GEC-001 Procedimiento Contratación de prestación de servicios profesionales y/o apoyo a la gestión el 13 de octubre 2022, se realizó la socialización mediante reunión por teams el día 9 de noviembre. De igual manera, se actualizaron los documentos y se socializaron mediante correo electrónico a los interesados: 
PCD-GEC-003 Procedimiento Contratación directa  y PCD-GEC-004 Procedimiento Donaciones, fueron socializados mediante correo electrónico masivo el 13 de enero 2023.
Como evidencia se deja registro de las socializaciones. </t>
  </si>
  <si>
    <t>10/01/2023. Se debe realizar el monitoreo del riesgo y reporte de cumplimiento de las acciones como fueron diseñadas para ejecutar en el periodo entre el 03/10/2022 y el 31/12/2022.
14/01/2023 No se generan observaciones o recomendaciones respecto a los avances y evidencias presentados en el monitoreo al riesgo de gestión.</t>
  </si>
  <si>
    <t xml:space="preserve">Debilidades en la oportuna actualización de los documentación del proceso Gestión Contractual.
</t>
  </si>
  <si>
    <t xml:space="preserve">El profesional designado por el (la) Subdirector (a) de Contratación, cada vez que un procedimiento cumple un año de vigencia realiza la autoevaluación, para identificar si es necesario mantener, actualizar o derogar. Si no realiza la autoevaluación, se estructura un plan de acción como resultado de la carta de alerta generada por el equipo del SG-SDES. Como evidencia queda el registro de las autoevaluaciones o el plan de acción resultado de la carta de alerta. </t>
  </si>
  <si>
    <t xml:space="preserve">El (los) profesional (es) designado por el (la)  Subdirector (a) de Contratación  
</t>
  </si>
  <si>
    <t xml:space="preserve">(Numero de autoevaluaciones realizadas a los procedimientos del proceso de Gestión Contractual, con ultima revisión igual o superior a un año  / Numero procedimientos del proceso de Gestión Contractual, con ultima revisión igual o superior a un año) * 100
Nota: Para el tercer periodo del 2022, se estima hacer 3 autoevaluaciones de procedimientos. </t>
  </si>
  <si>
    <t>Teniendo en cuenta que la meta para este trimestre se tenía programado la actualización de 3 procedimientos, la Subdirección de Contratación, realizó una autoevaluación interna en donde se analizó la pertinencia y vigencia de 5 procedimientos y como consecuencia se realizó la actualización de los siguientes documentos: PCD-GEC-001 Procedimiento Contratación de prestación de servicios profesionales y/o apoyo a la gestión, PCD-GEC-003 Procedimiento Contratación directa PCD-GEC-004 Procedimiento Donaciones; además de la derogación de los procedimientos de arrendamiento y comodato.</t>
  </si>
  <si>
    <t>Para el 4to trimestre el área de presupuesto ha realizado 19 cargues de CDPS masivos, que corresponden a 8 en el mes deo ctubre, 8 en el mes de noviembre y 3 para el mes de diciembre, los cuales fueron validados en los aplicativos de BogData y Seven, verificando que la información haya quedado incorporada en su totalidad en las herramientas financieras.</t>
  </si>
  <si>
    <t xml:space="preserve">14/01/2023. No se presentan observaciones al reporte y evidencias enviados. </t>
  </si>
  <si>
    <t>Para el 4to trimestre el área de presupuesto tramitó 6.810 documentos (CDPS y CRPS), discriminados así: en el mes de octubre 1.305, noviembre 1947 y diciembre 3.558, los cuales fueron revisados en su totalidad y cuyos resultados se encuentran en las evidencias adjuntas.</t>
  </si>
  <si>
    <t>Para el 4to trimestre el área de presupuesto ha realizado los cierres mensuales de CRPS y CDPS, cuyas diferencias han sido conciliadas y ajustadas oportunamente con el área correspondiente.
De las 6 conciliaciones programadas en el trimestre, estas fueron realizadas en su totalidad, cuyos resultados se encuentran en las evidencias adjuntas.</t>
  </si>
  <si>
    <t>Para el 4to trimestre el área de contabilidad ha programado la elaboración de 46 conciliaciones de las cuales se logró efectuar 46 quedando en el 100% de las conciliaciones durante el trimestre.
De esta manera, teniendo en cuenta las conciliaciones que no fue posible realizar en periodos anteriores por los motivos informados, para el acumulado del año la actividad de control logra un cumplimiento del 97%.</t>
  </si>
  <si>
    <t>La Subdirección de Plantas Físicas, durante el trimestre programó y ejecutó una (1) reunión de socialización del avance físico y presupuestal con corte a los meses de septiembre, octubre y noviembre de 2022, realizada con la subdirectora y los coordinadores de la Subdirección de Plantas Físicas, en donde se adelantó la revisión integral del estado de avance de ejecución presupuestal del proyecto de inversión 7565 en lo corrido de la vigencia 2022 (vigencia, reservas y pasivos), de la cual se adjunta evidencia, dando así cumplimiento a lo establecido en la acción de control.
Evidencias:
Informe ejecución de proyecto de inversión con corte a septiembre, octubre y noviembre 2022 en documento power point.
Actas de reunión realizada con corte septiembre, octubre y noviembre de 2022, correspondiente al avance de ejecución del proyecto de inversión.</t>
  </si>
  <si>
    <t>17/01/2023 No se generan observaciones o recomendaciones  respecto a los avances y evidencias presentados en el monitoreo al riesgo de gestión.
La evaluación de controles se encuentra disponible en: https://sig.sdis.gov.co/index.php/es/gestion-de-infraestructura-fisica-riesgos</t>
  </si>
  <si>
    <t>Se elaboró y ejecutó el cronograma de intervención para 70 equipamientos administrados por la SDIS priorizados para el cuarto trimestre del año 2022, en modalidad de intervención en mantenimiento preventivo y correctivo de infraestructura.
Evidencia:
Cronograma de intervenciones de mantenimiento por localidades, correspondiente al cuarto trimestre del año 2022, el cual contiene información de fecha de intervención, actividades y profesional a cargo</t>
  </si>
  <si>
    <t>Realizar seguimiento de la ejecución de contratos de obras y mantenimiento (obras nuevas, reforzamiento estructural, modificación o ampliación, intervenciones de mantenimiento a la infraestructura).</t>
  </si>
  <si>
    <t>R-GIF-003</t>
  </si>
  <si>
    <t>Ocurrencia de inundaciones, tormentas, temblores, terremotos, incendios, actos vandálicos o violentos, y/o actos terroristas de alto impacto en equipamientos administrados por la entidad. Así como, el incumplimiento de la normatividad aplicable a infraestructura que genere sellamiento de equipamientos o el deterioro de los equipamientos por uso y falta de mantenimiento.</t>
  </si>
  <si>
    <t>Posibilidad de la destrucción total o parcial de los equipamientos de la entidad, por factores externos como la ocurrencia de un evento de alto impacto de carácter natural, ambiental o normativo, repercutiendo en la continuidad de su operación.</t>
  </si>
  <si>
    <t>La Subdirección de Plantas Físicas a través del equipo de optimización y mantenimiento de infraestructura, adelantará anualmente la implementación de acciones de mantenimiento y prevención de riesgos en los equipamientos administrados por la entidad, con el fin de proporcionar infraestructura adecuada que garantice la operación continua de la entidad. Como registro queda la matriz de intervenciones de mantenimiento realizados.
En caso de evidenciar observaciones, desviaciones o diferencias se realizará la priorización de intervenciones integrales a los equipamientos identificados, a través de contratos de obra de optimización de infraestructura conforme a lo establecido en el procedimiento de Mantenimiento de infraestructura (PCD-GIF-002). Como registro quedarán las actas de entrega a satisfacción.</t>
  </si>
  <si>
    <t>Equipo de optimización y mantenimiento de infraestructura de la Subdirección de Plantas Físicas</t>
  </si>
  <si>
    <t>(N° de equipamientos intervenidos / N° de equipamientos susceptibles de intervenir) *100</t>
  </si>
  <si>
    <t>Se alimentó la matriz de intervenciones de mantenimiento según mantenimientos ejecutados durante el ultimo trimestre del año.
Evidencia:
Matriz de mantenimiento IV trimestre 2022.</t>
  </si>
  <si>
    <t>17/01/2023 No se generan observaciones respecto a los avances y evidencias presentados en el monitoreo al riesgo de gestión. Para la próxima vigencia se sugiere relacionar el avance en los términos del criterio de medición, es decir, en términos de equipamientos intervenidos bien sea para el total del trimestre o diferenciado por mes.
La evaluación de controles se encuentra disponible en: https://sig.sdis.gov.co/index.php/es/gestion-de-infraestructura-fisica-riesgos</t>
  </si>
  <si>
    <t>Falta de reforzamiento estructural a infraestructura de equipamientos</t>
  </si>
  <si>
    <t>La Subdirección de Plantas Físicas, prioriza las intervenciones en la modalidad de reforzamiento estructural y/o restitución de la infraestructura de los equipamientos administrados por la entidad de acuerdo a la necesidad, los recursos asignados y disponibles del proyecto de inversión que lidera la dependencia. Como registro queda el Certificado de Disponibilidad Presupuestal con el cual se adelantará la consultoría para los estudios, diseños y trámite de licencia de construcción según recursos disponibles en el proyecto de inversión. 
En caso de que no sean identificados equipamientos y/o priorizados los recursos, se realizarán las alertas correspondientes al equipo de coordinación y al(a) Subdirector(a) en las mesas de socialización del estado de avance físico y presupuestal del proyecto de inversión, como evidencia quedará el o las actas de reunión.</t>
  </si>
  <si>
    <t>(N° de CDP emitidos / N° de CDP solicitados) *100</t>
  </si>
  <si>
    <t>Teniendo en cuenta que la programación para realizar  la consultoría para los estudios, diseños y trámite de licencia de construcción según recursos disponibles en el proyecto de inversión se realiza anualmente, para el periodo señalado no se han generado Certificado de Disponibilidad Presupuestal.</t>
  </si>
  <si>
    <t>17/01/2023 No se generan observaciones o recomendaciones  respecto a los avances y evidencias presentados en el monitoreo al riesgo de gestión. Se ajustan los porcentajes de avance, que no pueden ser del 100% toda vez que la actividad no se ha ejecutado de acuerdo con la programación del proyecto de inversión.
La evaluación de controles se encuentra disponible en: https://sig.sdis.gov.co/index.php/es/gestion-de-infraestructura-fisica-riesgos</t>
  </si>
  <si>
    <t>Acción cumplida en el trimestre anterior</t>
  </si>
  <si>
    <t>17/01/2023. No se generan observaciones por parte de la segunda línea de defensa, respecto a los avances y evidencias presentados en el monitoreo al riesgo de gestión.
La evaluación de controles se encuentra disponible en: https://sig.sdis.gov.co/index.php/es/gestion-ambiental-riesgos</t>
  </si>
  <si>
    <t>Se remite la matriz de inclusión de cláusulas ambientales del Cuarto trimestre del año, en la cual se informa por mes las cláusulas incluidas en los procesos precontractuales, de conformidad con las solicitudes realizadas al equipo de gestión ambiental. Adicionalmente, se remiten cada uno de los correos electrónicos de solicitud y respuesta de la inclusión de las cláusulas ambientales y los anexos técnicos y/o estudios previos. Es importante resaltar que las cláusulas ambientales incluidas como soportes de la ejecución del control de este riesgo, aplican para el manejo integral de los residuos aprovechables en los diferentes procesos precontractuales.
Es importante resaltar que a la fecha de reporte se le ha dado respuesta al 100% de solicitudes de inclusión de cláusulas ambientales.</t>
  </si>
  <si>
    <t>Se remite la matriz de inclusión de cláusulas ambientales del cuarto trimestre del año, en la cual se informa por mes las cláusulas incluidas en los procesos precontractuales, de conformidad con las solicitudes realizadas al equipo de gestión ambiental. Adicionalmente, se remiten cada uno de los correos electrónicos de solicitud y respuesta de la inclusión de las cláusulas ambientales y los anexos técnicos y/o estudios previos. Es importante resaltar que las cláusulas ambientales incluidas como soportes de la ejecución del control de este riesgo, aplican para la sustitución, cambio y/o uso de material reciclable por no aprovechable en los diferentes procesos precontractuales.
Es importante resaltar que a la fecha de reporte se le ha dado respuesta al 100% de solicitudes de inclusión de cláusulas ambientales.</t>
  </si>
  <si>
    <t>Se remite una pieza en el cual se comunica a las diferentes dependencias el proceso para la inclusión de obligaciones ambientales bajo la implementación del manual de compras verdes, otra pieza comunicando el proceso de verificación del cumplimiento de las obligaciones ambientales y un video de las generalidades de las compras publicas sostenibles.
Es importante resaltar que se estableció como mecanismo de comunicación para la vigencia, el envío de tres productos: un memorando, una pieza informativa por correo masivo y el envío de un video.</t>
  </si>
  <si>
    <t>Se remite la matriz de inclusión de cláusulas ambientales del cuarto trimestre del año, en la cual se informa por mes las cláusulas incluidas en los procesos precontractuales, de conformidad con las solicitudes realizadas al equipo de gestión ambiental. Adicionalmente, se remiten cada uno de los correos electrónicos de solicitud y respuesta de la inclusión de las cláusulas ambientales y los anexos técnicos y/o estudios previos. Es importante resaltar que las cláusulas ambientales incluidas como soportes de la ejecución del control de este riesgo aplican para el manejo integral de los residuos hospitalarios, peligrosos y especiales en los diferentes procesos precontractuales.
Es importante resaltar que a la fecha de reporte se le ha dado respuesta al 100% de solicitudes de inclusión de cláusulas ambientales.</t>
  </si>
  <si>
    <t>Se remiten las dos matrices correspondientes al segundo seguimiento a la implementación de la gestión, manejo y disposición de colchones y colchonetas y del Instructivos de Residuos de Construcción y Demolición en las diferentes unidades operativas a las cuales les aplica el cumplimiento.</t>
  </si>
  <si>
    <t>Se remite la matriz de inclusión de cláusulas ambientales del cuarto trimestre del año, en la cual se informa por mes las cláusulas incluidas en los procesos precontractuales, de conformidad a las solicitudes realizadas al equipo de gestión ambiental. Adicionalmente, se remiten cada uno de los correos electrónicos de solicitud y respuesta de la inclusión de las cláusulas ambientales y los anexos técnicos y/o estudios previos. Es importante resaltar que las cláusulas ambientales incluidas como soportes de la ejecución del control de este riesgo, aplican para el control y manejo integral a la generación de emisiones atmosféricas, ruido y vertimientos en los diferentes procesos precontractuales.
Es importante resaltar que a la fecha de reporte se le ha dado respuesta al 100% de solicitudes de inclusión de cláusulas ambientales.</t>
  </si>
  <si>
    <t>17/01/2023. No se generan observaciones por parte de la segunda línea de defensa, respecto a los avances y evidencias presentados en el monitoreo al riesgo de gestión.</t>
  </si>
  <si>
    <t>Se remiten las dos matrices (una para calderas y calderines y la otra para plantas eléctricas) correspondientes al segundo seguimiento a los procesos de mantenimiento preventivo para los equipos y elementos que generan emisiones atmosféricas que se encuentran en las diferentes unidades operativas a las cuales les aplica.</t>
  </si>
  <si>
    <t>Se remite la matriz de inclusión de cláusulas ambientales del Cuarto trimestre del año, en la cual se informa por mes las cláusulas incluidas en los procesos precontractuales, de conformidad a las solicitudes realizadas al equipo de gestión ambiental. Adicionalmente, se remiten cada uno de los correos electrónicos de solicitud y respuesta de la inclusión de las cláusulas ambientales y los anexos técnicos y/o estudios previos. Es importante resaltar que las cláusulas ambientales incluidas como soportes de la ejecución del control de este riesgo, aplican para el manejo y control de la Publicidad Exterior Visual (PEV) en los diferentes procesos precontractuales.
Es importante resaltar que a la fecha de reporte se le ha dado respuesta al 100% de solicitudes de inclusión de cláusulas ambientales.</t>
  </si>
  <si>
    <t>Se remite la matriz correspondiente al segundo seguimiento a la implementación, control y manejo del cumplimiento normativo de la Publicidad Exterior Visual de la unidades operativas de la SDIS que cuentan con avisos con la información de la prestación del servicio social ofrecido.</t>
  </si>
  <si>
    <t>Se remite la matriz con el consolidado del seguimiento al cumplimiento de las actividades del segundo semestre del año, de los Programa uso eficiente del agua y uso eficiente de la energía bajo el formato plan de acción anual del PIGA reportado a la SDA.
Los resultados obtenidos son los de la implementación de las actividades del plan de acción y se remite certificado que soporta el envió y cumplimiento.
Es importante resaltar que se tiene un promedio del cumplimiento de100%  de las actividades del año, se cumplieron un total de 17 actividades programadas.</t>
  </si>
  <si>
    <t>Se remite la matriz de inclusión de cláusulas ambientales del cuarto trimestre del año, en la cual se informa por mes las cláusulas incluidas en los procesos precontractuales, de conformidad a las solicitudes realizadas al equipo de gestión ambiental. Adicionalmente, se remiten cada uno de los correos electrónicos de solicitud y respuesta de la inclusión de las cláusulas ambientales y los anexos técnicos y/o estudios previos. Es importante resaltar que las cláusulas ambientales incluidas como soportes de la ejecución del control de este riesgo, aplican para el uso eficiente y óptimo del agua y la energía en los diferentes procesos precontractuales.
Es importante resaltar que a la fecha de reporte se le ha dado respuesta al 100% de solicitudes de inclusión de cláusulas ambientales.</t>
  </si>
  <si>
    <t>Para el último trimestre del año 2022 se logró adjudicar el proceso de contratación de cajas, ganchos y carpetas a través del contrato  No 9427/2022 con la empresa Unión Temporal Vimel de Colombia en las siguientes cantidades:
Cajas: 61075 
Carpetas: 117801
Ganchos: 117801
Para el cálculo del cumplimiento de la acción se consideró las necesidades identificadas en el diagnóstico 2021 (documento anexo). Dado lo anterior, el porcentaje de cumplimiento corresponde a un  40%, el cual se calculó de la siguiente manera:
%=(((QCa/QCr)+(QKa/QKr)+(QGa/QGr))/3)*100)
Donde:
QCa: Cantidad de Cajas adquiridas - 61075
QCr: Cantidad de Cajas requeridas - 96126
QKa: Cantidad de Carpetas adquiridas - 117801
QKr: Cantidad de Carpetas requeridas - 410610
QGa: Cantidad de ganchos adquiridos - 117801
QGr: Cantidad de ganchos requeridos - 423590</t>
  </si>
  <si>
    <t>15/01/2023. No se generan observaciones por parte de la segunda línea de defensa, respecto a los avances  presentados en el cuarto monitoreo al riesgo de gestión.
Se recomienda analizar los resultados obtenidos en la ejecución de la actividad, con el fin de realizar los ajustes pertinentes al diseño y la meta, para asegurar el cumplimiento al 100% en la siguiente vigencia (2023).</t>
  </si>
  <si>
    <t>Para el último trimestre del año se elaboró el diagnóstico de necesidades de insumos de archivo el cual se proyecta presentar a la Dirección Corporativa durante el 2023 para que sea considerado en la ampliación del presupuesto 2024, teniendo en cuenta que el presupuesto del año 2023 ya está aprobado.
Dado lo anterior, se realizaron campañas de sensibilización de racionalización de insumos de archivo a través de dos(2) sesiones de la Mesa Operativa 5 del SIGA con el objetivo de transmitir a los referentes y designados documentales la importancia de optimizar las cajas, ganchos y carpetas en los archivos de gestión.</t>
  </si>
  <si>
    <t>15/01/2023. No se generan observaciones por parte de la segunda línea de defensa, respecto a los avances  presentados en el cuarto monitoreo al riesgo de gestión.</t>
  </si>
  <si>
    <t>Para el último trimestre del año 2022 se realizaron dos sesiones de la mesa operativa 5 del SIGA que se realizaron los días 05 y 12 de diciembre, a través de la cual se socializaron los siguientes temas estratégicos del proceso de gestión documental:
1. Optimización de Recursos
2. Resolución 472 del 2021
3. Formato Hoja de Control
4. Formato Único de Inventario Documental FUID
5. Tabla de Retención Documental
6. Plan de Transferencias Documentales Primarias
7. Eliminación Documental
8. Monitoreo de Condiciones Ambientales en los depósitos
9. Instructivo para la Conformación, Organización y Administración de Expedientes Contractuales
10. Procedimiento de Administración de las Comunicaciones Oficiales.
Dado lo anterior, se logra determinar el cumplimiento al 100% de la meta definida para esta actividad.</t>
  </si>
  <si>
    <t>Para el último trimestre del año 2022 se realizaron 2 sesiones de la Mesa Operativa 5 del SIGA los días 05 y 12 de diciembre, a través de las cuales se recordó a los Referentes y Designados Documentales sus funciones acorde con la Resolución 472 de abril de 2021. (ver en el acta el numeral 2 del desarrollo de la sesión).</t>
  </si>
  <si>
    <t>El equipo archivista que realiza las visitas a los archivos de gestión, realizó la consolidación de la información de contacto de los referentes y designados documentales a través de correos  electrónicos o por llamadas telefónicas</t>
  </si>
  <si>
    <t>El grupo de almacén e inventarios consolido y remitió  entrega de 290 pruebas representativas de inventario  correspondientes al cuarto trimestre del año 2022, dando cumplimiento al 100% en el trimestre.
Como evidencia se anexan pruebas representativas realizadas durante el periodo.</t>
  </si>
  <si>
    <t>Durante el cuarto trimestre se recibieron 1804 solicitudes, las cuales fueron atendidas en su totalidad (100%), Así mismo el grupo de inventarios ha realizado los seguimientos pertinentes para que la información registrada en los aplicativos de la entidad sea coherente al momento de realizar las tomas físicas y los cruces contables.
Como evidencia se adjuntan reportes de traslados gestionados en el periodo</t>
  </si>
  <si>
    <t>Durante el cuarto trimestre se realizaron dos socializaciones:
- El día 26 de octubre sobre los temas de mantenimiento producto de la gestión de inventarios de la SDIS.
- El día 24 de noviembre se realizó una reunión y socialización del cierre de vigencia 2022.
A pesar de que la meta ya se cumplió al 100% en el trimestre anterior, desde el Grupo de Inventarios y Almacén se fortalece el buen uso de los bienes por parte de los funcionarios y contratistas de la SDIS. Se adjunta carpeta compartida de soporte</t>
  </si>
  <si>
    <t>Durante el cuarto trimestre fueron recibidas 9 actas que dan cuenta de la inclusión y la exclusión de los predios en la entidad, correspondiendo al cuarto seguimiento programado (100%). A partir de estos insumos fueron actualizadas las bases de datos de servicios públicos.
Como evidencia se anexan bases de datos de servicios públicos actualizadas y actas de inclusión y exclusión</t>
  </si>
  <si>
    <t>Durante el cuarto trimestre del presente año, la Oficina jurídica, recibió las matrices de los 20 procesos de la Entidad.
La administradora del procedimiento de Requisitos legales y otros aplicables, consolido en una sola matriz los 20 procesos con su respectiva normativa y realizó la evaluación de cada una de las matrices o procesos de los requisitos legales de la Entidad, correspondiente la vigencia del segundo semestre del presente año.
El 16 de diciembre de 2022, en la página web de la Entidad, queda publicada la matriz con la respectiva autoevaluación de los requisitos legales. 
https://www.integracionsocial.gov.co/index.php/regimen-legal/documentos/requisitos-legales-de-la-entidad-por-procesos
Se adjunta como evidencia la matriz de la evaluación del segundo semestre de 2022 y el pantallazo de la publicación en la pagina web de la Entidad.</t>
  </si>
  <si>
    <t>10/01/2023
 No se generan observaciones ni sugerencias frente al periodo de reporte.
La evaluación de controles se encuentra disponible en: https://sig.sdis.gov.co/index.php/es/gestion-juridica-riesgos</t>
  </si>
  <si>
    <t xml:space="preserve">En el cuarto trimestre del año 2022,  la Oficina Jurídica remite el 06 de diciembre del presente año, un memorando a los Jefes Oficinas Asesoras, Subsecretaria, Dirección Gestión Corporativa, Dirección de Análisis y Diseño Estratégico, Dirección Territorial, Dirección Poblacional, Dirección de Nutrición y Abastecimiento, Dirección para inclusión y las familias,  haciendo las respectivas recomendaciones para la prevención del daño antijurídico y con el fin de generar una adecuada articulación entre la Oficina Jurídica y las áreas técnicas.
Se adjunta como evidencia  el respectivo memorando.
</t>
  </si>
  <si>
    <t>Para el cuarto trimestre, en el plan de acción del SG no se contempla la realización de inducciones teniendo en cuenta el cumplimiento de actividades propias del cierre de vigencia; sin embargo, con el fin de suministrar los conceptos y elementos mínimos requeridos para el desarrollo del rol, mediante el envío de los recursos disponibles en el módulo del SG, se realizó la inducción al SG a los cuatro (4) gestores designados, así:
* El 27 de octubre: Subdirección para la Gestión Integral Local 
* El 2 de noviembre: Subdirección Local de Puente Aranda y Antonio Nariño
* El 21 de noviembre: Subdirección Local de Bosa.
* El 9 de diciembre: Subdirección Local Usme-Sumapaz.
En este sentido, de manera acumulada durante el año 2022 se realizó inducción a 78 gestores designados para los procesos y dependencias.
Como evidencia se presenta el Directorio de gestores 2022, con la relación de gestores y fechas en que fue recibida la designación, además de los registros de los correos de inducción enviados.</t>
  </si>
  <si>
    <t xml:space="preserve">17/01/2023
No se generan observaciones o recomendaciones respecto a los avances y evidencias presentados en el monitoreo al riesgo de gestión.
La evaluación de controles se encuentra disponible en: https://sig.sdis.gov.co/index.php/es/proceso-de-gestion-del-sistema-integrado-riesgos
</t>
  </si>
  <si>
    <t>La actividad de control se ejecuta una vez al año y la misma fue cumplida en el primer trimestre; adicionalmente, ante algunos cambios en los procesos y dependencias, el control se aplicó nuevamente en el tercer trimestre, con lo cual se mantiene un cumplimiento acumulado del 100% para la vigencia 2022.</t>
  </si>
  <si>
    <t>17/01/2023
No se generan observaciones o recomendaciones respecto a los avances y evidencias presentados en el monitoreo al riesgo de gestión.
La evaluación de controles se encuentra disponible en: https://sig.sdis.gov.co/index.php/es/proceso-de-gestion-del-sistema-integrado-riesgos</t>
  </si>
  <si>
    <t xml:space="preserve">Durante el cuarto trimestre el profesional de la OCI responsable de solicitar la publicación del plan de mejoramiento institucional (de origen interno), verificó la información consignada de acuerdo con lo establecido en el Procedimiento Seguimiento al Plan de Mejoramiento (PCD-AC-001) y a las instrucciones de diligenciamiento del Formato Registro y control del plan de mejoramiento (FOR-AC-001) dejando como registro, la emisión de tres (3) correos electrónicos de fechas: 10/10/2022, 10/11/2022 y 12/12/2022 a los profesionales de la OCI, informado el resultado de la verificación a la calidad y seguridad de la información. </t>
  </si>
  <si>
    <t>12/01/2023. No se generan observaciones por parte de la segunda línea de defensa, respecto a los avances y evidencias presentadas en el cuarto monitoreo al riesgo de gestión.</t>
  </si>
  <si>
    <t>Durante el cuarto trimestre del 2022, se llevo a cabo cuatro reuniones con los grupos internos de trabajo, donde se abordo: i) Identificación de estándares de calidad transversales componente de Ambientes Adecuados y Seguros ii)  Identificación de estándares de calidad transversales componente Nutrición y Salubridad; iii)  Identificación de estándares de calidad transversales componente de Pedagógico o especifico del servicio y iv) Revisión y socialización estándares técnicos transversales de calidad.
Evidencia: Actas de las reuniones realizadas</t>
  </si>
  <si>
    <t>18/01/2023. No se generan observaciones por parte de la segunda línea de defensa, respecto a los avances y evidencias presentados en el monitoreo al riesgo de gestión.
La evaluación de controles se encuentra disponible en: https://sig.sdis.gov.co/index.php/es/inspeccion-vigilancia-y-control-riesgos</t>
  </si>
  <si>
    <t>Durante el cuarto trimestre, se realizó la programación de visitas para los servicios de Educación Inicial, Persona Mayor, Centros Proteger, Hogar de paso para Habitantes de la Calle y Acuerdo 196; así como visitas para la verificación en la continuidad de la prestación de los servicios.
Se realizaron 9 cotejos de información en las bases de datos de programación y en los soportes generados en cada visita (las actas de la visita e IUV (físico), 3 para persona mayor (octubre, noviembre y diciembre) y 3 para educación inicial (octubre, noviembre y diciembre) 1 para hogares de paso de habitante de la calle y 1 para Centros Proteger y 1 acuerdo 196.
Se realizó la actualización de los archivos consolidados de visitas de los diferentes servicios sociales conforme con las visitas realizadas mensualmente.
Evidencia: copias de los archivos de consolidados de visitas de los servicios sociales visitados.</t>
  </si>
  <si>
    <t>18/01/2023. No se generan observaciones por parte de la segunda línea de defensa, respecto a los avances y evidencias presentados en el monitoreo al riesgo de gestión.
La evaluación de controles se encuentra disponible en: https://sig.sdis.gov.co/index.php/es/inspeccion-vigilancia-y-control-riesgos</t>
  </si>
  <si>
    <t>Durante el cuarto trimestre 2022, se trabajo conjuntamente con la ingeniera asignada por la Dirección de Análisis y Diseño Estratégico - DADE, en el empalme y revisión de las HU del nuevo SIRSS, se han llevado a cabo cinco reuniones sobre el aplicativo, una para iniciar ciclos de trabajo con el fin de contextualizar sobre el aplicativo y las necesidades proyectadas en las historias de usuario y para avanzar en el ajuste de las historias de usuarios conforme los nuevos requerimientos de cada servicio.
Durante el mes de octubre y noviembre se llevaron cinco reuniones; se adjuntan las ayudas de memoria como evidencia.</t>
  </si>
  <si>
    <t>Se realiza Backup del cuarto trimestre de las bases de IVC, de acuerdo con la recomendación de Sistemas, en: https://sdisgovco-my.sharepoint.com/personal/inspeccionyvigilanciadess_sdis_gov_co/_layouts/15/onedrive.aspx?login_hint=inspeccionyvigilanciadess%40sdis%2Egov%2Eco&amp;id=%2Fpersonal%2Finspeccionyvigilanciadess%5Fsdis%5Fgov%5Fco%2FDocuments%2FINFORMACI%C3%93N%20IVC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</si>
</sst>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3">
    <numFmt numFmtId="42" formatCode="_-&quot;$&quot;\ * #,##0_-;\-&quot;$&quot;\ * #,##0_-;_-&quot;$&quot;\ * &quot;-&quot;_-;_-@_-"/>
    <numFmt numFmtId="41" formatCode="_-* #,##0_-;\-* #,##0_-;_-* &quot;-&quot;_-;_-@_-"/>
    <numFmt numFmtId="43" formatCode="_-* #,##0.00_-;\-* #,##0.00_-;_-* &quot;-&quot;??_-;_-@_-"/>
    <numFmt numFmtId="164" formatCode="&quot;$&quot;#,##0_);[Red]\(&quot;$&quot;#,##0\)"/>
    <numFmt numFmtId="165" formatCode="_(* #,##0.00_);_(* \(#,##0.00\);_(* &quot;-&quot;??_);_(@_)"/>
    <numFmt numFmtId="166" formatCode="0.0%"/>
    <numFmt numFmtId="167" formatCode="0.0"/>
    <numFmt numFmtId="168" formatCode="0.0000"/>
    <numFmt numFmtId="169" formatCode="0.000"/>
    <numFmt numFmtId="170" formatCode="_-[$$-240A]\ * #,##0_-;\-[$$-240A]\ * #,##0_-;_-[$$-240A]\ * &quot;-&quot;??_-;_-@_-"/>
    <numFmt numFmtId="171" formatCode="#,##0.0"/>
    <numFmt numFmtId="172" formatCode="#,##0;[Red]#,##0"/>
    <numFmt numFmtId="173" formatCode="_-* #,##0_-;\-* #,##0_-;_-* &quot;-&quot;??_-;_-@_-"/>
  </numFmts>
  <fonts count="76" x14ac:knownFonts="1">
    <font>
      <sz val="11"/>
      <color theme="1"/>
      <name val="Calibri"/>
      <family val="2"/>
      <scheme val="minor"/>
    </font>
    <font>
      <sz val="11"/>
      <color theme="1"/>
      <name val="Calibri"/>
      <family val="2"/>
      <scheme val="minor"/>
    </font>
    <font>
      <sz val="12"/>
      <color theme="1"/>
      <name val="Calibri"/>
      <family val="2"/>
      <scheme val="minor"/>
    </font>
    <font>
      <sz val="10"/>
      <name val="Arial"/>
      <family val="2"/>
    </font>
    <font>
      <sz val="11"/>
      <color theme="1"/>
      <name val="Arial"/>
      <family val="2"/>
    </font>
    <font>
      <sz val="11"/>
      <name val="Arial"/>
      <family val="2"/>
    </font>
    <font>
      <sz val="9"/>
      <color theme="1"/>
      <name val="Arial"/>
      <family val="2"/>
    </font>
    <font>
      <b/>
      <sz val="9"/>
      <color theme="1"/>
      <name val="Arial"/>
      <family val="2"/>
    </font>
    <font>
      <b/>
      <sz val="9"/>
      <name val="Arial"/>
      <family val="2"/>
    </font>
    <font>
      <sz val="9"/>
      <name val="Arial"/>
      <family val="2"/>
    </font>
    <font>
      <sz val="11"/>
      <color rgb="FF9C5700"/>
      <name val="Calibri"/>
      <family val="2"/>
      <scheme val="minor"/>
    </font>
    <font>
      <i/>
      <sz val="11"/>
      <name val="Arial"/>
      <family val="2"/>
    </font>
    <font>
      <sz val="9"/>
      <color rgb="FF000000"/>
      <name val="Arial"/>
      <family val="2"/>
    </font>
    <font>
      <sz val="11"/>
      <color rgb="FF000000"/>
      <name val="Arial"/>
      <family val="2"/>
    </font>
    <font>
      <i/>
      <sz val="11"/>
      <color theme="1"/>
      <name val="Arial"/>
      <family val="2"/>
    </font>
    <font>
      <i/>
      <sz val="11"/>
      <color rgb="FF000000"/>
      <name val="Arial"/>
      <family val="2"/>
    </font>
    <font>
      <sz val="10"/>
      <name val="Arial"/>
      <family val="2"/>
    </font>
    <font>
      <sz val="11"/>
      <color indexed="8"/>
      <name val="Calibri"/>
      <family val="2"/>
    </font>
    <font>
      <sz val="11"/>
      <color theme="1"/>
      <name val="Comic Sans MS"/>
      <family val="2"/>
    </font>
    <font>
      <sz val="11"/>
      <color rgb="FF000000"/>
      <name val="Arial"/>
      <family val="2"/>
    </font>
    <font>
      <b/>
      <sz val="11"/>
      <name val="Arial"/>
      <family val="2"/>
    </font>
    <font>
      <sz val="11"/>
      <name val="Calibri"/>
      <family val="2"/>
    </font>
    <font>
      <b/>
      <sz val="11"/>
      <color rgb="FF000000"/>
      <name val="Arial"/>
      <family val="2"/>
    </font>
    <font>
      <sz val="11"/>
      <color rgb="FF305496"/>
      <name val="Arial"/>
      <family val="2"/>
    </font>
    <font>
      <sz val="10"/>
      <name val="Arial"/>
      <family val="2"/>
    </font>
    <font>
      <sz val="9"/>
      <color rgb="FF000000"/>
      <name val="Century Gothic"/>
      <family val="2"/>
    </font>
    <font>
      <b/>
      <sz val="9"/>
      <color rgb="FF000000"/>
      <name val="Century Gothic"/>
      <family val="2"/>
    </font>
    <font>
      <sz val="10"/>
      <name val="Arial"/>
      <family val="2"/>
    </font>
    <font>
      <sz val="11"/>
      <color rgb="FF006100"/>
      <name val="Calibri"/>
      <family val="2"/>
      <scheme val="minor"/>
    </font>
    <font>
      <b/>
      <sz val="11"/>
      <color theme="0"/>
      <name val="Calibri"/>
      <family val="2"/>
      <scheme val="minor"/>
    </font>
    <font>
      <sz val="11"/>
      <color theme="0"/>
      <name val="Calibri"/>
      <family val="2"/>
      <scheme val="minor"/>
    </font>
    <font>
      <sz val="14"/>
      <color theme="1"/>
      <name val="Calibri"/>
      <family val="2"/>
      <scheme val="minor"/>
    </font>
    <font>
      <sz val="14"/>
      <color theme="1"/>
      <name val="Calibri"/>
      <family val="2"/>
    </font>
    <font>
      <sz val="11"/>
      <color theme="0"/>
      <name val="Arial"/>
      <family val="2"/>
    </font>
    <font>
      <b/>
      <sz val="11"/>
      <color theme="0"/>
      <name val="Arial"/>
      <family val="2"/>
    </font>
    <font>
      <b/>
      <sz val="14"/>
      <color rgb="FF000000"/>
      <name val="Calibri"/>
      <family val="2"/>
    </font>
    <font>
      <b/>
      <sz val="14"/>
      <color theme="1"/>
      <name val="Calibri"/>
      <family val="2"/>
    </font>
    <font>
      <b/>
      <sz val="14"/>
      <color theme="1"/>
      <name val="Calibri"/>
      <family val="2"/>
      <scheme val="minor"/>
    </font>
    <font>
      <b/>
      <sz val="14"/>
      <name val="Calibri"/>
      <family val="2"/>
    </font>
    <font>
      <b/>
      <sz val="14"/>
      <name val="Calibri"/>
      <family val="2"/>
      <scheme val="minor"/>
    </font>
    <font>
      <b/>
      <sz val="12"/>
      <color rgb="FF3CB1EC"/>
      <name val="Arial"/>
      <family val="2"/>
    </font>
    <font>
      <sz val="12"/>
      <color theme="1"/>
      <name val="Arial"/>
      <family val="2"/>
    </font>
    <font>
      <sz val="12"/>
      <name val="Arial"/>
      <family val="2"/>
    </font>
    <font>
      <sz val="12"/>
      <color theme="0"/>
      <name val="Arial"/>
      <family val="2"/>
    </font>
    <font>
      <sz val="10"/>
      <color theme="1"/>
      <name val="Arial"/>
      <family val="2"/>
    </font>
    <font>
      <sz val="10"/>
      <color theme="0"/>
      <name val="Arial"/>
      <family val="2"/>
    </font>
    <font>
      <i/>
      <sz val="9"/>
      <name val="Arial"/>
      <family val="2"/>
    </font>
    <font>
      <i/>
      <sz val="9"/>
      <color theme="1"/>
      <name val="Arial"/>
      <family val="2"/>
    </font>
    <font>
      <strike/>
      <sz val="9"/>
      <color rgb="FFFF0000"/>
      <name val="Arial"/>
      <family val="2"/>
    </font>
    <font>
      <sz val="9"/>
      <color rgb="FFFF0000"/>
      <name val="Arial"/>
      <family val="2"/>
    </font>
    <font>
      <sz val="9"/>
      <color theme="4"/>
      <name val="Arial"/>
      <family val="2"/>
    </font>
    <font>
      <strike/>
      <sz val="9"/>
      <name val="Arial"/>
      <family val="2"/>
    </font>
    <font>
      <b/>
      <u/>
      <sz val="11"/>
      <name val="Arial"/>
      <family val="2"/>
    </font>
    <font>
      <sz val="9"/>
      <color theme="1"/>
      <name val="Calibri"/>
      <family val="2"/>
      <scheme val="minor"/>
    </font>
    <font>
      <sz val="9"/>
      <name val="Calibri"/>
      <family val="2"/>
      <scheme val="minor"/>
    </font>
    <font>
      <strike/>
      <sz val="9"/>
      <color theme="1"/>
      <name val="Arial"/>
      <family val="2"/>
    </font>
    <font>
      <sz val="9"/>
      <color indexed="8"/>
      <name val="Arial"/>
      <family val="2"/>
    </font>
    <font>
      <sz val="9"/>
      <color rgb="FF7030A0"/>
      <name val="Arial"/>
      <family val="2"/>
    </font>
    <font>
      <sz val="8"/>
      <color rgb="FF000000"/>
      <name val="Arial"/>
      <family val="2"/>
    </font>
    <font>
      <i/>
      <sz val="10"/>
      <name val="Arial"/>
      <family val="2"/>
    </font>
    <font>
      <i/>
      <strike/>
      <sz val="9"/>
      <color rgb="FFFF0000"/>
      <name val="Arial"/>
      <family val="2"/>
    </font>
    <font>
      <sz val="10"/>
      <color theme="4"/>
      <name val="Arial"/>
      <family val="2"/>
    </font>
    <font>
      <sz val="10"/>
      <color rgb="FFFF0000"/>
      <name val="Arial"/>
      <family val="2"/>
    </font>
    <font>
      <strike/>
      <sz val="10"/>
      <color rgb="FFFF0000"/>
      <name val="Arial"/>
      <family val="2"/>
    </font>
    <font>
      <strike/>
      <sz val="10"/>
      <name val="Arial"/>
      <family val="2"/>
    </font>
    <font>
      <sz val="8"/>
      <color theme="1"/>
      <name val="Arial"/>
      <family val="2"/>
    </font>
    <font>
      <b/>
      <sz val="10"/>
      <color theme="1"/>
      <name val="Arial"/>
      <family val="2"/>
    </font>
    <font>
      <b/>
      <sz val="10"/>
      <name val="Arial"/>
      <family val="2"/>
    </font>
    <font>
      <sz val="10"/>
      <color rgb="FF00B050"/>
      <name val="Arial"/>
      <family val="2"/>
    </font>
    <font>
      <sz val="10"/>
      <color rgb="FF000000"/>
      <name val="Arial"/>
      <family val="2"/>
    </font>
    <font>
      <sz val="10"/>
      <color rgb="FF7030A0"/>
      <name val="Arial"/>
      <family val="2"/>
    </font>
    <font>
      <sz val="9"/>
      <name val="Calibri"/>
      <family val="2"/>
    </font>
    <font>
      <sz val="9"/>
      <color rgb="FF0070C0"/>
      <name val="Arial"/>
      <family val="2"/>
    </font>
    <font>
      <u/>
      <sz val="9"/>
      <name val="Arial"/>
      <family val="2"/>
    </font>
    <font>
      <sz val="10"/>
      <name val="Arial"/>
    </font>
    <font>
      <i/>
      <sz val="10"/>
      <color theme="4"/>
      <name val="Arial"/>
      <family val="2"/>
    </font>
  </fonts>
  <fills count="3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2"/>
        <bgColor indexed="64"/>
      </patternFill>
    </fill>
    <fill>
      <patternFill patternType="solid">
        <fgColor rgb="FFFFEB9C"/>
      </patternFill>
    </fill>
    <fill>
      <patternFill patternType="solid">
        <fgColor theme="0"/>
        <bgColor rgb="FFFFFFFF"/>
      </patternFill>
    </fill>
    <fill>
      <patternFill patternType="solid">
        <fgColor theme="0"/>
        <bgColor rgb="FFFFEB9C"/>
      </patternFill>
    </fill>
    <fill>
      <patternFill patternType="solid">
        <fgColor theme="0" tint="-0.49998474074526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0"/>
        <bgColor rgb="FF000000"/>
      </patternFill>
    </fill>
    <fill>
      <patternFill patternType="solid">
        <fgColor rgb="FFFFFFFF"/>
        <bgColor rgb="FF000000"/>
      </patternFill>
    </fill>
    <fill>
      <patternFill patternType="solid">
        <fgColor rgb="FFFFFFFF"/>
        <bgColor indexed="64"/>
      </patternFill>
    </fill>
    <fill>
      <patternFill patternType="solid">
        <fgColor rgb="FFA6A6A6"/>
        <bgColor indexed="64"/>
      </patternFill>
    </fill>
    <fill>
      <patternFill patternType="solid">
        <fgColor rgb="FFD9D9D9"/>
        <bgColor rgb="FF000000"/>
      </patternFill>
    </fill>
    <fill>
      <patternFill patternType="solid">
        <fgColor theme="7" tint="0.79998168889431442"/>
        <bgColor indexed="64"/>
      </patternFill>
    </fill>
    <fill>
      <patternFill patternType="solid">
        <fgColor theme="9" tint="0.59999389629810485"/>
        <bgColor indexed="64"/>
      </patternFill>
    </fill>
    <fill>
      <patternFill patternType="solid">
        <fgColor rgb="FFC6EFCE"/>
      </patternFill>
    </fill>
    <fill>
      <patternFill patternType="solid">
        <fgColor theme="5"/>
      </patternFill>
    </fill>
    <fill>
      <patternFill patternType="solid">
        <fgColor rgb="FFFCE4D6"/>
        <bgColor rgb="FFFCE4D6"/>
      </patternFill>
    </fill>
    <fill>
      <patternFill patternType="solid">
        <fgColor theme="5" tint="0.79998168889431442"/>
        <bgColor theme="5" tint="0.79998168889431442"/>
      </patternFill>
    </fill>
    <fill>
      <patternFill patternType="solid">
        <fgColor theme="0" tint="-0.34998626667073579"/>
        <bgColor indexed="64"/>
      </patternFill>
    </fill>
    <fill>
      <patternFill patternType="solid">
        <fgColor theme="0" tint="-0.249977111117893"/>
        <bgColor indexed="64"/>
      </patternFill>
    </fill>
    <fill>
      <patternFill patternType="solid">
        <fgColor indexed="9"/>
        <bgColor indexed="64"/>
      </patternFill>
    </fill>
    <fill>
      <patternFill patternType="solid">
        <fgColor rgb="FFFFFFFF"/>
        <bgColor rgb="FFFFFFFF"/>
      </patternFill>
    </fill>
    <fill>
      <patternFill patternType="solid">
        <fgColor rgb="FF92D050"/>
        <bgColor indexed="64"/>
      </patternFill>
    </fill>
    <fill>
      <patternFill patternType="solid">
        <fgColor rgb="FFFFFFFF"/>
        <bgColor rgb="FFF2F2F2"/>
      </patternFill>
    </fill>
    <fill>
      <patternFill patternType="solid">
        <fgColor rgb="FFFF0000"/>
        <bgColor indexed="64"/>
      </patternFill>
    </fill>
    <fill>
      <patternFill patternType="solid">
        <fgColor theme="4" tint="0.59999389629810485"/>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hair">
        <color indexed="64"/>
      </left>
      <right style="hair">
        <color indexed="64"/>
      </right>
      <top style="hair">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dashed">
        <color indexed="64"/>
      </left>
      <right style="dashed">
        <color indexed="64"/>
      </right>
      <top style="dashed">
        <color indexed="64"/>
      </top>
      <bottom style="dashed">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left style="dotted">
        <color indexed="64"/>
      </left>
      <right/>
      <top style="dotted">
        <color indexed="64"/>
      </top>
      <bottom style="dotted">
        <color indexed="64"/>
      </bottom>
      <diagonal/>
    </border>
    <border>
      <left/>
      <right/>
      <top style="hair">
        <color indexed="64"/>
      </top>
      <bottom/>
      <diagonal/>
    </border>
    <border>
      <left style="dotted">
        <color indexed="64"/>
      </left>
      <right style="dotted">
        <color indexed="64"/>
      </right>
      <top/>
      <bottom style="dotted">
        <color indexed="64"/>
      </bottom>
      <diagonal/>
    </border>
    <border>
      <left style="dotted">
        <color indexed="64"/>
      </left>
      <right style="dotted">
        <color indexed="64"/>
      </right>
      <top style="thin">
        <color rgb="FF8EA9DB"/>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medium">
        <color theme="9" tint="-0.24994659260841701"/>
      </right>
      <top style="thin">
        <color indexed="64"/>
      </top>
      <bottom style="thin">
        <color indexed="64"/>
      </bottom>
      <diagonal/>
    </border>
    <border>
      <left style="thin">
        <color indexed="64"/>
      </left>
      <right style="medium">
        <color theme="9" tint="-0.24994659260841701"/>
      </right>
      <top style="thin">
        <color indexed="64"/>
      </top>
      <bottom style="medium">
        <color theme="9" tint="-0.24994659260841701"/>
      </bottom>
      <diagonal/>
    </border>
    <border>
      <left style="medium">
        <color rgb="FFC65911"/>
      </left>
      <right style="thin">
        <color indexed="64"/>
      </right>
      <top style="thin">
        <color indexed="64"/>
      </top>
      <bottom style="thin">
        <color indexed="64"/>
      </bottom>
      <diagonal/>
    </border>
    <border>
      <left style="thin">
        <color indexed="64"/>
      </left>
      <right style="medium">
        <color rgb="FFC65911"/>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rgb="FFC65911"/>
      </right>
      <top/>
      <bottom style="thin">
        <color indexed="64"/>
      </bottom>
      <diagonal/>
    </border>
    <border>
      <left style="medium">
        <color rgb="FFC65911"/>
      </left>
      <right style="thin">
        <color indexed="64"/>
      </right>
      <top style="thin">
        <color indexed="64"/>
      </top>
      <bottom style="medium">
        <color rgb="FFC65911"/>
      </bottom>
      <diagonal/>
    </border>
    <border>
      <left style="thin">
        <color indexed="64"/>
      </left>
      <right style="thin">
        <color indexed="64"/>
      </right>
      <top style="thin">
        <color indexed="64"/>
      </top>
      <bottom style="medium">
        <color rgb="FFC65911"/>
      </bottom>
      <diagonal/>
    </border>
    <border>
      <left style="thin">
        <color indexed="64"/>
      </left>
      <right style="medium">
        <color rgb="FFC65911"/>
      </right>
      <top style="thin">
        <color indexed="64"/>
      </top>
      <bottom style="medium">
        <color rgb="FFC65911"/>
      </bottom>
      <diagonal/>
    </border>
    <border>
      <left style="hair">
        <color indexed="64"/>
      </left>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right/>
      <top style="hair">
        <color indexed="64"/>
      </top>
      <bottom style="hair">
        <color indexed="64"/>
      </bottom>
      <diagonal/>
    </border>
    <border>
      <left style="hair">
        <color rgb="FF000000"/>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style="thin">
        <color rgb="FF000000"/>
      </right>
      <top style="thin">
        <color rgb="FF000000"/>
      </top>
      <bottom style="thin">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diagonal/>
    </border>
    <border>
      <left style="hair">
        <color indexed="64"/>
      </left>
      <right style="hair">
        <color indexed="64"/>
      </right>
      <top/>
      <bottom/>
      <diagonal/>
    </border>
    <border>
      <left style="thin">
        <color rgb="FF999999"/>
      </left>
      <right/>
      <top/>
      <bottom/>
      <diagonal/>
    </border>
    <border>
      <left/>
      <right/>
      <top style="hair">
        <color rgb="FF000000"/>
      </top>
      <bottom style="hair">
        <color rgb="FF000000"/>
      </bottom>
      <diagonal/>
    </border>
  </borders>
  <cellStyleXfs count="30">
    <xf numFmtId="0" fontId="0" fillId="0" borderId="0"/>
    <xf numFmtId="9" fontId="1" fillId="0" borderId="0" applyFont="0" applyFill="0" applyBorder="0" applyAlignment="0" applyProtection="0"/>
    <xf numFmtId="41" fontId="2" fillId="0" borderId="0" applyFont="0" applyFill="0" applyBorder="0" applyAlignment="0" applyProtection="0"/>
    <xf numFmtId="0" fontId="3" fillId="0" borderId="0"/>
    <xf numFmtId="0" fontId="1" fillId="0" borderId="0"/>
    <xf numFmtId="0" fontId="10" fillId="5" borderId="0" applyNumberFormat="0" applyBorder="0" applyAlignment="0" applyProtection="0"/>
    <xf numFmtId="43" fontId="1" fillId="0" borderId="0" applyFont="0" applyFill="0" applyBorder="0" applyAlignment="0" applyProtection="0"/>
    <xf numFmtId="0" fontId="16" fillId="0" borderId="0"/>
    <xf numFmtId="9" fontId="3" fillId="0" borderId="0" applyFont="0" applyFill="0" applyBorder="0" applyAlignment="0" applyProtection="0"/>
    <xf numFmtId="9" fontId="17"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3" fillId="0" borderId="0"/>
    <xf numFmtId="9" fontId="1" fillId="0" borderId="0" applyFont="0" applyFill="0" applyBorder="0" applyAlignment="0" applyProtection="0"/>
    <xf numFmtId="0" fontId="4" fillId="0" borderId="0"/>
    <xf numFmtId="0" fontId="18" fillId="0" borderId="0"/>
    <xf numFmtId="43" fontId="1" fillId="0" borderId="0" applyFont="0" applyFill="0" applyBorder="0" applyAlignment="0" applyProtection="0"/>
    <xf numFmtId="0" fontId="24" fillId="0" borderId="0"/>
    <xf numFmtId="0" fontId="3" fillId="0" borderId="0"/>
    <xf numFmtId="0" fontId="27" fillId="0" borderId="0"/>
    <xf numFmtId="41" fontId="1" fillId="0" borderId="0" applyFont="0" applyFill="0" applyBorder="0" applyAlignment="0" applyProtection="0"/>
    <xf numFmtId="42" fontId="1" fillId="0" borderId="0" applyFont="0" applyFill="0" applyBorder="0" applyAlignment="0" applyProtection="0"/>
    <xf numFmtId="0" fontId="28" fillId="23" borderId="0" applyNumberFormat="0" applyBorder="0" applyAlignment="0" applyProtection="0"/>
    <xf numFmtId="0" fontId="10" fillId="5" borderId="0" applyNumberFormat="0" applyBorder="0" applyAlignment="0" applyProtection="0"/>
    <xf numFmtId="0" fontId="30" fillId="24" borderId="0" applyNumberFormat="0" applyBorder="0" applyAlignment="0" applyProtection="0"/>
    <xf numFmtId="0" fontId="3" fillId="0" borderId="0"/>
    <xf numFmtId="0" fontId="74" fillId="0" borderId="0"/>
    <xf numFmtId="43" fontId="74" fillId="0" borderId="0" applyFont="0" applyFill="0" applyBorder="0" applyAlignment="0" applyProtection="0"/>
    <xf numFmtId="41" fontId="74" fillId="0" borderId="0" applyFont="0" applyFill="0" applyBorder="0" applyAlignment="0" applyProtection="0"/>
  </cellStyleXfs>
  <cellXfs count="1127">
    <xf numFmtId="0" fontId="0" fillId="0" borderId="0" xfId="0"/>
    <xf numFmtId="0" fontId="6" fillId="0" borderId="14" xfId="0" applyFont="1" applyBorder="1" applyAlignment="1">
      <alignment horizontal="left" vertical="center"/>
    </xf>
    <xf numFmtId="0" fontId="6" fillId="0" borderId="14" xfId="0" applyFont="1" applyBorder="1" applyAlignment="1">
      <alignment horizontal="left" vertical="center" wrapText="1"/>
    </xf>
    <xf numFmtId="0" fontId="7" fillId="2" borderId="14" xfId="0" applyFont="1" applyFill="1" applyBorder="1" applyAlignment="1">
      <alignment horizontal="left" vertical="center"/>
    </xf>
    <xf numFmtId="0" fontId="7" fillId="0" borderId="14" xfId="0" applyFont="1" applyBorder="1" applyAlignment="1">
      <alignment horizontal="left" vertical="center" wrapText="1"/>
    </xf>
    <xf numFmtId="0" fontId="6" fillId="2" borderId="14" xfId="0" applyFont="1" applyFill="1" applyBorder="1" applyAlignment="1">
      <alignment horizontal="left" vertical="center" wrapText="1"/>
    </xf>
    <xf numFmtId="0" fontId="9" fillId="6" borderId="14" xfId="0" applyFont="1" applyFill="1" applyBorder="1" applyAlignment="1">
      <alignment horizontal="left" vertical="center" wrapText="1"/>
    </xf>
    <xf numFmtId="0" fontId="9" fillId="7" borderId="14" xfId="5" applyFont="1" applyFill="1" applyBorder="1" applyAlignment="1" applyProtection="1">
      <alignment horizontal="left" vertical="center" wrapText="1"/>
    </xf>
    <xf numFmtId="0" fontId="9" fillId="2" borderId="14" xfId="0" applyFont="1" applyFill="1" applyBorder="1" applyAlignment="1">
      <alignment horizontal="left" vertical="center" wrapText="1"/>
    </xf>
    <xf numFmtId="3" fontId="6" fillId="2" borderId="14" xfId="0" applyNumberFormat="1" applyFont="1" applyFill="1" applyBorder="1" applyAlignment="1">
      <alignment horizontal="left" vertical="center" wrapText="1"/>
    </xf>
    <xf numFmtId="0" fontId="12" fillId="2" borderId="14" xfId="0" applyFont="1" applyFill="1" applyBorder="1" applyAlignment="1">
      <alignment horizontal="left" vertical="center" wrapText="1"/>
    </xf>
    <xf numFmtId="0" fontId="9" fillId="0" borderId="14" xfId="0" applyFont="1" applyBorder="1" applyAlignment="1">
      <alignment horizontal="left" vertical="center" wrapText="1"/>
    </xf>
    <xf numFmtId="14" fontId="6" fillId="0" borderId="14" xfId="0" applyNumberFormat="1" applyFont="1" applyBorder="1" applyAlignment="1">
      <alignment horizontal="left" vertical="center"/>
    </xf>
    <xf numFmtId="0" fontId="7" fillId="12" borderId="14" xfId="0" applyFont="1" applyFill="1" applyBorder="1" applyAlignment="1">
      <alignment horizontal="left" vertical="center"/>
    </xf>
    <xf numFmtId="0" fontId="7" fillId="13" borderId="14" xfId="0" applyFont="1" applyFill="1" applyBorder="1" applyAlignment="1">
      <alignment horizontal="left" vertical="center"/>
    </xf>
    <xf numFmtId="0" fontId="8" fillId="13" borderId="14" xfId="0" applyFont="1" applyFill="1" applyBorder="1" applyAlignment="1">
      <alignment horizontal="left" vertical="center"/>
    </xf>
    <xf numFmtId="0" fontId="8" fillId="14" borderId="14" xfId="0" applyFont="1" applyFill="1" applyBorder="1" applyAlignment="1">
      <alignment horizontal="left" vertical="center"/>
    </xf>
    <xf numFmtId="14" fontId="8" fillId="14" borderId="14" xfId="0" applyNumberFormat="1" applyFont="1" applyFill="1" applyBorder="1" applyAlignment="1">
      <alignment horizontal="left" vertical="center"/>
    </xf>
    <xf numFmtId="0" fontId="8" fillId="14" borderId="14" xfId="0" applyFont="1" applyFill="1" applyBorder="1" applyAlignment="1">
      <alignment horizontal="left" vertical="center" wrapText="1"/>
    </xf>
    <xf numFmtId="0" fontId="6" fillId="15" borderId="14" xfId="0" applyFont="1" applyFill="1" applyBorder="1" applyAlignment="1">
      <alignment horizontal="left" vertical="center" wrapText="1"/>
    </xf>
    <xf numFmtId="0" fontId="4" fillId="0" borderId="0" xfId="0" applyFont="1" applyAlignment="1" applyProtection="1">
      <alignment horizontal="left"/>
      <protection locked="0"/>
    </xf>
    <xf numFmtId="0" fontId="4" fillId="0" borderId="0" xfId="0" applyFont="1" applyAlignment="1" applyProtection="1">
      <alignment horizontal="center"/>
      <protection locked="0"/>
    </xf>
    <xf numFmtId="0" fontId="4" fillId="0" borderId="0" xfId="0" applyFont="1" applyAlignment="1" applyProtection="1">
      <alignment horizontal="center" vertical="center"/>
      <protection locked="0"/>
    </xf>
    <xf numFmtId="0" fontId="4" fillId="2" borderId="0" xfId="0" applyFont="1" applyFill="1" applyAlignment="1" applyProtection="1">
      <alignment horizontal="left"/>
      <protection locked="0"/>
    </xf>
    <xf numFmtId="0" fontId="4" fillId="2" borderId="0" xfId="0" applyFont="1" applyFill="1" applyAlignment="1" applyProtection="1">
      <alignment horizontal="center"/>
      <protection locked="0"/>
    </xf>
    <xf numFmtId="9" fontId="5" fillId="2" borderId="17" xfId="1" applyFont="1" applyFill="1" applyBorder="1" applyAlignment="1" applyProtection="1">
      <alignment horizontal="center"/>
    </xf>
    <xf numFmtId="0" fontId="5" fillId="2" borderId="17" xfId="0" applyFont="1" applyFill="1" applyBorder="1" applyAlignment="1" applyProtection="1">
      <alignment horizontal="left"/>
      <protection locked="0"/>
    </xf>
    <xf numFmtId="0" fontId="14" fillId="2" borderId="0" xfId="0" applyFont="1" applyFill="1" applyAlignment="1" applyProtection="1">
      <alignment horizontal="left"/>
      <protection locked="0"/>
    </xf>
    <xf numFmtId="0" fontId="13" fillId="2" borderId="17" xfId="0" applyFont="1" applyFill="1" applyBorder="1" applyAlignment="1" applyProtection="1">
      <alignment horizontal="left" vertical="center"/>
      <protection locked="0"/>
    </xf>
    <xf numFmtId="0" fontId="15" fillId="2" borderId="0" xfId="0" applyFont="1" applyFill="1" applyAlignment="1" applyProtection="1">
      <alignment horizontal="left"/>
      <protection locked="0"/>
    </xf>
    <xf numFmtId="0" fontId="13" fillId="2" borderId="0" xfId="0" applyFont="1" applyFill="1" applyAlignment="1" applyProtection="1">
      <alignment horizontal="left"/>
      <protection locked="0"/>
    </xf>
    <xf numFmtId="0" fontId="13" fillId="2" borderId="15" xfId="0" applyFont="1" applyFill="1" applyBorder="1" applyAlignment="1" applyProtection="1">
      <alignment horizontal="left" vertical="center"/>
      <protection locked="0"/>
    </xf>
    <xf numFmtId="0" fontId="14" fillId="2" borderId="0" xfId="0" applyFont="1" applyFill="1" applyAlignment="1" applyProtection="1">
      <alignment horizontal="left" vertical="center"/>
      <protection locked="0"/>
    </xf>
    <xf numFmtId="0" fontId="5" fillId="2" borderId="17" xfId="0" applyFont="1" applyFill="1" applyBorder="1" applyAlignment="1" applyProtection="1">
      <alignment horizontal="left" vertical="center"/>
      <protection locked="0"/>
    </xf>
    <xf numFmtId="0" fontId="13" fillId="18" borderId="0" xfId="0" applyFont="1" applyFill="1" applyAlignment="1" applyProtection="1">
      <alignment horizontal="left"/>
      <protection locked="0"/>
    </xf>
    <xf numFmtId="0" fontId="15" fillId="18" borderId="0" xfId="0" applyFont="1" applyFill="1" applyAlignment="1" applyProtection="1">
      <alignment horizontal="left"/>
      <protection locked="0"/>
    </xf>
    <xf numFmtId="0" fontId="14" fillId="18" borderId="0" xfId="0" applyFont="1" applyFill="1" applyAlignment="1" applyProtection="1">
      <alignment horizontal="left"/>
      <protection locked="0"/>
    </xf>
    <xf numFmtId="0" fontId="5" fillId="2" borderId="17" xfId="0" applyFont="1" applyFill="1" applyBorder="1" applyAlignment="1" applyProtection="1">
      <alignment horizontal="center" vertical="center"/>
      <protection locked="0"/>
    </xf>
    <xf numFmtId="0" fontId="4" fillId="0" borderId="0" xfId="0" applyFont="1" applyAlignment="1" applyProtection="1">
      <alignment vertical="center"/>
      <protection locked="0"/>
    </xf>
    <xf numFmtId="0" fontId="13" fillId="18" borderId="0" xfId="0" applyFont="1" applyFill="1" applyAlignment="1" applyProtection="1">
      <alignment vertical="center"/>
      <protection locked="0"/>
    </xf>
    <xf numFmtId="0" fontId="25" fillId="0" borderId="1" xfId="3" applyFont="1" applyBorder="1" applyAlignment="1">
      <alignment vertical="center" wrapText="1"/>
    </xf>
    <xf numFmtId="0" fontId="25" fillId="0" borderId="1" xfId="3" applyFont="1" applyBorder="1" applyAlignment="1">
      <alignment horizontal="center" vertical="center" wrapText="1"/>
    </xf>
    <xf numFmtId="0" fontId="26" fillId="20" borderId="1" xfId="3" applyFont="1" applyFill="1" applyBorder="1" applyAlignment="1">
      <alignment horizontal="center" vertical="center" wrapText="1"/>
    </xf>
    <xf numFmtId="0" fontId="26" fillId="20" borderId="18" xfId="3" applyFont="1" applyFill="1" applyBorder="1" applyAlignment="1">
      <alignment horizontal="center" vertical="center" wrapText="1"/>
    </xf>
    <xf numFmtId="0" fontId="5" fillId="2" borderId="17" xfId="0" applyFont="1" applyFill="1" applyBorder="1" applyAlignment="1">
      <alignment horizontal="left" vertical="center"/>
    </xf>
    <xf numFmtId="0" fontId="5" fillId="2" borderId="17" xfId="0" applyFont="1" applyFill="1" applyBorder="1" applyAlignment="1">
      <alignment horizontal="center" vertical="center"/>
    </xf>
    <xf numFmtId="0" fontId="5" fillId="2" borderId="17" xfId="0" applyFont="1" applyFill="1" applyBorder="1" applyAlignment="1">
      <alignment horizontal="left"/>
    </xf>
    <xf numFmtId="0" fontId="5" fillId="2" borderId="17" xfId="0" applyFont="1" applyFill="1" applyBorder="1" applyAlignment="1">
      <alignment horizontal="center"/>
    </xf>
    <xf numFmtId="9" fontId="5" fillId="2" borderId="17" xfId="0" applyNumberFormat="1" applyFont="1" applyFill="1" applyBorder="1" applyAlignment="1">
      <alignment horizontal="center" vertical="center"/>
    </xf>
    <xf numFmtId="9" fontId="5" fillId="2" borderId="17" xfId="0" applyNumberFormat="1" applyFont="1" applyFill="1" applyBorder="1" applyAlignment="1">
      <alignment horizontal="center"/>
    </xf>
    <xf numFmtId="0" fontId="13" fillId="2" borderId="17" xfId="0" applyFont="1" applyFill="1" applyBorder="1" applyAlignment="1">
      <alignment horizontal="left" vertical="center"/>
    </xf>
    <xf numFmtId="0" fontId="13" fillId="2" borderId="17" xfId="0" applyFont="1" applyFill="1" applyBorder="1" applyAlignment="1">
      <alignment horizontal="center"/>
    </xf>
    <xf numFmtId="0" fontId="4" fillId="2" borderId="17" xfId="0" applyFont="1" applyFill="1" applyBorder="1" applyAlignment="1">
      <alignment horizontal="center"/>
    </xf>
    <xf numFmtId="0" fontId="13" fillId="2" borderId="17" xfId="0" applyFont="1" applyFill="1" applyBorder="1" applyAlignment="1">
      <alignment horizontal="center" vertical="center"/>
    </xf>
    <xf numFmtId="0" fontId="13" fillId="2" borderId="17" xfId="0" applyFont="1" applyFill="1" applyBorder="1" applyAlignment="1">
      <alignment horizontal="left"/>
    </xf>
    <xf numFmtId="0" fontId="5" fillId="2" borderId="17" xfId="0" applyFont="1" applyFill="1" applyBorder="1" applyAlignment="1">
      <alignment horizontal="center" vertical="top"/>
    </xf>
    <xf numFmtId="0" fontId="5" fillId="2" borderId="17" xfId="0" applyFont="1" applyFill="1" applyBorder="1" applyAlignment="1">
      <alignment horizontal="left" vertical="top"/>
    </xf>
    <xf numFmtId="0" fontId="5" fillId="18" borderId="17" xfId="0" applyFont="1" applyFill="1" applyBorder="1" applyAlignment="1">
      <alignment horizontal="left" vertical="center"/>
    </xf>
    <xf numFmtId="166" fontId="5" fillId="2" borderId="17" xfId="0" applyNumberFormat="1" applyFont="1" applyFill="1" applyBorder="1" applyAlignment="1">
      <alignment horizontal="center"/>
    </xf>
    <xf numFmtId="166" fontId="5" fillId="2" borderId="17" xfId="0" applyNumberFormat="1" applyFont="1" applyFill="1" applyBorder="1" applyAlignment="1">
      <alignment horizontal="center" vertical="center"/>
    </xf>
    <xf numFmtId="0" fontId="5" fillId="18" borderId="17" xfId="0" applyFont="1" applyFill="1" applyBorder="1" applyAlignment="1">
      <alignment vertical="center"/>
    </xf>
    <xf numFmtId="0" fontId="5" fillId="18" borderId="17" xfId="0" applyFont="1" applyFill="1" applyBorder="1" applyAlignment="1">
      <alignment horizontal="left"/>
    </xf>
    <xf numFmtId="0" fontId="5" fillId="18" borderId="17" xfId="0" applyFont="1" applyFill="1" applyBorder="1" applyAlignment="1">
      <alignment vertical="top"/>
    </xf>
    <xf numFmtId="0" fontId="5" fillId="2" borderId="22" xfId="0" applyFont="1" applyFill="1" applyBorder="1" applyAlignment="1">
      <alignment horizontal="center" vertical="center"/>
    </xf>
    <xf numFmtId="9" fontId="5" fillId="2" borderId="22" xfId="0" applyNumberFormat="1" applyFont="1" applyFill="1" applyBorder="1" applyAlignment="1">
      <alignment horizontal="center"/>
    </xf>
    <xf numFmtId="0" fontId="13" fillId="2" borderId="22" xfId="0" applyFont="1" applyFill="1" applyBorder="1" applyAlignment="1">
      <alignment horizontal="center" vertical="center"/>
    </xf>
    <xf numFmtId="0" fontId="5" fillId="2" borderId="20" xfId="0" applyFont="1" applyFill="1" applyBorder="1" applyAlignment="1">
      <alignment horizontal="left"/>
    </xf>
    <xf numFmtId="0" fontId="5" fillId="2" borderId="20" xfId="0" applyFont="1" applyFill="1" applyBorder="1" applyAlignment="1">
      <alignment horizontal="left" vertical="center"/>
    </xf>
    <xf numFmtId="0" fontId="13" fillId="2" borderId="20" xfId="0" applyFont="1" applyFill="1" applyBorder="1" applyAlignment="1">
      <alignment horizontal="left" vertical="center"/>
    </xf>
    <xf numFmtId="0" fontId="13" fillId="2" borderId="20" xfId="0" applyFont="1" applyFill="1" applyBorder="1" applyAlignment="1">
      <alignment horizontal="left"/>
    </xf>
    <xf numFmtId="0" fontId="13" fillId="16" borderId="17" xfId="0" applyFont="1" applyFill="1" applyBorder="1" applyAlignment="1">
      <alignment horizontal="left"/>
    </xf>
    <xf numFmtId="0" fontId="5" fillId="2" borderId="17" xfId="0" applyFont="1" applyFill="1" applyBorder="1" applyAlignment="1">
      <alignment vertical="center"/>
    </xf>
    <xf numFmtId="9" fontId="13" fillId="2" borderId="17" xfId="0" applyNumberFormat="1" applyFont="1" applyFill="1" applyBorder="1" applyAlignment="1">
      <alignment horizontal="center" vertical="center"/>
    </xf>
    <xf numFmtId="9" fontId="13" fillId="2" borderId="22" xfId="0" applyNumberFormat="1" applyFont="1" applyFill="1" applyBorder="1" applyAlignment="1">
      <alignment horizontal="center" vertical="center"/>
    </xf>
    <xf numFmtId="9" fontId="5" fillId="18" borderId="17" xfId="0" applyNumberFormat="1" applyFont="1" applyFill="1" applyBorder="1" applyAlignment="1">
      <alignment horizontal="center"/>
    </xf>
    <xf numFmtId="0" fontId="5" fillId="18" borderId="17" xfId="0" applyFont="1" applyFill="1" applyBorder="1" applyAlignment="1">
      <alignment horizontal="center"/>
    </xf>
    <xf numFmtId="0" fontId="13" fillId="18" borderId="17" xfId="0" applyFont="1" applyFill="1" applyBorder="1" applyAlignment="1">
      <alignment vertical="center"/>
    </xf>
    <xf numFmtId="9" fontId="13" fillId="17" borderId="17" xfId="0" applyNumberFormat="1" applyFont="1" applyFill="1" applyBorder="1" applyAlignment="1">
      <alignment horizontal="center" vertical="center"/>
    </xf>
    <xf numFmtId="0" fontId="13" fillId="17" borderId="17" xfId="0" applyFont="1" applyFill="1" applyBorder="1" applyAlignment="1">
      <alignment horizontal="left" vertical="center"/>
    </xf>
    <xf numFmtId="0" fontId="5" fillId="18" borderId="17" xfId="0" applyFont="1" applyFill="1" applyBorder="1" applyAlignment="1">
      <alignment horizontal="center" vertical="center"/>
    </xf>
    <xf numFmtId="166" fontId="5" fillId="18" borderId="17" xfId="0" applyNumberFormat="1" applyFont="1" applyFill="1" applyBorder="1" applyAlignment="1">
      <alignment horizontal="center" vertical="center"/>
    </xf>
    <xf numFmtId="0" fontId="5" fillId="2" borderId="15" xfId="0" applyFont="1" applyFill="1" applyBorder="1" applyAlignment="1">
      <alignment horizontal="left"/>
    </xf>
    <xf numFmtId="0" fontId="5" fillId="2" borderId="15" xfId="0" applyFont="1" applyFill="1" applyBorder="1" applyAlignment="1">
      <alignment horizontal="left" vertical="center"/>
    </xf>
    <xf numFmtId="9" fontId="5" fillId="2" borderId="15" xfId="0" applyNumberFormat="1" applyFont="1" applyFill="1" applyBorder="1" applyAlignment="1">
      <alignment horizontal="center" vertical="center"/>
    </xf>
    <xf numFmtId="0" fontId="5" fillId="2" borderId="15" xfId="0" applyFont="1" applyFill="1" applyBorder="1" applyAlignment="1">
      <alignment horizontal="center"/>
    </xf>
    <xf numFmtId="0" fontId="5" fillId="2" borderId="11" xfId="0" applyFont="1" applyFill="1" applyBorder="1" applyAlignment="1">
      <alignment horizontal="center"/>
    </xf>
    <xf numFmtId="9" fontId="5" fillId="2" borderId="15" xfId="1" applyFont="1" applyFill="1" applyBorder="1" applyAlignment="1" applyProtection="1">
      <alignment horizontal="center"/>
    </xf>
    <xf numFmtId="9" fontId="5" fillId="2" borderId="11" xfId="1" applyFont="1" applyFill="1" applyBorder="1" applyAlignment="1" applyProtection="1">
      <alignment horizontal="center"/>
    </xf>
    <xf numFmtId="0" fontId="13" fillId="21" borderId="11" xfId="0" applyFont="1" applyFill="1" applyBorder="1" applyAlignment="1">
      <alignment horizontal="left" vertical="center"/>
    </xf>
    <xf numFmtId="0" fontId="13" fillId="22" borderId="11" xfId="0" applyFont="1" applyFill="1" applyBorder="1" applyAlignment="1">
      <alignment horizontal="left" vertical="center"/>
    </xf>
    <xf numFmtId="0" fontId="13" fillId="21" borderId="15" xfId="0" applyFont="1" applyFill="1" applyBorder="1" applyAlignment="1">
      <alignment horizontal="left" vertical="center"/>
    </xf>
    <xf numFmtId="0" fontId="4" fillId="21" borderId="15" xfId="0" applyFont="1" applyFill="1" applyBorder="1" applyAlignment="1">
      <alignment horizontal="left"/>
    </xf>
    <xf numFmtId="9" fontId="5" fillId="2" borderId="17" xfId="0" applyNumberFormat="1" applyFont="1" applyFill="1" applyBorder="1" applyAlignment="1" applyProtection="1">
      <alignment horizontal="center" vertical="center"/>
      <protection locked="0"/>
    </xf>
    <xf numFmtId="0" fontId="5" fillId="18" borderId="17" xfId="0" applyFont="1" applyFill="1" applyBorder="1" applyAlignment="1" applyProtection="1">
      <alignment vertical="top"/>
      <protection locked="0"/>
    </xf>
    <xf numFmtId="0" fontId="5" fillId="18" borderId="20" xfId="0" applyFont="1" applyFill="1" applyBorder="1" applyAlignment="1">
      <alignment horizontal="left" vertical="center"/>
    </xf>
    <xf numFmtId="1" fontId="5" fillId="18" borderId="17" xfId="0" applyNumberFormat="1" applyFont="1" applyFill="1" applyBorder="1" applyAlignment="1">
      <alignment horizontal="center"/>
    </xf>
    <xf numFmtId="0" fontId="5" fillId="18" borderId="17" xfId="0" applyFont="1" applyFill="1" applyBorder="1" applyAlignment="1" applyProtection="1">
      <alignment horizontal="center" vertical="center"/>
      <protection locked="0"/>
    </xf>
    <xf numFmtId="0" fontId="5" fillId="18" borderId="11" xfId="0" applyFont="1" applyFill="1" applyBorder="1" applyAlignment="1">
      <alignment horizontal="center"/>
    </xf>
    <xf numFmtId="9" fontId="5" fillId="18" borderId="15" xfId="1" applyFont="1" applyFill="1" applyBorder="1" applyAlignment="1" applyProtection="1">
      <alignment horizontal="center"/>
    </xf>
    <xf numFmtId="0" fontId="5" fillId="2" borderId="17" xfId="0" applyFont="1" applyFill="1" applyBorder="1" applyAlignment="1" applyProtection="1">
      <alignment vertical="top"/>
      <protection locked="0"/>
    </xf>
    <xf numFmtId="0" fontId="13" fillId="18" borderId="17" xfId="0" applyFont="1" applyFill="1" applyBorder="1" applyAlignment="1">
      <alignment horizontal="left" vertical="center"/>
    </xf>
    <xf numFmtId="9" fontId="5" fillId="2" borderId="17" xfId="1" applyFont="1" applyFill="1" applyBorder="1" applyAlignment="1">
      <alignment horizontal="center"/>
    </xf>
    <xf numFmtId="0" fontId="5" fillId="0" borderId="0" xfId="0" applyFont="1" applyAlignment="1" applyProtection="1">
      <alignment vertical="top"/>
      <protection locked="0"/>
    </xf>
    <xf numFmtId="0" fontId="5" fillId="2" borderId="22" xfId="0" applyFont="1" applyFill="1" applyBorder="1" applyAlignment="1">
      <alignment horizontal="center"/>
    </xf>
    <xf numFmtId="0" fontId="13" fillId="2" borderId="17" xfId="0" applyFont="1" applyFill="1" applyBorder="1" applyAlignment="1">
      <alignment vertical="center"/>
    </xf>
    <xf numFmtId="0" fontId="5" fillId="9" borderId="19" xfId="0" applyFont="1" applyFill="1" applyBorder="1" applyAlignment="1">
      <alignment vertical="top"/>
    </xf>
    <xf numFmtId="0" fontId="5" fillId="11" borderId="10" xfId="0" applyFont="1" applyFill="1" applyBorder="1" applyAlignment="1">
      <alignment horizontal="left" vertical="center"/>
    </xf>
    <xf numFmtId="0" fontId="5" fillId="17" borderId="24" xfId="0" applyFont="1" applyFill="1" applyBorder="1" applyAlignment="1">
      <alignment vertical="top"/>
    </xf>
    <xf numFmtId="9" fontId="13" fillId="2" borderId="22" xfId="0" applyNumberFormat="1" applyFont="1" applyFill="1" applyBorder="1" applyAlignment="1">
      <alignment horizontal="center"/>
    </xf>
    <xf numFmtId="9" fontId="5" fillId="2" borderId="22" xfId="0" applyNumberFormat="1" applyFont="1" applyFill="1" applyBorder="1" applyAlignment="1">
      <alignment horizontal="center" vertical="center"/>
    </xf>
    <xf numFmtId="0" fontId="5" fillId="2" borderId="17" xfId="0" applyFont="1" applyFill="1" applyBorder="1" applyAlignment="1">
      <alignment vertical="top"/>
    </xf>
    <xf numFmtId="0" fontId="13" fillId="2" borderId="22" xfId="0" applyFont="1" applyFill="1" applyBorder="1" applyAlignment="1">
      <alignment horizontal="center"/>
    </xf>
    <xf numFmtId="0" fontId="5" fillId="17" borderId="17" xfId="0" applyFont="1" applyFill="1" applyBorder="1" applyAlignment="1">
      <alignment vertical="top"/>
    </xf>
    <xf numFmtId="9" fontId="5" fillId="18" borderId="22" xfId="0" applyNumberFormat="1" applyFont="1" applyFill="1" applyBorder="1" applyAlignment="1">
      <alignment horizontal="center"/>
    </xf>
    <xf numFmtId="0" fontId="5" fillId="18" borderId="24" xfId="0" applyFont="1" applyFill="1" applyBorder="1" applyAlignment="1">
      <alignment vertical="center"/>
    </xf>
    <xf numFmtId="0" fontId="5" fillId="18" borderId="24" xfId="0" applyFont="1" applyFill="1" applyBorder="1" applyAlignment="1">
      <alignment vertical="top"/>
    </xf>
    <xf numFmtId="0" fontId="5" fillId="18" borderId="16" xfId="0" applyFont="1" applyFill="1" applyBorder="1" applyAlignment="1">
      <alignment vertical="top"/>
    </xf>
    <xf numFmtId="0" fontId="5" fillId="18" borderId="15" xfId="0" applyFont="1" applyFill="1" applyBorder="1" applyAlignment="1">
      <alignment vertical="center"/>
    </xf>
    <xf numFmtId="0" fontId="5" fillId="2" borderId="26" xfId="0" applyFont="1" applyFill="1" applyBorder="1" applyAlignment="1" applyProtection="1">
      <alignment horizontal="center"/>
      <protection locked="0"/>
    </xf>
    <xf numFmtId="0" fontId="13" fillId="2" borderId="17" xfId="0" applyFont="1" applyFill="1" applyBorder="1" applyAlignment="1" applyProtection="1">
      <alignment vertical="center"/>
      <protection locked="0"/>
    </xf>
    <xf numFmtId="0" fontId="5" fillId="17" borderId="17" xfId="0" applyFont="1" applyFill="1" applyBorder="1" applyAlignment="1" applyProtection="1">
      <alignment vertical="top"/>
      <protection locked="0"/>
    </xf>
    <xf numFmtId="0" fontId="5" fillId="2" borderId="26" xfId="0" applyFont="1" applyFill="1" applyBorder="1" applyAlignment="1" applyProtection="1">
      <alignment horizontal="center" vertical="center"/>
      <protection locked="0"/>
    </xf>
    <xf numFmtId="9" fontId="5" fillId="2" borderId="1" xfId="0" applyNumberFormat="1" applyFont="1" applyFill="1" applyBorder="1" applyAlignment="1">
      <alignment horizontal="center" vertical="center"/>
    </xf>
    <xf numFmtId="0" fontId="5" fillId="0" borderId="17" xfId="0" applyFont="1" applyBorder="1" applyAlignment="1" applyProtection="1">
      <alignment horizontal="center" vertical="center"/>
      <protection locked="0"/>
    </xf>
    <xf numFmtId="0" fontId="5" fillId="0" borderId="17" xfId="0" applyFont="1" applyBorder="1" applyAlignment="1" applyProtection="1">
      <alignment vertical="top"/>
      <protection locked="0"/>
    </xf>
    <xf numFmtId="9" fontId="5" fillId="2" borderId="26" xfId="0" applyNumberFormat="1" applyFont="1" applyFill="1" applyBorder="1" applyAlignment="1" applyProtection="1">
      <alignment horizontal="center" vertical="center"/>
      <protection locked="0"/>
    </xf>
    <xf numFmtId="10" fontId="5" fillId="2" borderId="22" xfId="0" applyNumberFormat="1" applyFont="1" applyFill="1" applyBorder="1" applyAlignment="1">
      <alignment horizontal="center" vertical="center"/>
    </xf>
    <xf numFmtId="0" fontId="5" fillId="2" borderId="0" xfId="0" applyFont="1" applyFill="1" applyAlignment="1" applyProtection="1">
      <alignment vertical="center"/>
      <protection locked="0"/>
    </xf>
    <xf numFmtId="0" fontId="5" fillId="2" borderId="0" xfId="4" applyFont="1" applyFill="1" applyAlignment="1" applyProtection="1">
      <alignment vertical="center"/>
      <protection locked="0"/>
    </xf>
    <xf numFmtId="0" fontId="13" fillId="2" borderId="0" xfId="0" applyFont="1" applyFill="1" applyAlignment="1" applyProtection="1">
      <alignment vertical="center"/>
      <protection locked="0"/>
    </xf>
    <xf numFmtId="0" fontId="5" fillId="0" borderId="0" xfId="0" applyFont="1" applyAlignment="1" applyProtection="1">
      <alignment vertical="center"/>
      <protection locked="0"/>
    </xf>
    <xf numFmtId="0" fontId="4" fillId="3" borderId="1" xfId="0" applyFont="1" applyFill="1" applyBorder="1" applyAlignment="1" applyProtection="1">
      <alignment vertical="center"/>
      <protection locked="0"/>
    </xf>
    <xf numFmtId="0" fontId="5" fillId="2" borderId="5" xfId="0" applyFont="1" applyFill="1" applyBorder="1" applyAlignment="1">
      <alignment vertical="center"/>
    </xf>
    <xf numFmtId="0" fontId="5" fillId="2" borderId="19" xfId="0" applyFont="1" applyFill="1" applyBorder="1" applyAlignment="1">
      <alignment vertical="center"/>
    </xf>
    <xf numFmtId="0" fontId="5" fillId="11" borderId="19" xfId="0" applyFont="1" applyFill="1" applyBorder="1" applyAlignment="1">
      <alignment vertical="center"/>
    </xf>
    <xf numFmtId="0" fontId="5" fillId="9" borderId="19" xfId="0" applyFont="1" applyFill="1" applyBorder="1" applyAlignment="1">
      <alignment vertical="center"/>
    </xf>
    <xf numFmtId="0" fontId="13" fillId="19" borderId="19" xfId="0" applyFont="1" applyFill="1" applyBorder="1" applyAlignment="1">
      <alignment vertical="center"/>
    </xf>
    <xf numFmtId="0" fontId="5" fillId="4" borderId="1" xfId="0" applyFont="1" applyFill="1" applyBorder="1" applyAlignment="1">
      <alignment vertical="center"/>
    </xf>
    <xf numFmtId="0" fontId="5" fillId="2" borderId="20" xfId="0" applyFont="1" applyFill="1" applyBorder="1" applyAlignment="1">
      <alignment vertical="center"/>
    </xf>
    <xf numFmtId="9" fontId="5" fillId="2" borderId="17" xfId="0" applyNumberFormat="1" applyFont="1" applyFill="1" applyBorder="1" applyAlignment="1">
      <alignment vertical="center"/>
    </xf>
    <xf numFmtId="0" fontId="5" fillId="2" borderId="17" xfId="0" applyFont="1" applyFill="1" applyBorder="1" applyAlignment="1" applyProtection="1">
      <alignment vertical="center"/>
      <protection locked="0"/>
    </xf>
    <xf numFmtId="0" fontId="14" fillId="2" borderId="0" xfId="0" applyFont="1" applyFill="1" applyAlignment="1" applyProtection="1">
      <alignment vertical="center"/>
      <protection locked="0"/>
    </xf>
    <xf numFmtId="0" fontId="13" fillId="2" borderId="20" xfId="0" applyFont="1" applyFill="1" applyBorder="1" applyAlignment="1">
      <alignment vertical="center"/>
    </xf>
    <xf numFmtId="0" fontId="5" fillId="2" borderId="11" xfId="0" applyFont="1" applyFill="1" applyBorder="1" applyAlignment="1">
      <alignment vertical="center"/>
    </xf>
    <xf numFmtId="0" fontId="5" fillId="2" borderId="15" xfId="0" applyFont="1" applyFill="1" applyBorder="1" applyAlignment="1">
      <alignment vertical="center"/>
    </xf>
    <xf numFmtId="0" fontId="5" fillId="2" borderId="17" xfId="0" quotePrefix="1" applyFont="1" applyFill="1" applyBorder="1" applyAlignment="1">
      <alignment vertical="center"/>
    </xf>
    <xf numFmtId="0" fontId="5" fillId="16" borderId="17" xfId="0" applyFont="1" applyFill="1" applyBorder="1" applyAlignment="1">
      <alignment vertical="center"/>
    </xf>
    <xf numFmtId="0" fontId="15" fillId="2" borderId="0" xfId="0" applyFont="1" applyFill="1" applyAlignment="1" applyProtection="1">
      <alignment vertical="center"/>
      <protection locked="0"/>
    </xf>
    <xf numFmtId="0" fontId="13" fillId="17" borderId="24" xfId="0" applyFont="1" applyFill="1" applyBorder="1" applyAlignment="1">
      <alignment vertical="center"/>
    </xf>
    <xf numFmtId="0" fontId="13" fillId="2" borderId="17" xfId="0" applyFont="1" applyFill="1" applyBorder="1" applyAlignment="1">
      <alignment vertical="top"/>
    </xf>
    <xf numFmtId="0" fontId="13" fillId="2" borderId="17" xfId="0" applyFont="1" applyFill="1" applyBorder="1" applyAlignment="1" applyProtection="1">
      <alignment vertical="top"/>
      <protection locked="0"/>
    </xf>
    <xf numFmtId="0" fontId="13" fillId="17" borderId="17" xfId="0" applyFont="1" applyFill="1" applyBorder="1" applyAlignment="1">
      <alignment vertical="top"/>
    </xf>
    <xf numFmtId="0" fontId="13" fillId="16" borderId="17" xfId="0" applyFont="1" applyFill="1" applyBorder="1" applyAlignment="1">
      <alignment vertical="center"/>
    </xf>
    <xf numFmtId="0" fontId="4" fillId="2" borderId="0" xfId="0" applyFont="1" applyFill="1" applyAlignment="1" applyProtection="1">
      <alignment vertical="center"/>
      <protection locked="0"/>
    </xf>
    <xf numFmtId="9" fontId="5" fillId="2" borderId="26" xfId="0" applyNumberFormat="1" applyFont="1" applyFill="1" applyBorder="1" applyAlignment="1" applyProtection="1">
      <alignment horizontal="center"/>
      <protection locked="0"/>
    </xf>
    <xf numFmtId="0" fontId="13" fillId="2" borderId="26" xfId="0" applyFont="1" applyFill="1" applyBorder="1" applyAlignment="1" applyProtection="1">
      <alignment horizontal="center"/>
      <protection locked="0"/>
    </xf>
    <xf numFmtId="0" fontId="5" fillId="2" borderId="23" xfId="0" applyFont="1" applyFill="1" applyBorder="1" applyAlignment="1">
      <alignment horizontal="center"/>
    </xf>
    <xf numFmtId="9" fontId="4" fillId="0" borderId="0" xfId="1" applyFont="1" applyAlignment="1" applyProtection="1">
      <alignment horizontal="center"/>
      <protection locked="0"/>
    </xf>
    <xf numFmtId="9" fontId="4" fillId="0" borderId="0" xfId="1" applyFont="1" applyAlignment="1" applyProtection="1">
      <alignment horizontal="center" vertical="center"/>
      <protection locked="0"/>
    </xf>
    <xf numFmtId="9" fontId="5" fillId="2" borderId="17" xfId="1" applyFont="1" applyFill="1" applyBorder="1" applyAlignment="1">
      <alignment horizontal="center" vertical="center"/>
    </xf>
    <xf numFmtId="0" fontId="13" fillId="17" borderId="17" xfId="0" applyFont="1" applyFill="1" applyBorder="1" applyAlignment="1">
      <alignment vertical="center"/>
    </xf>
    <xf numFmtId="0" fontId="5" fillId="17" borderId="17" xfId="0" applyFont="1" applyFill="1" applyBorder="1" applyAlignment="1">
      <alignment vertical="center"/>
    </xf>
    <xf numFmtId="0" fontId="20" fillId="9" borderId="9" xfId="0" applyFont="1" applyFill="1" applyBorder="1" applyAlignment="1" applyProtection="1">
      <alignment horizontal="left" vertical="center"/>
      <protection locked="0"/>
    </xf>
    <xf numFmtId="9" fontId="20" fillId="9" borderId="18" xfId="1" applyFont="1" applyFill="1" applyBorder="1" applyAlignment="1">
      <alignment horizontal="center" vertical="center"/>
    </xf>
    <xf numFmtId="0" fontId="20" fillId="9" borderId="18" xfId="0" applyFont="1" applyFill="1" applyBorder="1" applyAlignment="1" applyProtection="1">
      <alignment vertical="center"/>
      <protection locked="0"/>
    </xf>
    <xf numFmtId="0" fontId="4" fillId="0" borderId="0" xfId="0" applyFont="1" applyProtection="1">
      <protection locked="0"/>
    </xf>
    <xf numFmtId="14" fontId="4" fillId="0" borderId="0" xfId="0" applyNumberFormat="1" applyFont="1" applyProtection="1">
      <protection locked="0"/>
    </xf>
    <xf numFmtId="0" fontId="5" fillId="0" borderId="0" xfId="0" applyFont="1" applyProtection="1">
      <protection locked="0"/>
    </xf>
    <xf numFmtId="0" fontId="13" fillId="18" borderId="0" xfId="0" applyFont="1" applyFill="1" applyProtection="1">
      <protection locked="0"/>
    </xf>
    <xf numFmtId="0" fontId="4" fillId="2" borderId="0" xfId="0" applyFont="1" applyFill="1" applyProtection="1">
      <protection locked="0"/>
    </xf>
    <xf numFmtId="0" fontId="5" fillId="2" borderId="17" xfId="0" applyFont="1" applyFill="1" applyBorder="1"/>
    <xf numFmtId="0" fontId="5" fillId="2" borderId="11" xfId="0" applyFont="1" applyFill="1" applyBorder="1"/>
    <xf numFmtId="0" fontId="5" fillId="2" borderId="15" xfId="0" applyFont="1" applyFill="1" applyBorder="1"/>
    <xf numFmtId="0" fontId="5" fillId="2" borderId="0" xfId="0" applyFont="1" applyFill="1" applyProtection="1">
      <protection locked="0"/>
    </xf>
    <xf numFmtId="0" fontId="5" fillId="2" borderId="20" xfId="0" applyFont="1" applyFill="1" applyBorder="1"/>
    <xf numFmtId="0" fontId="5" fillId="18" borderId="17" xfId="0" applyFont="1" applyFill="1" applyBorder="1"/>
    <xf numFmtId="0" fontId="14" fillId="2" borderId="0" xfId="0" applyFont="1" applyFill="1" applyProtection="1">
      <protection locked="0"/>
    </xf>
    <xf numFmtId="0" fontId="13" fillId="2" borderId="17" xfId="0" applyFont="1" applyFill="1" applyBorder="1"/>
    <xf numFmtId="0" fontId="5" fillId="17" borderId="24" xfId="0" applyFont="1" applyFill="1" applyBorder="1"/>
    <xf numFmtId="0" fontId="15" fillId="2" borderId="0" xfId="0" applyFont="1" applyFill="1" applyProtection="1">
      <protection locked="0"/>
    </xf>
    <xf numFmtId="0" fontId="13" fillId="2" borderId="0" xfId="0" applyFont="1" applyFill="1" applyProtection="1">
      <protection locked="0"/>
    </xf>
    <xf numFmtId="0" fontId="13" fillId="16" borderId="17" xfId="0" applyFont="1" applyFill="1" applyBorder="1"/>
    <xf numFmtId="0" fontId="13" fillId="2" borderId="20" xfId="0" applyFont="1" applyFill="1" applyBorder="1"/>
    <xf numFmtId="0" fontId="13" fillId="17" borderId="17" xfId="0" applyFont="1" applyFill="1" applyBorder="1"/>
    <xf numFmtId="0" fontId="13" fillId="2" borderId="15" xfId="0" applyFont="1" applyFill="1" applyBorder="1"/>
    <xf numFmtId="0" fontId="15" fillId="18" borderId="0" xfId="0" applyFont="1" applyFill="1" applyProtection="1">
      <protection locked="0"/>
    </xf>
    <xf numFmtId="0" fontId="5" fillId="18" borderId="20" xfId="0" applyFont="1" applyFill="1" applyBorder="1"/>
    <xf numFmtId="0" fontId="14" fillId="18" borderId="0" xfId="0" applyFont="1" applyFill="1" applyProtection="1">
      <protection locked="0"/>
    </xf>
    <xf numFmtId="0" fontId="19" fillId="18" borderId="0" xfId="0" applyFont="1" applyFill="1" applyProtection="1">
      <protection locked="0"/>
    </xf>
    <xf numFmtId="0" fontId="13" fillId="18" borderId="17" xfId="0" applyFont="1" applyFill="1" applyBorder="1"/>
    <xf numFmtId="0" fontId="5" fillId="18" borderId="25" xfId="0" applyFont="1" applyFill="1" applyBorder="1"/>
    <xf numFmtId="0" fontId="13" fillId="17" borderId="24" xfId="0" applyFont="1" applyFill="1" applyBorder="1"/>
    <xf numFmtId="0" fontId="21" fillId="2" borderId="17" xfId="0" applyFont="1" applyFill="1" applyBorder="1"/>
    <xf numFmtId="0" fontId="4" fillId="18" borderId="0" xfId="0" applyFont="1" applyFill="1" applyProtection="1">
      <protection locked="0"/>
    </xf>
    <xf numFmtId="0" fontId="5" fillId="18" borderId="15" xfId="0" applyFont="1" applyFill="1" applyBorder="1"/>
    <xf numFmtId="0" fontId="13" fillId="18" borderId="15" xfId="0" applyFont="1" applyFill="1" applyBorder="1"/>
    <xf numFmtId="0" fontId="5" fillId="11" borderId="19" xfId="0" applyFont="1" applyFill="1" applyBorder="1" applyAlignment="1">
      <alignment horizontal="center" vertical="center"/>
    </xf>
    <xf numFmtId="0" fontId="5" fillId="2" borderId="21" xfId="0" applyFont="1" applyFill="1" applyBorder="1" applyAlignment="1">
      <alignment horizontal="center" vertical="center"/>
    </xf>
    <xf numFmtId="9" fontId="13" fillId="2" borderId="17" xfId="0" applyNumberFormat="1" applyFont="1" applyFill="1" applyBorder="1" applyAlignment="1">
      <alignment horizontal="center"/>
    </xf>
    <xf numFmtId="1" fontId="5" fillId="2" borderId="17" xfId="0" applyNumberFormat="1" applyFont="1" applyFill="1" applyBorder="1" applyAlignment="1">
      <alignment horizontal="center"/>
    </xf>
    <xf numFmtId="9" fontId="5" fillId="16" borderId="17" xfId="0" applyNumberFormat="1" applyFont="1" applyFill="1" applyBorder="1" applyAlignment="1">
      <alignment horizontal="center" vertical="center"/>
    </xf>
    <xf numFmtId="1" fontId="5" fillId="2" borderId="17" xfId="1" applyNumberFormat="1" applyFont="1" applyFill="1" applyBorder="1" applyAlignment="1" applyProtection="1">
      <alignment horizontal="center"/>
    </xf>
    <xf numFmtId="0" fontId="5" fillId="16" borderId="17" xfId="0" applyFont="1" applyFill="1" applyBorder="1" applyAlignment="1">
      <alignment horizontal="center" vertical="center"/>
    </xf>
    <xf numFmtId="9" fontId="5" fillId="0" borderId="17" xfId="0" applyNumberFormat="1" applyFont="1" applyBorder="1" applyAlignment="1">
      <alignment horizontal="center"/>
    </xf>
    <xf numFmtId="167" fontId="5" fillId="2" borderId="17" xfId="0" applyNumberFormat="1" applyFont="1" applyFill="1" applyBorder="1" applyAlignment="1">
      <alignment horizontal="center" vertical="center"/>
    </xf>
    <xf numFmtId="0" fontId="5" fillId="2" borderId="15" xfId="0" applyFont="1" applyFill="1" applyBorder="1" applyAlignment="1">
      <alignment horizontal="center" vertical="center"/>
    </xf>
    <xf numFmtId="0" fontId="5" fillId="2" borderId="1" xfId="0" applyFont="1" applyFill="1" applyBorder="1" applyAlignment="1">
      <alignment horizontal="center" vertical="center"/>
    </xf>
    <xf numFmtId="9" fontId="5" fillId="2" borderId="11" xfId="0" applyNumberFormat="1" applyFont="1" applyFill="1" applyBorder="1" applyAlignment="1">
      <alignment horizontal="center" vertical="center"/>
    </xf>
    <xf numFmtId="9" fontId="5" fillId="2" borderId="18" xfId="0" applyNumberFormat="1" applyFont="1" applyFill="1" applyBorder="1" applyAlignment="1">
      <alignment horizontal="center" vertical="center"/>
    </xf>
    <xf numFmtId="0" fontId="5" fillId="2" borderId="11" xfId="0" applyFont="1" applyFill="1" applyBorder="1" applyAlignment="1">
      <alignment horizontal="center" vertical="center"/>
    </xf>
    <xf numFmtId="0" fontId="4" fillId="2" borderId="0" xfId="0" applyFont="1" applyFill="1" applyAlignment="1" applyProtection="1">
      <alignment horizontal="center" vertical="center"/>
      <protection locked="0"/>
    </xf>
    <xf numFmtId="14" fontId="4" fillId="0" borderId="0" xfId="0" applyNumberFormat="1" applyFont="1" applyAlignment="1" applyProtection="1">
      <alignment horizontal="center"/>
      <protection locked="0"/>
    </xf>
    <xf numFmtId="14" fontId="5" fillId="2" borderId="17" xfId="0" applyNumberFormat="1" applyFont="1" applyFill="1" applyBorder="1" applyAlignment="1">
      <alignment horizontal="center" vertical="center"/>
    </xf>
    <xf numFmtId="14" fontId="5" fillId="2" borderId="17" xfId="0" applyNumberFormat="1" applyFont="1" applyFill="1" applyBorder="1" applyAlignment="1">
      <alignment horizontal="center"/>
    </xf>
    <xf numFmtId="14" fontId="13" fillId="2" borderId="17" xfId="0" applyNumberFormat="1" applyFont="1" applyFill="1" applyBorder="1" applyAlignment="1">
      <alignment horizontal="center"/>
    </xf>
    <xf numFmtId="14" fontId="13" fillId="2" borderId="17" xfId="0" applyNumberFormat="1" applyFont="1" applyFill="1" applyBorder="1" applyAlignment="1">
      <alignment horizontal="center" vertical="center"/>
    </xf>
    <xf numFmtId="14" fontId="5" fillId="18" borderId="17" xfId="0" applyNumberFormat="1" applyFont="1" applyFill="1" applyBorder="1" applyAlignment="1">
      <alignment horizontal="center"/>
    </xf>
    <xf numFmtId="14" fontId="5" fillId="18" borderId="17" xfId="0" applyNumberFormat="1" applyFont="1" applyFill="1" applyBorder="1" applyAlignment="1">
      <alignment horizontal="center" vertical="center"/>
    </xf>
    <xf numFmtId="14" fontId="5" fillId="2" borderId="15" xfId="0" applyNumberFormat="1" applyFont="1" applyFill="1" applyBorder="1" applyAlignment="1">
      <alignment horizontal="center" vertical="center"/>
    </xf>
    <xf numFmtId="0" fontId="5" fillId="0" borderId="0" xfId="0" applyFont="1" applyAlignment="1" applyProtection="1">
      <alignment horizontal="center"/>
      <protection locked="0"/>
    </xf>
    <xf numFmtId="166" fontId="4" fillId="0" borderId="0" xfId="0" applyNumberFormat="1" applyFont="1" applyAlignment="1" applyProtection="1">
      <alignment horizontal="center"/>
      <protection locked="0"/>
    </xf>
    <xf numFmtId="0" fontId="5" fillId="0" borderId="0" xfId="0" applyFont="1" applyAlignment="1" applyProtection="1">
      <alignment horizontal="center" vertical="center"/>
      <protection locked="0"/>
    </xf>
    <xf numFmtId="166" fontId="4" fillId="0" borderId="0" xfId="0" applyNumberFormat="1" applyFont="1" applyAlignment="1" applyProtection="1">
      <alignment horizontal="center" vertical="center"/>
      <protection locked="0"/>
    </xf>
    <xf numFmtId="0" fontId="5" fillId="9" borderId="19" xfId="0" applyFont="1" applyFill="1" applyBorder="1" applyAlignment="1">
      <alignment horizontal="center" vertical="center"/>
    </xf>
    <xf numFmtId="166" fontId="5" fillId="9" borderId="19" xfId="0" applyNumberFormat="1" applyFont="1" applyFill="1" applyBorder="1" applyAlignment="1">
      <alignment horizontal="center" vertical="center"/>
    </xf>
    <xf numFmtId="166" fontId="5" fillId="18" borderId="17" xfId="0" applyNumberFormat="1" applyFont="1" applyFill="1" applyBorder="1" applyAlignment="1">
      <alignment horizontal="center"/>
    </xf>
    <xf numFmtId="9" fontId="5" fillId="16" borderId="24" xfId="0" applyNumberFormat="1" applyFont="1" applyFill="1" applyBorder="1" applyAlignment="1">
      <alignment horizontal="center" vertical="center"/>
    </xf>
    <xf numFmtId="0" fontId="13" fillId="2" borderId="17" xfId="6" applyNumberFormat="1" applyFont="1" applyFill="1" applyBorder="1" applyAlignment="1" applyProtection="1">
      <alignment horizontal="center" vertical="center"/>
    </xf>
    <xf numFmtId="9" fontId="13" fillId="17" borderId="24" xfId="0" applyNumberFormat="1" applyFont="1" applyFill="1" applyBorder="1" applyAlignment="1">
      <alignment horizontal="center" vertical="center"/>
    </xf>
    <xf numFmtId="9" fontId="5" fillId="2" borderId="24" xfId="0" applyNumberFormat="1" applyFont="1" applyFill="1" applyBorder="1" applyAlignment="1">
      <alignment horizontal="center" vertical="center"/>
    </xf>
    <xf numFmtId="10" fontId="5" fillId="2" borderId="17" xfId="0" applyNumberFormat="1" applyFont="1" applyFill="1" applyBorder="1" applyAlignment="1">
      <alignment horizontal="center"/>
    </xf>
    <xf numFmtId="2" fontId="5" fillId="2" borderId="17" xfId="0" applyNumberFormat="1" applyFont="1" applyFill="1" applyBorder="1" applyAlignment="1">
      <alignment horizontal="center"/>
    </xf>
    <xf numFmtId="2" fontId="5" fillId="2" borderId="17" xfId="0" applyNumberFormat="1" applyFont="1" applyFill="1" applyBorder="1" applyAlignment="1">
      <alignment horizontal="center" vertical="center"/>
    </xf>
    <xf numFmtId="166" fontId="5" fillId="2" borderId="21" xfId="0" applyNumberFormat="1" applyFont="1" applyFill="1" applyBorder="1" applyAlignment="1">
      <alignment horizontal="center" vertical="center"/>
    </xf>
    <xf numFmtId="0" fontId="5" fillId="2" borderId="0" xfId="0" applyFont="1" applyFill="1" applyAlignment="1" applyProtection="1">
      <alignment horizontal="center"/>
      <protection locked="0"/>
    </xf>
    <xf numFmtId="9" fontId="5" fillId="9" borderId="19" xfId="1" applyFont="1" applyFill="1" applyBorder="1" applyAlignment="1" applyProtection="1">
      <alignment horizontal="center" vertical="center"/>
    </xf>
    <xf numFmtId="9" fontId="5" fillId="2" borderId="17" xfId="1" applyFont="1" applyFill="1" applyBorder="1" applyAlignment="1" applyProtection="1">
      <alignment horizontal="center" vertical="center"/>
    </xf>
    <xf numFmtId="1" fontId="5" fillId="2" borderId="17" xfId="0" applyNumberFormat="1" applyFont="1" applyFill="1" applyBorder="1" applyAlignment="1">
      <alignment horizontal="center" vertical="center"/>
    </xf>
    <xf numFmtId="0" fontId="13" fillId="2" borderId="0" xfId="0" applyFont="1" applyFill="1" applyAlignment="1">
      <alignment horizontal="center"/>
    </xf>
    <xf numFmtId="9" fontId="5" fillId="2" borderId="15" xfId="0" applyNumberFormat="1" applyFont="1" applyFill="1" applyBorder="1" applyAlignment="1">
      <alignment horizontal="center"/>
    </xf>
    <xf numFmtId="9" fontId="5" fillId="18" borderId="17" xfId="0" applyNumberFormat="1" applyFont="1" applyFill="1" applyBorder="1" applyAlignment="1">
      <alignment horizontal="center" vertical="center"/>
    </xf>
    <xf numFmtId="167" fontId="13" fillId="2" borderId="17" xfId="1" applyNumberFormat="1" applyFont="1" applyFill="1" applyBorder="1" applyAlignment="1" applyProtection="1">
      <alignment horizontal="center"/>
    </xf>
    <xf numFmtId="0" fontId="5" fillId="18" borderId="17" xfId="0" applyFont="1" applyFill="1" applyBorder="1" applyAlignment="1">
      <alignment horizontal="center" vertical="top"/>
    </xf>
    <xf numFmtId="9" fontId="4" fillId="0" borderId="0" xfId="0" applyNumberFormat="1" applyFont="1" applyAlignment="1" applyProtection="1">
      <alignment horizontal="center" vertical="center"/>
      <protection locked="0"/>
    </xf>
    <xf numFmtId="0" fontId="13" fillId="16" borderId="17" xfId="0" applyFont="1" applyFill="1" applyBorder="1" applyAlignment="1">
      <alignment horizontal="center"/>
    </xf>
    <xf numFmtId="0" fontId="20" fillId="9" borderId="18" xfId="0" applyFont="1" applyFill="1" applyBorder="1" applyAlignment="1" applyProtection="1">
      <alignment horizontal="left" vertical="center"/>
      <protection locked="0"/>
    </xf>
    <xf numFmtId="9" fontId="5" fillId="2" borderId="17" xfId="0" applyNumberFormat="1" applyFont="1" applyFill="1" applyBorder="1" applyAlignment="1">
      <alignment horizontal="left" vertical="center"/>
    </xf>
    <xf numFmtId="0" fontId="13" fillId="2" borderId="17" xfId="0" applyFont="1" applyFill="1" applyBorder="1" applyAlignment="1" applyProtection="1">
      <alignment horizontal="left"/>
      <protection locked="0"/>
    </xf>
    <xf numFmtId="0" fontId="13" fillId="2" borderId="17" xfId="0" applyFont="1" applyFill="1" applyBorder="1" applyProtection="1">
      <protection locked="0"/>
    </xf>
    <xf numFmtId="0" fontId="5" fillId="0" borderId="17" xfId="0" applyFont="1" applyBorder="1" applyProtection="1">
      <protection locked="0"/>
    </xf>
    <xf numFmtId="0" fontId="5" fillId="2" borderId="17" xfId="0" applyFont="1" applyFill="1" applyBorder="1" applyProtection="1">
      <protection locked="0"/>
    </xf>
    <xf numFmtId="0" fontId="13" fillId="0" borderId="17" xfId="0" applyFont="1" applyBorder="1" applyProtection="1">
      <protection locked="0"/>
    </xf>
    <xf numFmtId="0" fontId="5" fillId="4" borderId="1" xfId="0" applyFont="1" applyFill="1" applyBorder="1" applyAlignment="1">
      <alignment horizontal="center" vertical="center"/>
    </xf>
    <xf numFmtId="9" fontId="5" fillId="2" borderId="15" xfId="1" applyFont="1" applyFill="1" applyBorder="1" applyAlignment="1" applyProtection="1">
      <alignment horizontal="center" vertical="center"/>
    </xf>
    <xf numFmtId="9" fontId="5" fillId="2" borderId="11" xfId="1" applyFont="1" applyFill="1" applyBorder="1" applyAlignment="1" applyProtection="1">
      <alignment horizontal="center" vertical="center"/>
    </xf>
    <xf numFmtId="166" fontId="5" fillId="2" borderId="11" xfId="1" applyNumberFormat="1" applyFont="1" applyFill="1" applyBorder="1" applyAlignment="1" applyProtection="1">
      <alignment horizontal="center" vertical="center"/>
    </xf>
    <xf numFmtId="0" fontId="13" fillId="2" borderId="15" xfId="0" applyFont="1" applyFill="1" applyBorder="1" applyAlignment="1" applyProtection="1">
      <alignment horizontal="left"/>
      <protection locked="0"/>
    </xf>
    <xf numFmtId="1" fontId="5" fillId="18" borderId="15" xfId="0" applyNumberFormat="1" applyFont="1" applyFill="1" applyBorder="1" applyAlignment="1">
      <alignment horizontal="center"/>
    </xf>
    <xf numFmtId="0" fontId="5" fillId="2" borderId="15" xfId="1" applyNumberFormat="1" applyFont="1" applyFill="1" applyBorder="1" applyAlignment="1" applyProtection="1">
      <alignment horizontal="center"/>
    </xf>
    <xf numFmtId="10" fontId="5" fillId="2" borderId="17" xfId="0" applyNumberFormat="1" applyFont="1" applyFill="1" applyBorder="1" applyAlignment="1" applyProtection="1">
      <alignment horizontal="center" vertical="center"/>
      <protection locked="0"/>
    </xf>
    <xf numFmtId="0" fontId="31" fillId="0" borderId="0" xfId="0" applyFont="1"/>
    <xf numFmtId="0" fontId="32" fillId="0" borderId="0" xfId="0" applyFont="1" applyAlignment="1">
      <alignment horizontal="center" vertical="center"/>
    </xf>
    <xf numFmtId="0" fontId="32" fillId="0" borderId="0" xfId="0" applyFont="1" applyAlignment="1">
      <alignment horizontal="center" vertical="center" wrapText="1"/>
    </xf>
    <xf numFmtId="0" fontId="0" fillId="0" borderId="0" xfId="0" applyAlignment="1">
      <alignment horizontal="center"/>
    </xf>
    <xf numFmtId="0" fontId="33" fillId="24" borderId="1" xfId="25" applyNumberFormat="1" applyFont="1" applyBorder="1" applyAlignment="1" applyProtection="1">
      <alignment horizontal="center" vertical="center" wrapText="1"/>
    </xf>
    <xf numFmtId="0" fontId="34" fillId="24" borderId="1" xfId="25" applyNumberFormat="1" applyFont="1" applyBorder="1" applyAlignment="1" applyProtection="1">
      <alignment horizontal="center" vertical="center" wrapText="1"/>
    </xf>
    <xf numFmtId="42" fontId="31" fillId="0" borderId="0" xfId="0" applyNumberFormat="1" applyFont="1"/>
    <xf numFmtId="0" fontId="13" fillId="25" borderId="1" xfId="0" applyFont="1" applyFill="1" applyBorder="1"/>
    <xf numFmtId="0" fontId="13" fillId="25" borderId="1" xfId="0" applyFont="1" applyFill="1" applyBorder="1" applyAlignment="1">
      <alignment wrapText="1"/>
    </xf>
    <xf numFmtId="0" fontId="13" fillId="25" borderId="1" xfId="0" applyFont="1" applyFill="1" applyBorder="1" applyAlignment="1">
      <alignment horizontal="center"/>
    </xf>
    <xf numFmtId="0" fontId="5" fillId="25" borderId="1" xfId="0" applyFont="1" applyFill="1" applyBorder="1" applyAlignment="1">
      <alignment horizontal="center" vertical="center" wrapText="1"/>
    </xf>
    <xf numFmtId="0" fontId="35" fillId="17" borderId="1" xfId="0" applyFont="1" applyFill="1" applyBorder="1" applyAlignment="1">
      <alignment horizontal="center" vertical="center"/>
    </xf>
    <xf numFmtId="10" fontId="36" fillId="0" borderId="1" xfId="1" applyNumberFormat="1" applyFont="1" applyFill="1" applyBorder="1" applyAlignment="1" applyProtection="1">
      <alignment horizontal="center" vertical="center"/>
      <protection locked="0"/>
    </xf>
    <xf numFmtId="9" fontId="36" fillId="0" borderId="1" xfId="1" applyFont="1" applyFill="1" applyBorder="1" applyAlignment="1" applyProtection="1">
      <alignment horizontal="center" vertical="center"/>
      <protection locked="0"/>
    </xf>
    <xf numFmtId="0" fontId="13" fillId="0" borderId="1" xfId="0" applyFont="1" applyBorder="1"/>
    <xf numFmtId="0" fontId="13" fillId="0" borderId="1" xfId="0" applyFont="1" applyBorder="1" applyAlignment="1">
      <alignment wrapText="1"/>
    </xf>
    <xf numFmtId="0" fontId="13" fillId="0" borderId="1" xfId="0" applyFont="1" applyBorder="1" applyAlignment="1">
      <alignment horizontal="center"/>
    </xf>
    <xf numFmtId="9" fontId="5" fillId="0" borderId="1" xfId="0" applyNumberFormat="1" applyFont="1" applyBorder="1" applyAlignment="1">
      <alignment horizontal="center" vertical="center" wrapText="1"/>
    </xf>
    <xf numFmtId="9" fontId="35" fillId="17" borderId="1" xfId="0" applyNumberFormat="1" applyFont="1" applyFill="1" applyBorder="1" applyAlignment="1">
      <alignment horizontal="center" vertical="center"/>
    </xf>
    <xf numFmtId="9" fontId="36" fillId="0" borderId="1" xfId="0" applyNumberFormat="1" applyFont="1" applyBorder="1" applyAlignment="1" applyProtection="1">
      <alignment horizontal="center" vertical="center"/>
      <protection locked="0"/>
    </xf>
    <xf numFmtId="0" fontId="35" fillId="0" borderId="1" xfId="0" applyFont="1" applyBorder="1" applyAlignment="1">
      <alignment horizontal="center" vertical="center"/>
    </xf>
    <xf numFmtId="0" fontId="35" fillId="0" borderId="1" xfId="0" applyFont="1" applyBorder="1" applyAlignment="1" applyProtection="1">
      <alignment horizontal="center" vertical="center"/>
      <protection locked="0"/>
    </xf>
    <xf numFmtId="0" fontId="5" fillId="0" borderId="1" xfId="0" applyFont="1" applyBorder="1" applyAlignment="1">
      <alignment horizontal="center" vertical="center" wrapText="1"/>
    </xf>
    <xf numFmtId="0" fontId="5" fillId="0" borderId="1" xfId="0" applyFont="1" applyBorder="1"/>
    <xf numFmtId="9" fontId="5" fillId="25" borderId="1" xfId="0" applyNumberFormat="1" applyFont="1" applyFill="1" applyBorder="1" applyAlignment="1">
      <alignment horizontal="center" vertical="center" wrapText="1"/>
    </xf>
    <xf numFmtId="9" fontId="35" fillId="0" borderId="1" xfId="0" applyNumberFormat="1" applyFont="1" applyBorder="1" applyAlignment="1" applyProtection="1">
      <alignment horizontal="center" vertical="center"/>
      <protection locked="0"/>
    </xf>
    <xf numFmtId="4" fontId="36" fillId="0" borderId="1" xfId="0" applyNumberFormat="1" applyFont="1" applyBorder="1" applyAlignment="1" applyProtection="1">
      <alignment horizontal="center" vertical="center"/>
      <protection locked="0"/>
    </xf>
    <xf numFmtId="0" fontId="36" fillId="0" borderId="1" xfId="0" applyFont="1" applyBorder="1" applyAlignment="1" applyProtection="1">
      <alignment horizontal="center" vertical="center"/>
      <protection locked="0"/>
    </xf>
    <xf numFmtId="0" fontId="36" fillId="0" borderId="1" xfId="16" applyFont="1" applyBorder="1" applyAlignment="1" applyProtection="1">
      <alignment horizontal="center" vertical="center"/>
      <protection locked="0"/>
    </xf>
    <xf numFmtId="0" fontId="35" fillId="0" borderId="1" xfId="16" applyFont="1" applyBorder="1" applyAlignment="1" applyProtection="1">
      <alignment horizontal="center" vertical="center"/>
      <protection locked="0"/>
    </xf>
    <xf numFmtId="0" fontId="13" fillId="0" borderId="1" xfId="0" applyFont="1" applyBorder="1" applyAlignment="1">
      <alignment horizontal="center" vertical="center" wrapText="1"/>
    </xf>
    <xf numFmtId="9" fontId="5" fillId="17" borderId="1" xfId="0" applyNumberFormat="1" applyFont="1" applyFill="1" applyBorder="1" applyAlignment="1">
      <alignment horizontal="center" vertical="center" wrapText="1"/>
    </xf>
    <xf numFmtId="10" fontId="35" fillId="0" borderId="1" xfId="0" applyNumberFormat="1" applyFont="1" applyBorder="1" applyAlignment="1">
      <alignment horizontal="center" vertical="center"/>
    </xf>
    <xf numFmtId="10" fontId="36" fillId="0" borderId="1" xfId="16" applyNumberFormat="1" applyFont="1" applyBorder="1" applyAlignment="1" applyProtection="1">
      <alignment horizontal="center" vertical="center"/>
      <protection locked="0"/>
    </xf>
    <xf numFmtId="9" fontId="13" fillId="17" borderId="1" xfId="0" applyNumberFormat="1" applyFont="1" applyFill="1" applyBorder="1" applyAlignment="1">
      <alignment horizontal="center" vertical="center" wrapText="1"/>
    </xf>
    <xf numFmtId="9" fontId="36" fillId="0" borderId="1" xfId="16" applyNumberFormat="1" applyFont="1" applyBorder="1" applyAlignment="1" applyProtection="1">
      <alignment horizontal="center" vertical="center"/>
      <protection locked="0"/>
    </xf>
    <xf numFmtId="0" fontId="13" fillId="0" borderId="1" xfId="0" applyFont="1" applyBorder="1" applyAlignment="1">
      <alignment vertical="center" wrapText="1"/>
    </xf>
    <xf numFmtId="3" fontId="36" fillId="0" borderId="1" xfId="16" applyNumberFormat="1" applyFont="1" applyBorder="1" applyAlignment="1" applyProtection="1">
      <alignment horizontal="center" vertical="center"/>
      <protection locked="0"/>
    </xf>
    <xf numFmtId="0" fontId="36" fillId="0" borderId="1" xfId="0" applyFont="1" applyBorder="1" applyAlignment="1">
      <alignment horizontal="center" vertical="center"/>
    </xf>
    <xf numFmtId="168" fontId="36" fillId="0" borderId="1" xfId="0" applyNumberFormat="1" applyFont="1" applyBorder="1" applyAlignment="1">
      <alignment horizontal="center" vertical="center"/>
    </xf>
    <xf numFmtId="169" fontId="36" fillId="0" borderId="1" xfId="0" applyNumberFormat="1" applyFont="1" applyBorder="1" applyAlignment="1">
      <alignment horizontal="center" vertical="center"/>
    </xf>
    <xf numFmtId="0" fontId="5" fillId="0" borderId="1" xfId="0" applyFont="1" applyBorder="1" applyAlignment="1">
      <alignment wrapText="1"/>
    </xf>
    <xf numFmtId="9" fontId="13" fillId="0" borderId="1" xfId="0" applyNumberFormat="1" applyFont="1" applyBorder="1" applyAlignment="1">
      <alignment horizontal="center" vertical="center" wrapText="1"/>
    </xf>
    <xf numFmtId="9" fontId="13" fillId="25" borderId="1" xfId="0" applyNumberFormat="1" applyFont="1" applyFill="1" applyBorder="1" applyAlignment="1">
      <alignment horizontal="center" vertical="center" wrapText="1"/>
    </xf>
    <xf numFmtId="10" fontId="35" fillId="0" borderId="1" xfId="0" applyNumberFormat="1" applyFont="1" applyBorder="1" applyAlignment="1" applyProtection="1">
      <alignment horizontal="center" vertical="center"/>
      <protection locked="0"/>
    </xf>
    <xf numFmtId="10" fontId="37" fillId="0" borderId="1" xfId="16" applyNumberFormat="1" applyFont="1" applyBorder="1" applyAlignment="1" applyProtection="1">
      <alignment horizontal="center" vertical="center"/>
      <protection locked="0"/>
    </xf>
    <xf numFmtId="0" fontId="37" fillId="0" borderId="1" xfId="16" applyFont="1" applyBorder="1" applyAlignment="1" applyProtection="1">
      <alignment horizontal="center" vertical="center"/>
      <protection locked="0"/>
    </xf>
    <xf numFmtId="166" fontId="37" fillId="0" borderId="1" xfId="16" applyNumberFormat="1" applyFont="1" applyBorder="1" applyAlignment="1" applyProtection="1">
      <alignment horizontal="center" vertical="center"/>
      <protection locked="0"/>
    </xf>
    <xf numFmtId="9" fontId="37" fillId="0" borderId="1" xfId="16" applyNumberFormat="1" applyFont="1" applyBorder="1" applyAlignment="1" applyProtection="1">
      <alignment horizontal="center" vertical="center"/>
      <protection locked="0"/>
    </xf>
    <xf numFmtId="169" fontId="39" fillId="0" borderId="1" xfId="16" applyNumberFormat="1" applyFont="1" applyBorder="1" applyAlignment="1" applyProtection="1">
      <alignment horizontal="center" vertical="center"/>
      <protection locked="0"/>
    </xf>
    <xf numFmtId="3" fontId="39" fillId="0" borderId="1" xfId="16" applyNumberFormat="1" applyFont="1" applyBorder="1" applyAlignment="1" applyProtection="1">
      <alignment horizontal="center" vertical="center"/>
      <protection locked="0"/>
    </xf>
    <xf numFmtId="1" fontId="39" fillId="0" borderId="1" xfId="16" applyNumberFormat="1" applyFont="1" applyBorder="1" applyAlignment="1" applyProtection="1">
      <alignment horizontal="center" vertical="center"/>
      <protection locked="0"/>
    </xf>
    <xf numFmtId="0" fontId="39" fillId="0" borderId="1" xfId="16" applyFont="1" applyBorder="1" applyAlignment="1" applyProtection="1">
      <alignment horizontal="center" vertical="center"/>
      <protection locked="0"/>
    </xf>
    <xf numFmtId="2" fontId="36" fillId="0" borderId="1" xfId="16" applyNumberFormat="1" applyFont="1" applyBorder="1" applyAlignment="1" applyProtection="1">
      <alignment horizontal="center" vertical="center"/>
      <protection locked="0"/>
    </xf>
    <xf numFmtId="0" fontId="5" fillId="25" borderId="1" xfId="0" applyFont="1" applyFill="1" applyBorder="1" applyAlignment="1">
      <alignment wrapText="1"/>
    </xf>
    <xf numFmtId="0" fontId="13" fillId="25" borderId="1" xfId="0" applyFont="1" applyFill="1" applyBorder="1" applyAlignment="1">
      <alignment horizontal="center" vertical="center"/>
    </xf>
    <xf numFmtId="0" fontId="13" fillId="0" borderId="1" xfId="0" applyFont="1" applyBorder="1" applyAlignment="1">
      <alignment horizontal="center" vertical="center"/>
    </xf>
    <xf numFmtId="0" fontId="5" fillId="17" borderId="1" xfId="0" applyFont="1" applyFill="1" applyBorder="1" applyAlignment="1">
      <alignment horizontal="center" vertical="center" wrapText="1"/>
    </xf>
    <xf numFmtId="4" fontId="36" fillId="0" borderId="1" xfId="16" applyNumberFormat="1" applyFont="1" applyBorder="1" applyAlignment="1" applyProtection="1">
      <alignment horizontal="center" vertical="center"/>
      <protection locked="0"/>
    </xf>
    <xf numFmtId="2" fontId="36" fillId="0" borderId="1" xfId="0" applyNumberFormat="1" applyFont="1" applyBorder="1" applyAlignment="1" applyProtection="1">
      <alignment horizontal="center" vertical="center"/>
      <protection locked="0"/>
    </xf>
    <xf numFmtId="9" fontId="13" fillId="0" borderId="1" xfId="0" applyNumberFormat="1" applyFont="1" applyBorder="1" applyAlignment="1">
      <alignment horizontal="center" vertical="center"/>
    </xf>
    <xf numFmtId="0" fontId="13" fillId="25" borderId="1" xfId="0" applyFont="1" applyFill="1" applyBorder="1" applyAlignment="1">
      <alignment horizontal="center" vertical="center" wrapText="1"/>
    </xf>
    <xf numFmtId="0" fontId="36" fillId="26" borderId="27" xfId="16" applyFont="1" applyFill="1" applyBorder="1" applyAlignment="1">
      <alignment horizontal="center" vertical="center"/>
    </xf>
    <xf numFmtId="0" fontId="36" fillId="26" borderId="28" xfId="16" applyFont="1" applyFill="1" applyBorder="1" applyAlignment="1">
      <alignment horizontal="center" vertical="center"/>
    </xf>
    <xf numFmtId="42" fontId="32" fillId="0" borderId="0" xfId="22" applyFont="1" applyFill="1" applyBorder="1" applyAlignment="1" applyProtection="1">
      <alignment horizontal="center" vertical="center"/>
    </xf>
    <xf numFmtId="0" fontId="0" fillId="0" borderId="0" xfId="0" applyAlignment="1">
      <alignment horizontal="center" vertical="center"/>
    </xf>
    <xf numFmtId="42" fontId="32" fillId="0" borderId="0" xfId="0" applyNumberFormat="1" applyFont="1" applyAlignment="1">
      <alignment horizontal="center" vertical="center"/>
    </xf>
    <xf numFmtId="9" fontId="32" fillId="0" borderId="0" xfId="1" applyFont="1" applyFill="1" applyBorder="1" applyAlignment="1" applyProtection="1">
      <alignment horizontal="center" vertical="center"/>
    </xf>
    <xf numFmtId="16" fontId="32" fillId="0" borderId="0" xfId="0" applyNumberFormat="1" applyFont="1" applyAlignment="1">
      <alignment horizontal="center" vertical="center"/>
    </xf>
    <xf numFmtId="0" fontId="29" fillId="24" borderId="1" xfId="25" applyNumberFormat="1" applyFont="1" applyBorder="1" applyAlignment="1">
      <alignment horizontal="center" vertical="center" wrapText="1"/>
    </xf>
    <xf numFmtId="0" fontId="29" fillId="24" borderId="1" xfId="25" applyFont="1" applyBorder="1" applyAlignment="1" applyProtection="1">
      <alignment horizontal="center" vertical="center" wrapText="1"/>
    </xf>
    <xf numFmtId="0" fontId="29" fillId="24" borderId="1" xfId="25" applyFont="1" applyBorder="1" applyAlignment="1" applyProtection="1">
      <alignment horizontal="center" vertical="center"/>
    </xf>
    <xf numFmtId="0" fontId="29" fillId="24" borderId="1" xfId="25" applyFont="1" applyBorder="1" applyAlignment="1">
      <alignment horizontal="center" vertical="center" wrapText="1"/>
    </xf>
    <xf numFmtId="0" fontId="13" fillId="0" borderId="2" xfId="0" applyFont="1" applyBorder="1" applyAlignment="1">
      <alignment wrapText="1"/>
    </xf>
    <xf numFmtId="0" fontId="13" fillId="0" borderId="29" xfId="0" applyFont="1" applyBorder="1"/>
    <xf numFmtId="0" fontId="13" fillId="0" borderId="2" xfId="0" applyFont="1" applyBorder="1"/>
    <xf numFmtId="0" fontId="5" fillId="0" borderId="2" xfId="0" applyFont="1" applyBorder="1" applyAlignment="1">
      <alignment wrapText="1"/>
    </xf>
    <xf numFmtId="0" fontId="4" fillId="0" borderId="1" xfId="0" applyFont="1" applyBorder="1" applyAlignment="1">
      <alignment vertical="center" wrapText="1"/>
    </xf>
    <xf numFmtId="0" fontId="13" fillId="0" borderId="2" xfId="0" applyFont="1" applyBorder="1" applyAlignment="1">
      <alignment horizontal="center" vertical="center" wrapText="1"/>
    </xf>
    <xf numFmtId="0" fontId="13" fillId="0" borderId="30" xfId="0" applyFont="1" applyBorder="1" applyAlignment="1">
      <alignment horizontal="center" vertical="center"/>
    </xf>
    <xf numFmtId="0" fontId="13" fillId="0" borderId="31" xfId="0" applyFont="1" applyBorder="1" applyAlignment="1">
      <alignment wrapText="1"/>
    </xf>
    <xf numFmtId="0" fontId="13" fillId="0" borderId="13" xfId="0" applyFont="1" applyBorder="1" applyAlignment="1">
      <alignment wrapText="1"/>
    </xf>
    <xf numFmtId="0" fontId="13" fillId="0" borderId="13" xfId="0" applyFont="1" applyBorder="1"/>
    <xf numFmtId="0" fontId="5" fillId="0" borderId="13" xfId="0" applyFont="1" applyBorder="1" applyAlignment="1">
      <alignment wrapText="1"/>
    </xf>
    <xf numFmtId="0" fontId="13" fillId="0" borderId="31"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32" xfId="0" applyFont="1" applyBorder="1" applyAlignment="1">
      <alignment horizontal="center" vertical="center"/>
    </xf>
    <xf numFmtId="9" fontId="13" fillId="0" borderId="31" xfId="0" applyNumberFormat="1" applyFont="1" applyBorder="1" applyAlignment="1">
      <alignment horizontal="center" vertical="center" wrapText="1"/>
    </xf>
    <xf numFmtId="9" fontId="13" fillId="0" borderId="13" xfId="0" applyNumberFormat="1" applyFont="1" applyBorder="1" applyAlignment="1">
      <alignment horizontal="center" vertical="center" wrapText="1"/>
    </xf>
    <xf numFmtId="0" fontId="13" fillId="0" borderId="13" xfId="0" applyFont="1" applyBorder="1" applyAlignment="1">
      <alignment horizontal="center" vertical="center"/>
    </xf>
    <xf numFmtId="0" fontId="13" fillId="0" borderId="33" xfId="0" applyFont="1" applyBorder="1"/>
    <xf numFmtId="0" fontId="13" fillId="0" borderId="34" xfId="0" applyFont="1" applyBorder="1"/>
    <xf numFmtId="0" fontId="5" fillId="0" borderId="34" xfId="0" applyFont="1" applyBorder="1" applyAlignment="1">
      <alignment wrapText="1"/>
    </xf>
    <xf numFmtId="0" fontId="13" fillId="0" borderId="34" xfId="0" applyFont="1" applyBorder="1" applyAlignment="1">
      <alignment horizontal="center" vertical="center" wrapText="1"/>
    </xf>
    <xf numFmtId="0" fontId="13" fillId="0" borderId="35" xfId="0" applyFont="1" applyBorder="1" applyAlignment="1">
      <alignment horizontal="center" vertical="center"/>
    </xf>
    <xf numFmtId="0" fontId="0" fillId="0" borderId="0" xfId="0" applyAlignment="1">
      <alignment horizontal="center" vertical="center" wrapText="1"/>
    </xf>
    <xf numFmtId="0" fontId="40" fillId="2" borderId="0" xfId="0" applyFont="1" applyFill="1" applyAlignment="1" applyProtection="1">
      <alignment vertical="center"/>
      <protection hidden="1"/>
    </xf>
    <xf numFmtId="0" fontId="41" fillId="2" borderId="0" xfId="0" applyFont="1" applyFill="1" applyAlignment="1" applyProtection="1">
      <alignment vertical="center"/>
      <protection hidden="1"/>
    </xf>
    <xf numFmtId="0" fontId="41" fillId="2" borderId="0" xfId="0" applyFont="1" applyFill="1" applyAlignment="1" applyProtection="1">
      <alignment horizontal="center" vertical="center"/>
      <protection hidden="1"/>
    </xf>
    <xf numFmtId="0" fontId="41" fillId="0" borderId="0" xfId="0" applyFont="1" applyAlignment="1" applyProtection="1">
      <alignment horizontal="center" vertical="center" wrapText="1"/>
      <protection hidden="1"/>
    </xf>
    <xf numFmtId="0" fontId="43" fillId="2" borderId="0" xfId="0" applyFont="1" applyFill="1" applyAlignment="1" applyProtection="1">
      <alignment horizontal="center" vertical="center"/>
      <protection hidden="1"/>
    </xf>
    <xf numFmtId="0" fontId="44" fillId="11" borderId="37" xfId="0" applyFont="1" applyFill="1" applyBorder="1" applyAlignment="1" applyProtection="1">
      <alignment horizontal="center" vertical="center" wrapText="1"/>
      <protection hidden="1"/>
    </xf>
    <xf numFmtId="0" fontId="44" fillId="11" borderId="11" xfId="0" applyFont="1" applyFill="1" applyBorder="1" applyAlignment="1" applyProtection="1">
      <alignment horizontal="center" vertical="center" wrapText="1"/>
      <protection hidden="1"/>
    </xf>
    <xf numFmtId="0" fontId="3" fillId="3" borderId="37" xfId="0" applyFont="1" applyFill="1" applyBorder="1" applyAlignment="1" applyProtection="1">
      <alignment horizontal="center" vertical="center" wrapText="1"/>
      <protection hidden="1"/>
    </xf>
    <xf numFmtId="0" fontId="44" fillId="3" borderId="37" xfId="0" applyFont="1" applyFill="1" applyBorder="1" applyAlignment="1" applyProtection="1">
      <alignment horizontal="center" vertical="center" wrapText="1"/>
      <protection hidden="1"/>
    </xf>
    <xf numFmtId="0" fontId="44" fillId="3" borderId="38" xfId="0" applyFont="1" applyFill="1" applyBorder="1" applyAlignment="1" applyProtection="1">
      <alignment horizontal="center" vertical="center" wrapText="1"/>
      <protection hidden="1"/>
    </xf>
    <xf numFmtId="0" fontId="44" fillId="3" borderId="16" xfId="0" applyFont="1" applyFill="1" applyBorder="1" applyAlignment="1" applyProtection="1">
      <alignment horizontal="center" vertical="center" wrapText="1"/>
      <protection hidden="1"/>
    </xf>
    <xf numFmtId="0" fontId="45" fillId="2" borderId="0" xfId="0" applyFont="1" applyFill="1" applyAlignment="1" applyProtection="1">
      <alignment horizontal="center" vertical="center"/>
      <protection hidden="1"/>
    </xf>
    <xf numFmtId="0" fontId="44" fillId="3" borderId="1" xfId="0" applyFont="1" applyFill="1" applyBorder="1" applyAlignment="1" applyProtection="1">
      <alignment horizontal="center" vertical="center" wrapText="1"/>
      <protection hidden="1"/>
    </xf>
    <xf numFmtId="0" fontId="9" fillId="2" borderId="37" xfId="0" applyFont="1" applyFill="1" applyBorder="1" applyAlignment="1" applyProtection="1">
      <alignment horizontal="center" vertical="center" wrapText="1"/>
      <protection hidden="1"/>
    </xf>
    <xf numFmtId="0" fontId="9" fillId="2" borderId="37" xfId="0" applyFont="1" applyFill="1" applyBorder="1" applyAlignment="1" applyProtection="1">
      <alignment horizontal="center" vertical="center"/>
      <protection hidden="1"/>
    </xf>
    <xf numFmtId="14" fontId="9" fillId="2" borderId="37" xfId="0" applyNumberFormat="1" applyFont="1" applyFill="1" applyBorder="1" applyAlignment="1" applyProtection="1">
      <alignment horizontal="center" vertical="center" wrapText="1"/>
      <protection hidden="1"/>
    </xf>
    <xf numFmtId="0" fontId="9" fillId="2" borderId="37" xfId="0" applyFont="1" applyFill="1" applyBorder="1" applyAlignment="1" applyProtection="1">
      <alignment horizontal="left" vertical="center" wrapText="1"/>
      <protection hidden="1"/>
    </xf>
    <xf numFmtId="9" fontId="9" fillId="2" borderId="37" xfId="1" applyFont="1" applyFill="1" applyBorder="1" applyAlignment="1" applyProtection="1">
      <alignment horizontal="center" vertical="center" wrapText="1"/>
      <protection hidden="1"/>
    </xf>
    <xf numFmtId="9" fontId="9" fillId="0" borderId="43" xfId="0" applyNumberFormat="1" applyFont="1" applyBorder="1" applyAlignment="1">
      <alignment horizontal="center" vertical="center" wrapText="1"/>
    </xf>
    <xf numFmtId="9" fontId="9" fillId="2" borderId="38" xfId="1" applyFont="1" applyFill="1" applyBorder="1" applyAlignment="1" applyProtection="1">
      <alignment horizontal="center" vertical="center" wrapText="1"/>
      <protection hidden="1"/>
    </xf>
    <xf numFmtId="3" fontId="9" fillId="0" borderId="37" xfId="1" applyNumberFormat="1" applyFont="1" applyFill="1" applyBorder="1" applyAlignment="1" applyProtection="1">
      <alignment horizontal="center" vertical="center" wrapText="1"/>
      <protection hidden="1"/>
    </xf>
    <xf numFmtId="9" fontId="9" fillId="0" borderId="37" xfId="1" applyFont="1" applyFill="1" applyBorder="1" applyAlignment="1" applyProtection="1">
      <alignment horizontal="center" vertical="center" wrapText="1"/>
      <protection hidden="1"/>
    </xf>
    <xf numFmtId="9" fontId="9" fillId="0" borderId="37" xfId="1" applyFont="1" applyFill="1" applyBorder="1" applyAlignment="1" applyProtection="1">
      <alignment horizontal="justify" vertical="center" wrapText="1"/>
      <protection hidden="1"/>
    </xf>
    <xf numFmtId="9" fontId="9" fillId="0" borderId="38" xfId="1" applyFont="1" applyFill="1" applyBorder="1" applyAlignment="1" applyProtection="1">
      <alignment horizontal="justify" vertical="center" wrapText="1"/>
      <protection hidden="1"/>
    </xf>
    <xf numFmtId="3" fontId="9" fillId="0" borderId="16" xfId="1" applyNumberFormat="1" applyFont="1" applyFill="1" applyBorder="1" applyAlignment="1" applyProtection="1">
      <alignment horizontal="center" vertical="center" wrapText="1"/>
      <protection hidden="1"/>
    </xf>
    <xf numFmtId="9" fontId="9" fillId="0" borderId="37" xfId="1" applyFont="1" applyFill="1" applyBorder="1" applyAlignment="1" applyProtection="1">
      <alignment horizontal="left" vertical="center" wrapText="1"/>
      <protection hidden="1"/>
    </xf>
    <xf numFmtId="0" fontId="9" fillId="0" borderId="38" xfId="0" applyFont="1" applyBorder="1" applyAlignment="1">
      <alignment horizontal="justify" vertical="center" wrapText="1"/>
    </xf>
    <xf numFmtId="0" fontId="9" fillId="0" borderId="39" xfId="0" applyFont="1" applyBorder="1" applyAlignment="1">
      <alignment horizontal="justify" vertical="center" wrapText="1"/>
    </xf>
    <xf numFmtId="9" fontId="9" fillId="0" borderId="16" xfId="1" applyFont="1" applyFill="1" applyBorder="1" applyAlignment="1" applyProtection="1">
      <alignment horizontal="left" vertical="center" wrapText="1"/>
      <protection hidden="1"/>
    </xf>
    <xf numFmtId="0" fontId="9" fillId="2" borderId="0" xfId="0" applyFont="1" applyFill="1" applyAlignment="1" applyProtection="1">
      <alignment horizontal="center" vertical="center"/>
      <protection hidden="1"/>
    </xf>
    <xf numFmtId="1" fontId="9" fillId="2" borderId="1" xfId="0" applyNumberFormat="1" applyFont="1" applyFill="1" applyBorder="1" applyAlignment="1" applyProtection="1">
      <alignment horizontal="center" vertical="center" wrapText="1"/>
      <protection hidden="1"/>
    </xf>
    <xf numFmtId="9" fontId="9" fillId="2" borderId="1" xfId="1" applyFont="1" applyFill="1" applyBorder="1" applyAlignment="1" applyProtection="1">
      <alignment horizontal="center" vertical="center" wrapText="1"/>
      <protection hidden="1"/>
    </xf>
    <xf numFmtId="1" fontId="6" fillId="2" borderId="1" xfId="0" applyNumberFormat="1" applyFont="1" applyFill="1" applyBorder="1" applyAlignment="1" applyProtection="1">
      <alignment horizontal="center" vertical="center" wrapText="1"/>
      <protection hidden="1"/>
    </xf>
    <xf numFmtId="0" fontId="6" fillId="2" borderId="0" xfId="0" applyFont="1" applyFill="1" applyAlignment="1" applyProtection="1">
      <alignment horizontal="center" vertical="center"/>
      <protection hidden="1"/>
    </xf>
    <xf numFmtId="0" fontId="9" fillId="0" borderId="37" xfId="0" applyFont="1" applyBorder="1" applyAlignment="1">
      <alignment horizontal="justify" vertical="center" wrapText="1"/>
    </xf>
    <xf numFmtId="9" fontId="9" fillId="0" borderId="16" xfId="1" applyFont="1" applyBorder="1" applyAlignment="1">
      <alignment horizontal="center" vertical="center" wrapText="1"/>
    </xf>
    <xf numFmtId="3" fontId="6" fillId="0" borderId="16" xfId="1" applyNumberFormat="1" applyFont="1" applyFill="1" applyBorder="1" applyAlignment="1" applyProtection="1">
      <alignment horizontal="center" vertical="center" wrapText="1"/>
      <protection hidden="1"/>
    </xf>
    <xf numFmtId="3" fontId="6" fillId="0" borderId="37" xfId="1" applyNumberFormat="1" applyFont="1" applyFill="1" applyBorder="1" applyAlignment="1" applyProtection="1">
      <alignment horizontal="center" vertical="center" wrapText="1"/>
      <protection hidden="1"/>
    </xf>
    <xf numFmtId="9" fontId="6" fillId="0" borderId="37" xfId="1" applyFont="1" applyFill="1" applyBorder="1" applyAlignment="1" applyProtection="1">
      <alignment horizontal="center" vertical="center" wrapText="1"/>
      <protection hidden="1"/>
    </xf>
    <xf numFmtId="9" fontId="6" fillId="0" borderId="38" xfId="1" applyFont="1" applyFill="1" applyBorder="1" applyAlignment="1" applyProtection="1">
      <alignment horizontal="justify" vertical="center" wrapText="1"/>
      <protection hidden="1"/>
    </xf>
    <xf numFmtId="9" fontId="6" fillId="0" borderId="37" xfId="1" applyFont="1" applyFill="1" applyBorder="1" applyAlignment="1" applyProtection="1">
      <alignment horizontal="justify" vertical="center" wrapText="1"/>
      <protection hidden="1"/>
    </xf>
    <xf numFmtId="9" fontId="9" fillId="0" borderId="37" xfId="1" applyFont="1" applyBorder="1" applyAlignment="1">
      <alignment horizontal="center" vertical="center" wrapText="1"/>
    </xf>
    <xf numFmtId="3" fontId="48" fillId="0" borderId="16" xfId="1" applyNumberFormat="1" applyFont="1" applyFill="1" applyBorder="1" applyAlignment="1" applyProtection="1">
      <alignment horizontal="center" vertical="center" wrapText="1"/>
      <protection hidden="1"/>
    </xf>
    <xf numFmtId="3" fontId="48" fillId="0" borderId="37" xfId="1" applyNumberFormat="1" applyFont="1" applyFill="1" applyBorder="1" applyAlignment="1" applyProtection="1">
      <alignment horizontal="center" vertical="center" wrapText="1"/>
      <protection hidden="1"/>
    </xf>
    <xf numFmtId="9" fontId="48" fillId="0" borderId="37" xfId="1" applyFont="1" applyFill="1" applyBorder="1" applyAlignment="1" applyProtection="1">
      <alignment horizontal="center" vertical="center" wrapText="1"/>
      <protection hidden="1"/>
    </xf>
    <xf numFmtId="0" fontId="6" fillId="0" borderId="0" xfId="0" applyFont="1" applyAlignment="1" applyProtection="1">
      <alignment horizontal="center" vertical="center"/>
      <protection hidden="1"/>
    </xf>
    <xf numFmtId="0" fontId="9" fillId="0" borderId="37" xfId="0" applyFont="1" applyBorder="1" applyAlignment="1" applyProtection="1">
      <alignment horizontal="center" vertical="center" wrapText="1"/>
      <protection hidden="1"/>
    </xf>
    <xf numFmtId="0" fontId="9" fillId="0" borderId="37" xfId="0" applyFont="1" applyBorder="1" applyAlignment="1" applyProtection="1">
      <alignment horizontal="center" vertical="center"/>
      <protection hidden="1"/>
    </xf>
    <xf numFmtId="14" fontId="9" fillId="0" borderId="37" xfId="0" applyNumberFormat="1" applyFont="1" applyBorder="1" applyAlignment="1" applyProtection="1">
      <alignment horizontal="center" vertical="center" wrapText="1"/>
      <protection hidden="1"/>
    </xf>
    <xf numFmtId="0" fontId="9" fillId="0" borderId="37" xfId="0" applyFont="1" applyBorder="1" applyAlignment="1" applyProtection="1">
      <alignment vertical="center" wrapText="1"/>
      <protection hidden="1"/>
    </xf>
    <xf numFmtId="0" fontId="9" fillId="0" borderId="37" xfId="0" applyFont="1" applyBorder="1" applyAlignment="1" applyProtection="1">
      <alignment horizontal="left" vertical="center" wrapText="1"/>
      <protection hidden="1"/>
    </xf>
    <xf numFmtId="0" fontId="9" fillId="0" borderId="37" xfId="0" applyFont="1" applyBorder="1" applyAlignment="1" applyProtection="1">
      <alignment vertical="center"/>
      <protection hidden="1"/>
    </xf>
    <xf numFmtId="0" fontId="9" fillId="0" borderId="38" xfId="0" applyFont="1" applyBorder="1" applyAlignment="1" applyProtection="1">
      <alignment vertical="center" wrapText="1"/>
      <protection hidden="1"/>
    </xf>
    <xf numFmtId="9" fontId="6" fillId="0" borderId="38" xfId="1" applyFont="1" applyFill="1" applyBorder="1" applyAlignment="1" applyProtection="1">
      <alignment horizontal="center" vertical="center" wrapText="1"/>
      <protection hidden="1"/>
    </xf>
    <xf numFmtId="9" fontId="6" fillId="0" borderId="38" xfId="1" applyFont="1" applyFill="1" applyBorder="1" applyAlignment="1" applyProtection="1">
      <alignment horizontal="left" vertical="center" wrapText="1"/>
      <protection hidden="1"/>
    </xf>
    <xf numFmtId="9" fontId="6" fillId="0" borderId="37" xfId="1" applyFont="1" applyFill="1" applyBorder="1" applyAlignment="1" applyProtection="1">
      <alignment horizontal="left" vertical="center" wrapText="1"/>
      <protection hidden="1"/>
    </xf>
    <xf numFmtId="9" fontId="9" fillId="0" borderId="38" xfId="1" applyFont="1" applyFill="1" applyBorder="1" applyAlignment="1" applyProtection="1">
      <alignment horizontal="left" vertical="center" wrapText="1"/>
      <protection hidden="1"/>
    </xf>
    <xf numFmtId="9" fontId="6" fillId="2" borderId="37" xfId="1" applyFont="1" applyFill="1" applyBorder="1" applyAlignment="1" applyProtection="1">
      <alignment horizontal="left" vertical="center" wrapText="1"/>
      <protection hidden="1"/>
    </xf>
    <xf numFmtId="9" fontId="6" fillId="0" borderId="16" xfId="1" applyFont="1" applyFill="1" applyBorder="1" applyAlignment="1" applyProtection="1">
      <alignment horizontal="left" vertical="center" wrapText="1"/>
      <protection hidden="1"/>
    </xf>
    <xf numFmtId="1" fontId="6" fillId="0" borderId="1" xfId="0" applyNumberFormat="1" applyFont="1" applyBorder="1" applyAlignment="1" applyProtection="1">
      <alignment horizontal="center" vertical="center" wrapText="1"/>
      <protection hidden="1"/>
    </xf>
    <xf numFmtId="9" fontId="6" fillId="0" borderId="1" xfId="1" applyFont="1" applyFill="1" applyBorder="1" applyAlignment="1" applyProtection="1">
      <alignment horizontal="center" vertical="center" wrapText="1"/>
      <protection hidden="1"/>
    </xf>
    <xf numFmtId="9" fontId="9" fillId="0" borderId="1" xfId="1" applyFont="1" applyFill="1" applyBorder="1" applyAlignment="1" applyProtection="1">
      <alignment horizontal="center" vertical="center" wrapText="1"/>
      <protection hidden="1"/>
    </xf>
    <xf numFmtId="0" fontId="9" fillId="2" borderId="37" xfId="0" applyFont="1" applyFill="1" applyBorder="1" applyAlignment="1" applyProtection="1">
      <alignment vertical="center" wrapText="1"/>
      <protection hidden="1"/>
    </xf>
    <xf numFmtId="0" fontId="9" fillId="2" borderId="37" xfId="0" applyFont="1" applyFill="1" applyBorder="1" applyAlignment="1" applyProtection="1">
      <alignment vertical="center"/>
      <protection hidden="1"/>
    </xf>
    <xf numFmtId="0" fontId="9" fillId="2" borderId="38" xfId="0" applyFont="1" applyFill="1" applyBorder="1" applyAlignment="1" applyProtection="1">
      <alignment vertical="center" wrapText="1"/>
      <protection hidden="1"/>
    </xf>
    <xf numFmtId="3" fontId="6" fillId="2" borderId="37" xfId="1" applyNumberFormat="1" applyFont="1" applyFill="1" applyBorder="1" applyAlignment="1" applyProtection="1">
      <alignment horizontal="center" vertical="center" wrapText="1"/>
      <protection hidden="1"/>
    </xf>
    <xf numFmtId="9" fontId="6" fillId="2" borderId="37" xfId="1" applyFont="1" applyFill="1" applyBorder="1" applyAlignment="1" applyProtection="1">
      <alignment horizontal="center" vertical="center" wrapText="1"/>
      <protection hidden="1"/>
    </xf>
    <xf numFmtId="9" fontId="6" fillId="2" borderId="38" xfId="1" applyFont="1" applyFill="1" applyBorder="1" applyAlignment="1" applyProtection="1">
      <alignment horizontal="center" vertical="center" wrapText="1"/>
      <protection hidden="1"/>
    </xf>
    <xf numFmtId="9" fontId="6" fillId="2" borderId="38" xfId="1" applyFont="1" applyFill="1" applyBorder="1" applyAlignment="1" applyProtection="1">
      <alignment horizontal="left" vertical="center" wrapText="1"/>
      <protection hidden="1"/>
    </xf>
    <xf numFmtId="3" fontId="6" fillId="2" borderId="16" xfId="1" applyNumberFormat="1" applyFont="1" applyFill="1" applyBorder="1" applyAlignment="1" applyProtection="1">
      <alignment horizontal="center" vertical="center" wrapText="1"/>
      <protection hidden="1"/>
    </xf>
    <xf numFmtId="9" fontId="9" fillId="2" borderId="37" xfId="1" applyFont="1" applyFill="1" applyBorder="1" applyAlignment="1" applyProtection="1">
      <alignment horizontal="left" vertical="center" wrapText="1"/>
      <protection hidden="1"/>
    </xf>
    <xf numFmtId="3" fontId="9" fillId="2" borderId="37" xfId="1" applyNumberFormat="1" applyFont="1" applyFill="1" applyBorder="1" applyAlignment="1" applyProtection="1">
      <alignment horizontal="center" vertical="center" wrapText="1"/>
      <protection hidden="1"/>
    </xf>
    <xf numFmtId="9" fontId="9" fillId="2" borderId="38" xfId="1" applyFont="1" applyFill="1" applyBorder="1" applyAlignment="1" applyProtection="1">
      <alignment horizontal="left" vertical="center" wrapText="1"/>
      <protection hidden="1"/>
    </xf>
    <xf numFmtId="3" fontId="49" fillId="0" borderId="16" xfId="1" applyNumberFormat="1" applyFont="1" applyFill="1" applyBorder="1" applyAlignment="1" applyProtection="1">
      <alignment horizontal="center" vertical="center" wrapText="1"/>
      <protection hidden="1"/>
    </xf>
    <xf numFmtId="3" fontId="49" fillId="0" borderId="37" xfId="1" applyNumberFormat="1" applyFont="1" applyFill="1" applyBorder="1" applyAlignment="1" applyProtection="1">
      <alignment horizontal="center" vertical="center" wrapText="1"/>
      <protection hidden="1"/>
    </xf>
    <xf numFmtId="9" fontId="49" fillId="0" borderId="37" xfId="1" applyFont="1" applyFill="1" applyBorder="1" applyAlignment="1" applyProtection="1">
      <alignment horizontal="center" vertical="center" wrapText="1"/>
      <protection hidden="1"/>
    </xf>
    <xf numFmtId="1" fontId="9" fillId="0" borderId="1" xfId="0" applyNumberFormat="1" applyFont="1" applyBorder="1" applyAlignment="1" applyProtection="1">
      <alignment horizontal="center" vertical="center" wrapText="1"/>
      <protection hidden="1"/>
    </xf>
    <xf numFmtId="0" fontId="6" fillId="2" borderId="0" xfId="0" applyFont="1" applyFill="1" applyAlignment="1" applyProtection="1">
      <alignment horizontal="left" vertical="center" wrapText="1"/>
      <protection hidden="1"/>
    </xf>
    <xf numFmtId="3" fontId="6" fillId="0" borderId="37" xfId="1" applyNumberFormat="1" applyFont="1" applyFill="1" applyBorder="1" applyAlignment="1" applyProtection="1">
      <alignment horizontal="left" vertical="center" wrapText="1"/>
      <protection hidden="1"/>
    </xf>
    <xf numFmtId="9" fontId="6" fillId="2" borderId="1" xfId="1" applyFont="1" applyFill="1" applyBorder="1" applyAlignment="1" applyProtection="1">
      <alignment horizontal="center" vertical="center" wrapText="1"/>
      <protection hidden="1"/>
    </xf>
    <xf numFmtId="1" fontId="9" fillId="0" borderId="37" xfId="1" applyNumberFormat="1" applyFont="1" applyFill="1" applyBorder="1" applyAlignment="1" applyProtection="1">
      <alignment horizontal="center" vertical="center" wrapText="1"/>
      <protection hidden="1"/>
    </xf>
    <xf numFmtId="0" fontId="9" fillId="0" borderId="0" xfId="0" applyFont="1" applyAlignment="1" applyProtection="1">
      <alignment horizontal="center" vertical="center"/>
      <protection hidden="1"/>
    </xf>
    <xf numFmtId="0" fontId="9" fillId="0" borderId="37" xfId="0" applyFont="1" applyBorder="1" applyAlignment="1">
      <alignment horizontal="center" vertical="center" wrapText="1"/>
    </xf>
    <xf numFmtId="0" fontId="9" fillId="0" borderId="37" xfId="0" applyFont="1" applyBorder="1" applyAlignment="1">
      <alignment horizontal="left" vertical="center" wrapText="1"/>
    </xf>
    <xf numFmtId="0" fontId="9" fillId="0" borderId="37" xfId="0" applyFont="1" applyBorder="1" applyAlignment="1">
      <alignment horizontal="center" vertical="center"/>
    </xf>
    <xf numFmtId="0" fontId="9" fillId="0" borderId="38" xfId="0" applyFont="1" applyBorder="1" applyAlignment="1" applyProtection="1">
      <alignment horizontal="center" vertical="center" wrapText="1"/>
      <protection hidden="1"/>
    </xf>
    <xf numFmtId="0" fontId="9" fillId="2" borderId="38" xfId="0" applyFont="1" applyFill="1" applyBorder="1" applyAlignment="1" applyProtection="1">
      <alignment horizontal="center" vertical="center" wrapText="1"/>
      <protection hidden="1"/>
    </xf>
    <xf numFmtId="3" fontId="47" fillId="0" borderId="37" xfId="1" applyNumberFormat="1" applyFont="1" applyFill="1" applyBorder="1" applyAlignment="1" applyProtection="1">
      <alignment horizontal="center" vertical="center" wrapText="1"/>
      <protection hidden="1"/>
    </xf>
    <xf numFmtId="9" fontId="47" fillId="0" borderId="37" xfId="1" applyFont="1" applyFill="1" applyBorder="1" applyAlignment="1" applyProtection="1">
      <alignment horizontal="center" vertical="center" wrapText="1"/>
      <protection hidden="1"/>
    </xf>
    <xf numFmtId="3" fontId="6" fillId="2" borderId="37" xfId="1" applyNumberFormat="1" applyFont="1" applyFill="1" applyBorder="1" applyAlignment="1" applyProtection="1">
      <alignment vertical="center" wrapText="1"/>
      <protection hidden="1"/>
    </xf>
    <xf numFmtId="3" fontId="6" fillId="0" borderId="37" xfId="1" applyNumberFormat="1" applyFont="1" applyFill="1" applyBorder="1" applyAlignment="1" applyProtection="1">
      <alignment vertical="center" wrapText="1"/>
      <protection hidden="1"/>
    </xf>
    <xf numFmtId="0" fontId="12" fillId="0" borderId="37" xfId="0" applyFont="1" applyBorder="1" applyAlignment="1" applyProtection="1">
      <alignment horizontal="left" vertical="center" wrapText="1"/>
      <protection hidden="1"/>
    </xf>
    <xf numFmtId="9" fontId="9" fillId="0" borderId="37" xfId="1" applyFont="1" applyFill="1" applyBorder="1" applyAlignment="1" applyProtection="1">
      <alignment horizontal="center" vertical="center" wrapText="1"/>
    </xf>
    <xf numFmtId="0" fontId="12" fillId="0" borderId="0" xfId="0" applyFont="1" applyAlignment="1">
      <alignment vertical="center" wrapText="1"/>
    </xf>
    <xf numFmtId="0" fontId="6" fillId="0" borderId="38" xfId="1" applyNumberFormat="1" applyFont="1" applyFill="1" applyBorder="1" applyAlignment="1" applyProtection="1">
      <alignment horizontal="left" vertical="center" wrapText="1"/>
      <protection hidden="1"/>
    </xf>
    <xf numFmtId="3" fontId="9" fillId="0" borderId="37" xfId="1" applyNumberFormat="1" applyFont="1" applyFill="1" applyBorder="1" applyAlignment="1" applyProtection="1">
      <alignment horizontal="left" vertical="center" wrapText="1"/>
      <protection hidden="1"/>
    </xf>
    <xf numFmtId="0" fontId="9" fillId="0" borderId="16" xfId="0" applyFont="1" applyBorder="1" applyAlignment="1">
      <alignment horizontal="left" vertical="center" wrapText="1"/>
    </xf>
    <xf numFmtId="0" fontId="9" fillId="0" borderId="36" xfId="0" applyFont="1" applyBorder="1" applyAlignment="1">
      <alignment horizontal="left" vertical="center" wrapText="1"/>
    </xf>
    <xf numFmtId="0" fontId="9" fillId="0" borderId="38" xfId="0" applyFont="1" applyBorder="1" applyAlignment="1">
      <alignment horizontal="left" vertical="center" wrapText="1"/>
    </xf>
    <xf numFmtId="0" fontId="9" fillId="0" borderId="15" xfId="0" applyFont="1" applyBorder="1" applyAlignment="1">
      <alignment horizontal="left" vertical="center" wrapText="1"/>
    </xf>
    <xf numFmtId="9" fontId="9" fillId="2" borderId="37" xfId="0" applyNumberFormat="1" applyFont="1" applyFill="1" applyBorder="1" applyAlignment="1" applyProtection="1">
      <alignment horizontal="center" vertical="center"/>
      <protection hidden="1"/>
    </xf>
    <xf numFmtId="0" fontId="9" fillId="0" borderId="38" xfId="1" applyNumberFormat="1" applyFont="1" applyFill="1" applyBorder="1" applyAlignment="1" applyProtection="1">
      <alignment horizontal="left" vertical="center" wrapText="1"/>
      <protection hidden="1"/>
    </xf>
    <xf numFmtId="14" fontId="9" fillId="0" borderId="37" xfId="0" applyNumberFormat="1" applyFont="1" applyBorder="1" applyAlignment="1">
      <alignment horizontal="left" vertical="center" wrapText="1"/>
    </xf>
    <xf numFmtId="14" fontId="12" fillId="0" borderId="37" xfId="0" applyNumberFormat="1" applyFont="1" applyBorder="1" applyAlignment="1">
      <alignment horizontal="left" vertical="center" wrapText="1"/>
    </xf>
    <xf numFmtId="14" fontId="6" fillId="0" borderId="37" xfId="1" applyNumberFormat="1" applyFont="1" applyFill="1" applyBorder="1" applyAlignment="1" applyProtection="1">
      <alignment horizontal="left" vertical="center" wrapText="1"/>
      <protection hidden="1"/>
    </xf>
    <xf numFmtId="0" fontId="6" fillId="0" borderId="37" xfId="1" applyNumberFormat="1" applyFont="1" applyFill="1" applyBorder="1" applyAlignment="1" applyProtection="1">
      <alignment horizontal="left" vertical="center" wrapText="1"/>
      <protection hidden="1"/>
    </xf>
    <xf numFmtId="0" fontId="9" fillId="0" borderId="37" xfId="1" applyNumberFormat="1" applyFont="1" applyFill="1" applyBorder="1" applyAlignment="1" applyProtection="1">
      <alignment horizontal="left" vertical="center" wrapText="1"/>
      <protection hidden="1"/>
    </xf>
    <xf numFmtId="9" fontId="49" fillId="0" borderId="16" xfId="1" applyFont="1" applyFill="1" applyBorder="1" applyAlignment="1" applyProtection="1">
      <alignment horizontal="center" vertical="center" wrapText="1"/>
      <protection hidden="1"/>
    </xf>
    <xf numFmtId="9" fontId="6" fillId="2" borderId="37" xfId="1" applyFont="1" applyFill="1" applyBorder="1" applyAlignment="1" applyProtection="1">
      <alignment vertical="center" wrapText="1"/>
      <protection hidden="1"/>
    </xf>
    <xf numFmtId="9" fontId="6" fillId="0" borderId="37" xfId="1" applyFont="1" applyFill="1" applyBorder="1" applyAlignment="1" applyProtection="1">
      <alignment horizontal="left" vertical="top" wrapText="1"/>
      <protection hidden="1"/>
    </xf>
    <xf numFmtId="9" fontId="6" fillId="0" borderId="16" xfId="1" applyFont="1" applyFill="1" applyBorder="1" applyAlignment="1" applyProtection="1">
      <alignment horizontal="center" vertical="center" wrapText="1"/>
      <protection hidden="1"/>
    </xf>
    <xf numFmtId="9" fontId="9" fillId="0" borderId="37" xfId="1" applyFont="1" applyFill="1" applyBorder="1" applyAlignment="1" applyProtection="1">
      <alignment horizontal="center" vertical="center"/>
      <protection hidden="1"/>
    </xf>
    <xf numFmtId="9" fontId="6" fillId="0" borderId="37" xfId="1" applyFont="1" applyFill="1" applyBorder="1" applyAlignment="1" applyProtection="1">
      <alignment horizontal="center" vertical="center"/>
      <protection hidden="1"/>
    </xf>
    <xf numFmtId="0" fontId="12" fillId="0" borderId="38" xfId="0" applyFont="1" applyBorder="1" applyAlignment="1">
      <alignment horizontal="left" vertical="center" wrapText="1"/>
    </xf>
    <xf numFmtId="0" fontId="9" fillId="0" borderId="41" xfId="0" applyFont="1" applyBorder="1" applyAlignment="1" applyProtection="1">
      <alignment horizontal="center" vertical="center" wrapText="1"/>
      <protection hidden="1"/>
    </xf>
    <xf numFmtId="0" fontId="9" fillId="0" borderId="41" xfId="0" applyFont="1" applyBorder="1" applyAlignment="1" applyProtection="1">
      <alignment horizontal="center" vertical="center"/>
      <protection hidden="1"/>
    </xf>
    <xf numFmtId="0" fontId="9" fillId="2" borderId="0" xfId="0" applyFont="1" applyFill="1" applyAlignment="1">
      <alignment horizontal="left" vertical="center" wrapText="1"/>
    </xf>
    <xf numFmtId="0" fontId="9" fillId="2" borderId="37" xfId="0" applyFont="1" applyFill="1" applyBorder="1" applyAlignment="1">
      <alignment horizontal="left" vertical="center" wrapText="1"/>
    </xf>
    <xf numFmtId="0" fontId="9" fillId="2" borderId="37" xfId="0" applyFont="1" applyFill="1" applyBorder="1" applyAlignment="1">
      <alignment horizontal="center" vertical="center"/>
    </xf>
    <xf numFmtId="0" fontId="9" fillId="2" borderId="37" xfId="0" applyFont="1" applyFill="1" applyBorder="1" applyAlignment="1">
      <alignment horizontal="center" vertical="center" wrapText="1"/>
    </xf>
    <xf numFmtId="10" fontId="9" fillId="2" borderId="37" xfId="1" applyNumberFormat="1" applyFont="1" applyFill="1" applyBorder="1" applyAlignment="1" applyProtection="1">
      <alignment horizontal="center" vertical="center" wrapText="1"/>
      <protection hidden="1"/>
    </xf>
    <xf numFmtId="10" fontId="6" fillId="0" borderId="37" xfId="1" applyNumberFormat="1" applyFont="1" applyFill="1" applyBorder="1" applyAlignment="1" applyProtection="1">
      <alignment horizontal="center" vertical="center" wrapText="1"/>
      <protection hidden="1"/>
    </xf>
    <xf numFmtId="10" fontId="6" fillId="0" borderId="37" xfId="1" applyNumberFormat="1" applyFont="1" applyFill="1" applyBorder="1" applyAlignment="1" applyProtection="1">
      <alignment horizontal="left" vertical="center" wrapText="1" indent="3"/>
      <protection hidden="1"/>
    </xf>
    <xf numFmtId="10" fontId="6" fillId="0" borderId="1" xfId="1" applyNumberFormat="1" applyFont="1" applyFill="1" applyBorder="1" applyAlignment="1" applyProtection="1">
      <alignment horizontal="center" vertical="center" wrapText="1"/>
      <protection hidden="1"/>
    </xf>
    <xf numFmtId="166" fontId="6" fillId="0" borderId="1" xfId="1" applyNumberFormat="1" applyFont="1" applyFill="1" applyBorder="1" applyAlignment="1" applyProtection="1">
      <alignment horizontal="center" vertical="center" wrapText="1"/>
      <protection hidden="1"/>
    </xf>
    <xf numFmtId="0" fontId="9" fillId="0" borderId="41" xfId="0" applyFont="1" applyBorder="1" applyAlignment="1">
      <alignment horizontal="left" vertical="center" wrapText="1"/>
    </xf>
    <xf numFmtId="0" fontId="9" fillId="18" borderId="41" xfId="0" applyFont="1" applyFill="1" applyBorder="1" applyAlignment="1">
      <alignment horizontal="left" vertical="center" wrapText="1"/>
    </xf>
    <xf numFmtId="0" fontId="9" fillId="18" borderId="37" xfId="0" applyFont="1" applyFill="1" applyBorder="1" applyAlignment="1">
      <alignment horizontal="center" vertical="center"/>
    </xf>
    <xf numFmtId="0" fontId="9" fillId="18" borderId="37" xfId="0" applyFont="1" applyFill="1" applyBorder="1" applyAlignment="1">
      <alignment horizontal="center" vertical="center" wrapText="1"/>
    </xf>
    <xf numFmtId="166" fontId="6" fillId="0" borderId="37" xfId="1" applyNumberFormat="1" applyFont="1" applyFill="1" applyBorder="1" applyAlignment="1" applyProtection="1">
      <alignment horizontal="center" vertical="center" wrapText="1"/>
      <protection hidden="1"/>
    </xf>
    <xf numFmtId="9" fontId="9" fillId="2" borderId="37" xfId="1" applyFont="1" applyFill="1" applyBorder="1" applyAlignment="1" applyProtection="1">
      <alignment vertical="center" wrapText="1"/>
      <protection hidden="1"/>
    </xf>
    <xf numFmtId="14" fontId="6" fillId="0" borderId="38" xfId="1" applyNumberFormat="1" applyFont="1" applyFill="1" applyBorder="1" applyAlignment="1" applyProtection="1">
      <alignment horizontal="left" vertical="center" wrapText="1"/>
      <protection hidden="1"/>
    </xf>
    <xf numFmtId="170" fontId="6" fillId="0" borderId="37" xfId="1" applyNumberFormat="1" applyFont="1" applyFill="1" applyBorder="1" applyAlignment="1" applyProtection="1">
      <alignment horizontal="center" vertical="center" wrapText="1"/>
      <protection hidden="1"/>
    </xf>
    <xf numFmtId="9" fontId="6" fillId="0" borderId="41" xfId="1" applyFont="1" applyFill="1" applyBorder="1" applyAlignment="1" applyProtection="1">
      <alignment horizontal="left" vertical="center" wrapText="1"/>
      <protection hidden="1"/>
    </xf>
    <xf numFmtId="171" fontId="6" fillId="0" borderId="37" xfId="1" applyNumberFormat="1" applyFont="1" applyFill="1" applyBorder="1" applyAlignment="1" applyProtection="1">
      <alignment horizontal="center" vertical="center" wrapText="1"/>
      <protection hidden="1"/>
    </xf>
    <xf numFmtId="3" fontId="9" fillId="0" borderId="37" xfId="1" applyNumberFormat="1" applyFont="1" applyFill="1" applyBorder="1" applyAlignment="1" applyProtection="1">
      <alignment horizontal="justify" vertical="center" wrapText="1"/>
      <protection hidden="1"/>
    </xf>
    <xf numFmtId="3" fontId="9" fillId="0" borderId="16" xfId="1" applyNumberFormat="1" applyFont="1" applyFill="1" applyBorder="1" applyAlignment="1" applyProtection="1">
      <alignment horizontal="justify" vertical="center" wrapText="1"/>
      <protection hidden="1"/>
    </xf>
    <xf numFmtId="9" fontId="9" fillId="0" borderId="37" xfId="1" applyFont="1" applyFill="1" applyBorder="1" applyAlignment="1" applyProtection="1">
      <alignment vertical="center" wrapText="1"/>
      <protection hidden="1"/>
    </xf>
    <xf numFmtId="9" fontId="9" fillId="0" borderId="38" xfId="1" applyFont="1" applyFill="1" applyBorder="1" applyAlignment="1" applyProtection="1">
      <alignment horizontal="center" vertical="center" wrapText="1"/>
      <protection hidden="1"/>
    </xf>
    <xf numFmtId="3" fontId="6" fillId="2" borderId="1" xfId="0" applyNumberFormat="1" applyFont="1" applyFill="1" applyBorder="1" applyAlignment="1" applyProtection="1">
      <alignment horizontal="center" vertical="center" wrapText="1"/>
      <protection hidden="1"/>
    </xf>
    <xf numFmtId="0" fontId="9" fillId="29" borderId="37" xfId="0" applyFont="1" applyFill="1" applyBorder="1" applyAlignment="1">
      <alignment horizontal="center" vertical="center" wrapText="1"/>
    </xf>
    <xf numFmtId="9" fontId="9" fillId="0" borderId="37" xfId="9" applyFont="1" applyFill="1" applyBorder="1" applyAlignment="1" applyProtection="1">
      <alignment horizontal="center" vertical="center"/>
      <protection hidden="1"/>
    </xf>
    <xf numFmtId="3" fontId="47" fillId="0" borderId="16" xfId="1" applyNumberFormat="1" applyFont="1" applyFill="1" applyBorder="1" applyAlignment="1" applyProtection="1">
      <alignment horizontal="center" vertical="center" wrapText="1"/>
      <protection hidden="1"/>
    </xf>
    <xf numFmtId="9" fontId="53" fillId="0" borderId="38" xfId="1" applyFont="1" applyFill="1" applyBorder="1" applyAlignment="1" applyProtection="1">
      <alignment horizontal="left" vertical="center" wrapText="1"/>
      <protection hidden="1"/>
    </xf>
    <xf numFmtId="0" fontId="53" fillId="2" borderId="1" xfId="0" applyFont="1" applyFill="1" applyBorder="1" applyAlignment="1" applyProtection="1">
      <alignment horizontal="center" vertical="center" wrapText="1"/>
      <protection hidden="1"/>
    </xf>
    <xf numFmtId="9" fontId="9" fillId="29" borderId="37" xfId="9" applyFont="1" applyFill="1" applyBorder="1" applyAlignment="1" applyProtection="1">
      <alignment horizontal="center" vertical="center"/>
      <protection hidden="1"/>
    </xf>
    <xf numFmtId="9" fontId="9" fillId="2" borderId="37" xfId="0" applyNumberFormat="1" applyFont="1" applyFill="1" applyBorder="1" applyAlignment="1" applyProtection="1">
      <alignment horizontal="center" vertical="center" wrapText="1"/>
      <protection hidden="1"/>
    </xf>
    <xf numFmtId="0" fontId="9" fillId="0" borderId="37" xfId="1" applyNumberFormat="1" applyFont="1" applyFill="1" applyBorder="1" applyAlignment="1" applyProtection="1">
      <alignment horizontal="center" vertical="center" wrapText="1"/>
      <protection hidden="1"/>
    </xf>
    <xf numFmtId="9" fontId="6" fillId="0" borderId="37" xfId="0" applyNumberFormat="1" applyFont="1" applyBorder="1" applyAlignment="1" applyProtection="1">
      <alignment horizontal="center" vertical="center" wrapText="1"/>
      <protection hidden="1"/>
    </xf>
    <xf numFmtId="3" fontId="6" fillId="2" borderId="37" xfId="1" applyNumberFormat="1" applyFont="1" applyFill="1" applyBorder="1" applyAlignment="1" applyProtection="1">
      <alignment horizontal="left" vertical="center" wrapText="1"/>
      <protection hidden="1"/>
    </xf>
    <xf numFmtId="14" fontId="6" fillId="2" borderId="37" xfId="1" applyNumberFormat="1" applyFont="1" applyFill="1" applyBorder="1" applyAlignment="1" applyProtection="1">
      <alignment horizontal="left" vertical="center" wrapText="1"/>
      <protection hidden="1"/>
    </xf>
    <xf numFmtId="9" fontId="6" fillId="0" borderId="38" xfId="1" applyFont="1" applyFill="1" applyBorder="1" applyAlignment="1" applyProtection="1">
      <alignment vertical="center" wrapText="1"/>
      <protection hidden="1"/>
    </xf>
    <xf numFmtId="9" fontId="6" fillId="0" borderId="37" xfId="1" applyFont="1" applyFill="1" applyBorder="1" applyAlignment="1" applyProtection="1">
      <alignment vertical="center" wrapText="1"/>
      <protection hidden="1"/>
    </xf>
    <xf numFmtId="9" fontId="9" fillId="0" borderId="38" xfId="1" applyFont="1" applyFill="1" applyBorder="1" applyAlignment="1" applyProtection="1">
      <alignment vertical="center" wrapText="1"/>
      <protection hidden="1"/>
    </xf>
    <xf numFmtId="43" fontId="6" fillId="0" borderId="37" xfId="6" applyFont="1" applyFill="1" applyBorder="1" applyAlignment="1" applyProtection="1">
      <alignment horizontal="left" vertical="center" wrapText="1"/>
      <protection hidden="1"/>
    </xf>
    <xf numFmtId="0" fontId="9" fillId="2" borderId="37" xfId="0" applyFont="1" applyFill="1" applyBorder="1" applyAlignment="1" applyProtection="1">
      <alignment horizontal="justify" vertical="center" wrapText="1"/>
      <protection hidden="1"/>
    </xf>
    <xf numFmtId="0" fontId="9" fillId="0" borderId="37" xfId="0" applyFont="1" applyBorder="1" applyAlignment="1" applyProtection="1">
      <alignment horizontal="left" vertical="center"/>
      <protection hidden="1"/>
    </xf>
    <xf numFmtId="9" fontId="9" fillId="2" borderId="38" xfId="0" applyNumberFormat="1" applyFont="1" applyFill="1" applyBorder="1" applyAlignment="1" applyProtection="1">
      <alignment horizontal="center" vertical="center" wrapText="1"/>
      <protection hidden="1"/>
    </xf>
    <xf numFmtId="0" fontId="12" fillId="0" borderId="37" xfId="0" applyFont="1" applyBorder="1" applyAlignment="1">
      <alignment vertical="center" wrapText="1"/>
    </xf>
    <xf numFmtId="0" fontId="12" fillId="0" borderId="16" xfId="0" applyFont="1" applyBorder="1" applyAlignment="1">
      <alignment horizontal="center" vertical="center" wrapText="1"/>
    </xf>
    <xf numFmtId="9" fontId="12" fillId="0" borderId="16" xfId="0" applyNumberFormat="1" applyFont="1" applyBorder="1" applyAlignment="1">
      <alignment horizontal="center" vertical="center" wrapText="1"/>
    </xf>
    <xf numFmtId="0" fontId="12" fillId="0" borderId="42" xfId="0" applyFont="1" applyBorder="1" applyAlignment="1">
      <alignment vertical="center" wrapText="1"/>
    </xf>
    <xf numFmtId="3" fontId="6" fillId="0" borderId="37" xfId="1" applyNumberFormat="1" applyFont="1" applyFill="1" applyBorder="1" applyAlignment="1" applyProtection="1">
      <alignment horizontal="justify" vertical="center" wrapText="1"/>
      <protection hidden="1"/>
    </xf>
    <xf numFmtId="1" fontId="6" fillId="0" borderId="37" xfId="1" applyNumberFormat="1" applyFont="1" applyFill="1" applyBorder="1" applyAlignment="1" applyProtection="1">
      <alignment horizontal="center" vertical="center" wrapText="1"/>
      <protection hidden="1"/>
    </xf>
    <xf numFmtId="9" fontId="12" fillId="0" borderId="37" xfId="0" applyNumberFormat="1" applyFont="1" applyBorder="1" applyAlignment="1">
      <alignment horizontal="center" vertical="center" wrapText="1"/>
    </xf>
    <xf numFmtId="1" fontId="6" fillId="2" borderId="1" xfId="1" applyNumberFormat="1" applyFont="1" applyFill="1" applyBorder="1" applyAlignment="1" applyProtection="1">
      <alignment horizontal="center" vertical="center" wrapText="1"/>
      <protection hidden="1"/>
    </xf>
    <xf numFmtId="0" fontId="9" fillId="2" borderId="37" xfId="17" applyNumberFormat="1" applyFont="1" applyFill="1" applyBorder="1" applyAlignment="1" applyProtection="1">
      <alignment horizontal="left" vertical="center" wrapText="1"/>
      <protection locked="0" hidden="1"/>
    </xf>
    <xf numFmtId="0" fontId="9" fillId="0" borderId="37" xfId="17" applyNumberFormat="1" applyFont="1" applyFill="1" applyBorder="1" applyAlignment="1" applyProtection="1">
      <alignment horizontal="left" vertical="center" wrapText="1"/>
      <protection locked="0" hidden="1"/>
    </xf>
    <xf numFmtId="3" fontId="6" fillId="0" borderId="1" xfId="0" applyNumberFormat="1" applyFont="1" applyBorder="1" applyAlignment="1" applyProtection="1">
      <alignment horizontal="center" vertical="center" wrapText="1"/>
      <protection hidden="1"/>
    </xf>
    <xf numFmtId="0" fontId="9" fillId="0" borderId="0" xfId="0" applyFont="1" applyAlignment="1">
      <alignment horizontal="center" vertical="center"/>
    </xf>
    <xf numFmtId="0" fontId="9" fillId="0" borderId="43" xfId="0" applyFont="1" applyBorder="1" applyAlignment="1">
      <alignment horizontal="center" vertical="center" wrapText="1"/>
    </xf>
    <xf numFmtId="0" fontId="9" fillId="0" borderId="43" xfId="0" applyFont="1" applyBorder="1" applyAlignment="1">
      <alignment horizontal="left" vertical="center" wrapText="1"/>
    </xf>
    <xf numFmtId="0" fontId="9" fillId="30" borderId="43" xfId="0" applyFont="1" applyFill="1" applyBorder="1" applyAlignment="1">
      <alignment horizontal="left" vertical="center"/>
    </xf>
    <xf numFmtId="0" fontId="9" fillId="30" borderId="43" xfId="0" applyFont="1" applyFill="1" applyBorder="1" applyAlignment="1">
      <alignment horizontal="center" vertical="center" wrapText="1"/>
    </xf>
    <xf numFmtId="0" fontId="9" fillId="30" borderId="43" xfId="0" applyFont="1" applyFill="1" applyBorder="1" applyAlignment="1">
      <alignment horizontal="left" vertical="center" wrapText="1"/>
    </xf>
    <xf numFmtId="0" fontId="9" fillId="30" borderId="43" xfId="0" applyFont="1" applyFill="1" applyBorder="1" applyAlignment="1">
      <alignment horizontal="center" vertical="center"/>
    </xf>
    <xf numFmtId="0" fontId="9" fillId="0" borderId="43" xfId="0" applyFont="1" applyBorder="1" applyAlignment="1">
      <alignment horizontal="center" vertical="center"/>
    </xf>
    <xf numFmtId="0" fontId="9" fillId="0" borderId="44" xfId="0" applyFont="1" applyBorder="1" applyAlignment="1">
      <alignment horizontal="center" vertical="center" wrapText="1"/>
    </xf>
    <xf numFmtId="10" fontId="9" fillId="30" borderId="43" xfId="0" applyNumberFormat="1" applyFont="1" applyFill="1" applyBorder="1" applyAlignment="1">
      <alignment horizontal="center" vertical="center" wrapText="1"/>
    </xf>
    <xf numFmtId="9" fontId="9" fillId="30" borderId="43" xfId="0" applyNumberFormat="1" applyFont="1" applyFill="1" applyBorder="1" applyAlignment="1">
      <alignment horizontal="center" vertical="center" wrapText="1"/>
    </xf>
    <xf numFmtId="3" fontId="9" fillId="0" borderId="43" xfId="0" applyNumberFormat="1" applyFont="1" applyBorder="1" applyAlignment="1">
      <alignment horizontal="center" vertical="center" wrapText="1"/>
    </xf>
    <xf numFmtId="9" fontId="9" fillId="0" borderId="44" xfId="0" applyNumberFormat="1" applyFont="1" applyBorder="1" applyAlignment="1">
      <alignment horizontal="left" vertical="center" wrapText="1"/>
    </xf>
    <xf numFmtId="3" fontId="12" fillId="0" borderId="43" xfId="0" applyNumberFormat="1" applyFont="1" applyBorder="1" applyAlignment="1">
      <alignment horizontal="center" vertical="center" wrapText="1"/>
    </xf>
    <xf numFmtId="166" fontId="9" fillId="0" borderId="43" xfId="0" applyNumberFormat="1" applyFont="1" applyBorder="1" applyAlignment="1">
      <alignment horizontal="center" vertical="center" wrapText="1"/>
    </xf>
    <xf numFmtId="3" fontId="9" fillId="0" borderId="45" xfId="0" applyNumberFormat="1" applyFont="1" applyBorder="1" applyAlignment="1">
      <alignment horizontal="center" vertical="center" wrapText="1"/>
    </xf>
    <xf numFmtId="9" fontId="9" fillId="0" borderId="45" xfId="0" applyNumberFormat="1" applyFont="1" applyBorder="1" applyAlignment="1">
      <alignment horizontal="center" vertical="center" wrapText="1"/>
    </xf>
    <xf numFmtId="1" fontId="9" fillId="0" borderId="46" xfId="0" applyNumberFormat="1" applyFont="1" applyBorder="1" applyAlignment="1">
      <alignment horizontal="center" vertical="center" wrapText="1"/>
    </xf>
    <xf numFmtId="9" fontId="9" fillId="0" borderId="46" xfId="0" applyNumberFormat="1" applyFont="1" applyBorder="1" applyAlignment="1">
      <alignment horizontal="center" vertical="center" wrapText="1"/>
    </xf>
    <xf numFmtId="0" fontId="53" fillId="0" borderId="0" xfId="0" applyFont="1"/>
    <xf numFmtId="0" fontId="9" fillId="0" borderId="45" xfId="0" applyFont="1" applyBorder="1" applyAlignment="1">
      <alignment horizontal="center" vertical="center"/>
    </xf>
    <xf numFmtId="9" fontId="9" fillId="0" borderId="44" xfId="0" applyNumberFormat="1" applyFont="1" applyBorder="1" applyAlignment="1">
      <alignment horizontal="center" vertical="center" wrapText="1"/>
    </xf>
    <xf numFmtId="0" fontId="9" fillId="0" borderId="45" xfId="0" applyFont="1" applyBorder="1" applyAlignment="1">
      <alignment horizontal="center" vertical="center" wrapText="1"/>
    </xf>
    <xf numFmtId="0" fontId="9" fillId="0" borderId="45" xfId="0" applyFont="1" applyBorder="1" applyAlignment="1">
      <alignment horizontal="left" vertical="center" wrapText="1"/>
    </xf>
    <xf numFmtId="3" fontId="9" fillId="0" borderId="43" xfId="0" applyNumberFormat="1" applyFont="1" applyBorder="1" applyAlignment="1">
      <alignment horizontal="left" vertical="center" wrapText="1"/>
    </xf>
    <xf numFmtId="9" fontId="9" fillId="2" borderId="16" xfId="1" applyFont="1" applyFill="1" applyBorder="1" applyAlignment="1" applyProtection="1">
      <alignment horizontal="center" vertical="center" wrapText="1"/>
      <protection hidden="1"/>
    </xf>
    <xf numFmtId="0" fontId="9" fillId="2" borderId="16" xfId="0" applyFont="1" applyFill="1" applyBorder="1" applyAlignment="1" applyProtection="1">
      <alignment horizontal="center" vertical="center"/>
      <protection hidden="1"/>
    </xf>
    <xf numFmtId="0" fontId="6" fillId="0" borderId="37" xfId="0" applyFont="1" applyBorder="1" applyAlignment="1" applyProtection="1">
      <alignment horizontal="left" vertical="center" wrapText="1"/>
      <protection hidden="1"/>
    </xf>
    <xf numFmtId="0" fontId="6" fillId="0" borderId="37" xfId="0" applyFont="1" applyBorder="1" applyAlignment="1" applyProtection="1">
      <alignment horizontal="center" vertical="center" wrapText="1"/>
      <protection hidden="1"/>
    </xf>
    <xf numFmtId="9" fontId="6" fillId="0" borderId="37" xfId="1" applyFont="1" applyFill="1" applyBorder="1" applyAlignment="1" applyProtection="1">
      <alignment horizontal="center" vertical="top" wrapText="1"/>
      <protection hidden="1"/>
    </xf>
    <xf numFmtId="1" fontId="6" fillId="0" borderId="38" xfId="1" applyNumberFormat="1" applyFont="1" applyFill="1" applyBorder="1" applyAlignment="1" applyProtection="1">
      <alignment horizontal="center" vertical="center" wrapText="1"/>
      <protection hidden="1"/>
    </xf>
    <xf numFmtId="9" fontId="6" fillId="2" borderId="38" xfId="1" applyFont="1" applyFill="1" applyBorder="1" applyAlignment="1" applyProtection="1">
      <alignment horizontal="justify" vertical="center" wrapText="1"/>
      <protection hidden="1"/>
    </xf>
    <xf numFmtId="3" fontId="6" fillId="0" borderId="1" xfId="1" applyNumberFormat="1" applyFont="1" applyFill="1" applyBorder="1" applyAlignment="1" applyProtection="1">
      <alignment horizontal="center" vertical="center" wrapText="1"/>
      <protection hidden="1"/>
    </xf>
    <xf numFmtId="3" fontId="6" fillId="0" borderId="37" xfId="1" applyNumberFormat="1" applyFont="1" applyFill="1" applyBorder="1" applyAlignment="1" applyProtection="1">
      <alignment horizontal="center" vertical="top" wrapText="1"/>
      <protection hidden="1"/>
    </xf>
    <xf numFmtId="0" fontId="9" fillId="2" borderId="11" xfId="0" applyFont="1" applyFill="1" applyBorder="1" applyAlignment="1" applyProtection="1">
      <alignment horizontal="left" vertical="center" wrapText="1"/>
      <protection hidden="1"/>
    </xf>
    <xf numFmtId="14" fontId="9" fillId="2" borderId="37" xfId="1" applyNumberFormat="1" applyFont="1" applyFill="1" applyBorder="1" applyAlignment="1" applyProtection="1">
      <alignment horizontal="left" vertical="center" wrapText="1"/>
      <protection hidden="1"/>
    </xf>
    <xf numFmtId="9" fontId="6" fillId="2" borderId="37" xfId="1" applyFont="1" applyFill="1" applyBorder="1" applyAlignment="1" applyProtection="1">
      <alignment horizontal="justify" vertical="center" wrapText="1"/>
      <protection hidden="1"/>
    </xf>
    <xf numFmtId="0" fontId="12" fillId="17" borderId="37" xfId="0" applyFont="1" applyFill="1" applyBorder="1" applyAlignment="1">
      <alignment horizontal="left" vertical="center" wrapText="1"/>
    </xf>
    <xf numFmtId="0" fontId="9" fillId="17" borderId="37" xfId="0" applyFont="1" applyFill="1" applyBorder="1" applyAlignment="1">
      <alignment vertical="center" wrapText="1"/>
    </xf>
    <xf numFmtId="0" fontId="58" fillId="0" borderId="37" xfId="0" applyFont="1" applyBorder="1" applyAlignment="1">
      <alignment vertical="center" wrapText="1"/>
    </xf>
    <xf numFmtId="14" fontId="9" fillId="0" borderId="43" xfId="0" applyNumberFormat="1" applyFont="1" applyBorder="1" applyAlignment="1">
      <alignment horizontal="center" vertical="center" wrapText="1"/>
    </xf>
    <xf numFmtId="0" fontId="3" fillId="0" borderId="38" xfId="1" applyNumberFormat="1" applyFont="1" applyFill="1" applyBorder="1" applyAlignment="1" applyProtection="1">
      <alignment horizontal="justify" vertical="center" wrapText="1"/>
      <protection hidden="1"/>
    </xf>
    <xf numFmtId="3" fontId="48" fillId="0" borderId="43" xfId="0" applyNumberFormat="1" applyFont="1" applyBorder="1" applyAlignment="1">
      <alignment horizontal="center" vertical="center" wrapText="1"/>
    </xf>
    <xf numFmtId="3" fontId="60" fillId="0" borderId="43" xfId="0" applyNumberFormat="1" applyFont="1" applyBorder="1" applyAlignment="1">
      <alignment horizontal="center" vertical="center" wrapText="1"/>
    </xf>
    <xf numFmtId="9" fontId="60" fillId="0" borderId="43" xfId="0" applyNumberFormat="1" applyFont="1" applyBorder="1" applyAlignment="1">
      <alignment horizontal="center" vertical="center" wrapText="1"/>
    </xf>
    <xf numFmtId="3" fontId="46" fillId="0" borderId="43" xfId="0" applyNumberFormat="1" applyFont="1" applyBorder="1" applyAlignment="1">
      <alignment horizontal="center" vertical="center" wrapText="1"/>
    </xf>
    <xf numFmtId="9" fontId="46" fillId="0" borderId="43" xfId="0" applyNumberFormat="1" applyFont="1" applyBorder="1" applyAlignment="1">
      <alignment horizontal="center" vertical="center" wrapText="1"/>
    </xf>
    <xf numFmtId="9" fontId="9" fillId="0" borderId="44" xfId="0" applyNumberFormat="1" applyFont="1" applyBorder="1" applyAlignment="1">
      <alignment horizontal="justify" vertical="center" wrapText="1"/>
    </xf>
    <xf numFmtId="9" fontId="9" fillId="0" borderId="43" xfId="0" applyNumberFormat="1" applyFont="1" applyBorder="1" applyAlignment="1">
      <alignment horizontal="left" vertical="center" wrapText="1"/>
    </xf>
    <xf numFmtId="172" fontId="9" fillId="0" borderId="46" xfId="0" applyNumberFormat="1" applyFont="1" applyBorder="1" applyAlignment="1">
      <alignment horizontal="center" vertical="center" wrapText="1"/>
    </xf>
    <xf numFmtId="9" fontId="9" fillId="0" borderId="37" xfId="0" applyNumberFormat="1" applyFont="1" applyBorder="1" applyAlignment="1" applyProtection="1">
      <alignment horizontal="center" vertical="center" wrapText="1"/>
      <protection hidden="1"/>
    </xf>
    <xf numFmtId="0" fontId="9" fillId="0" borderId="47" xfId="0" applyFont="1" applyBorder="1" applyAlignment="1">
      <alignment horizontal="left" vertical="center" wrapText="1"/>
    </xf>
    <xf numFmtId="0" fontId="9" fillId="0" borderId="48" xfId="0" applyFont="1" applyBorder="1" applyAlignment="1">
      <alignment horizontal="left" vertical="center" wrapText="1"/>
    </xf>
    <xf numFmtId="9" fontId="9" fillId="0" borderId="43" xfId="0" applyNumberFormat="1" applyFont="1" applyBorder="1" applyAlignment="1">
      <alignment horizontal="justify" vertical="center" wrapText="1"/>
    </xf>
    <xf numFmtId="14" fontId="9" fillId="0" borderId="43" xfId="0" applyNumberFormat="1" applyFont="1" applyBorder="1" applyAlignment="1">
      <alignment horizontal="left" vertical="center" wrapText="1"/>
    </xf>
    <xf numFmtId="9" fontId="48" fillId="0" borderId="43" xfId="0" applyNumberFormat="1" applyFont="1" applyBorder="1" applyAlignment="1">
      <alignment horizontal="center" vertical="center" wrapText="1"/>
    </xf>
    <xf numFmtId="0" fontId="6" fillId="16" borderId="37" xfId="0" applyFont="1" applyFill="1" applyBorder="1" applyAlignment="1">
      <alignment horizontal="center" vertical="center" wrapText="1"/>
    </xf>
    <xf numFmtId="0" fontId="6" fillId="16" borderId="37" xfId="0" applyFont="1" applyFill="1" applyBorder="1" applyAlignment="1">
      <alignment horizontal="left" vertical="center" wrapText="1"/>
    </xf>
    <xf numFmtId="0" fontId="6" fillId="16" borderId="11" xfId="0" applyFont="1" applyFill="1" applyBorder="1" applyAlignment="1">
      <alignment horizontal="left" vertical="center" wrapText="1"/>
    </xf>
    <xf numFmtId="0" fontId="6" fillId="16" borderId="11" xfId="0" applyFont="1" applyFill="1" applyBorder="1" applyAlignment="1">
      <alignment horizontal="center" vertical="center" wrapText="1"/>
    </xf>
    <xf numFmtId="14" fontId="6" fillId="2" borderId="37" xfId="11" applyNumberFormat="1" applyFont="1" applyFill="1" applyBorder="1" applyAlignment="1" applyProtection="1">
      <alignment horizontal="center" vertical="center" wrapText="1"/>
      <protection hidden="1"/>
    </xf>
    <xf numFmtId="0" fontId="6" fillId="2" borderId="11" xfId="0" applyFont="1" applyFill="1" applyBorder="1" applyAlignment="1">
      <alignment horizontal="left" vertical="center" wrapText="1"/>
    </xf>
    <xf numFmtId="0" fontId="6" fillId="2" borderId="11" xfId="0" applyFont="1" applyFill="1" applyBorder="1" applyAlignment="1">
      <alignment horizontal="center" vertical="center"/>
    </xf>
    <xf numFmtId="0" fontId="6" fillId="0" borderId="11" xfId="0" applyFont="1" applyBorder="1" applyAlignment="1">
      <alignment horizontal="center" vertical="center"/>
    </xf>
    <xf numFmtId="0" fontId="9" fillId="0" borderId="11" xfId="0" applyFont="1" applyBorder="1" applyAlignment="1">
      <alignment horizontal="center" vertical="center" wrapText="1"/>
    </xf>
    <xf numFmtId="9" fontId="6" fillId="0" borderId="11" xfId="0" applyNumberFormat="1" applyFont="1" applyBorder="1" applyAlignment="1">
      <alignment horizontal="center" vertical="center" wrapText="1"/>
    </xf>
    <xf numFmtId="0" fontId="6" fillId="0" borderId="11" xfId="0" applyFont="1" applyBorder="1" applyAlignment="1">
      <alignment horizontal="center" vertical="center" wrapText="1"/>
    </xf>
    <xf numFmtId="3" fontId="47" fillId="2" borderId="37" xfId="1" applyNumberFormat="1" applyFont="1" applyFill="1" applyBorder="1" applyAlignment="1" applyProtection="1">
      <alignment horizontal="center" vertical="center" wrapText="1"/>
      <protection hidden="1"/>
    </xf>
    <xf numFmtId="9" fontId="47" fillId="2" borderId="37" xfId="1" applyFont="1" applyFill="1" applyBorder="1" applyAlignment="1" applyProtection="1">
      <alignment horizontal="center" vertical="center" wrapText="1"/>
      <protection hidden="1"/>
    </xf>
    <xf numFmtId="3" fontId="47" fillId="2" borderId="16" xfId="1" applyNumberFormat="1" applyFont="1" applyFill="1" applyBorder="1" applyAlignment="1" applyProtection="1">
      <alignment horizontal="center" vertical="center" wrapText="1"/>
      <protection hidden="1"/>
    </xf>
    <xf numFmtId="0" fontId="12" fillId="17" borderId="11" xfId="0" applyFont="1" applyFill="1" applyBorder="1" applyAlignment="1">
      <alignment horizontal="left" vertical="center" wrapText="1"/>
    </xf>
    <xf numFmtId="0" fontId="12" fillId="16" borderId="37" xfId="0" applyFont="1" applyFill="1" applyBorder="1" applyAlignment="1">
      <alignment horizontal="center" vertical="center" wrapText="1"/>
    </xf>
    <xf numFmtId="9" fontId="12" fillId="16" borderId="37" xfId="0" applyNumberFormat="1" applyFont="1" applyFill="1" applyBorder="1" applyAlignment="1">
      <alignment horizontal="center" vertical="center" wrapText="1"/>
    </xf>
    <xf numFmtId="9" fontId="6" fillId="2" borderId="37" xfId="12" applyFont="1" applyFill="1" applyBorder="1" applyAlignment="1" applyProtection="1">
      <alignment horizontal="center" vertical="center" wrapText="1"/>
      <protection hidden="1"/>
    </xf>
    <xf numFmtId="0" fontId="6" fillId="0" borderId="37" xfId="0" applyFont="1" applyBorder="1" applyAlignment="1">
      <alignment horizontal="left" vertical="center" wrapText="1"/>
    </xf>
    <xf numFmtId="0" fontId="6" fillId="0" borderId="11" xfId="0" applyFont="1" applyBorder="1" applyAlignment="1">
      <alignment horizontal="left" vertical="center" wrapText="1"/>
    </xf>
    <xf numFmtId="0" fontId="6" fillId="2" borderId="11" xfId="0" applyFont="1" applyFill="1" applyBorder="1" applyAlignment="1">
      <alignment horizontal="center" vertical="center" wrapText="1"/>
    </xf>
    <xf numFmtId="9" fontId="6" fillId="2" borderId="11" xfId="0" applyNumberFormat="1" applyFont="1" applyFill="1" applyBorder="1" applyAlignment="1">
      <alignment horizontal="center" vertical="center" wrapText="1"/>
    </xf>
    <xf numFmtId="9" fontId="9" fillId="2" borderId="11" xfId="0" applyNumberFormat="1" applyFont="1" applyFill="1" applyBorder="1" applyAlignment="1">
      <alignment horizontal="center" vertical="center" wrapText="1"/>
    </xf>
    <xf numFmtId="3" fontId="49" fillId="2" borderId="37" xfId="1" applyNumberFormat="1" applyFont="1" applyFill="1" applyBorder="1" applyAlignment="1" applyProtection="1">
      <alignment horizontal="center" vertical="center" wrapText="1"/>
      <protection hidden="1"/>
    </xf>
    <xf numFmtId="9" fontId="49" fillId="2" borderId="37" xfId="1" applyFont="1" applyFill="1" applyBorder="1" applyAlignment="1" applyProtection="1">
      <alignment horizontal="center" vertical="center" wrapText="1"/>
      <protection hidden="1"/>
    </xf>
    <xf numFmtId="0" fontId="6" fillId="17" borderId="37" xfId="0" applyFont="1" applyFill="1" applyBorder="1" applyAlignment="1">
      <alignment horizontal="left" vertical="center" wrapText="1"/>
    </xf>
    <xf numFmtId="0" fontId="12" fillId="17" borderId="49" xfId="0" applyFont="1" applyFill="1" applyBorder="1" applyAlignment="1">
      <alignment horizontal="justify" vertical="center" wrapText="1"/>
    </xf>
    <xf numFmtId="0" fontId="9" fillId="16" borderId="11" xfId="0" applyFont="1" applyFill="1" applyBorder="1" applyAlignment="1">
      <alignment horizontal="left" vertical="center" wrapText="1"/>
    </xf>
    <xf numFmtId="9" fontId="6" fillId="2" borderId="49" xfId="0" applyNumberFormat="1" applyFont="1" applyFill="1" applyBorder="1" applyAlignment="1">
      <alignment horizontal="center" vertical="center" wrapText="1"/>
    </xf>
    <xf numFmtId="0" fontId="6" fillId="17" borderId="37" xfId="0" applyFont="1" applyFill="1" applyBorder="1" applyAlignment="1">
      <alignment horizontal="center" vertical="center" wrapText="1"/>
    </xf>
    <xf numFmtId="3" fontId="6" fillId="0" borderId="11" xfId="1" applyNumberFormat="1" applyFont="1" applyFill="1" applyBorder="1" applyAlignment="1" applyProtection="1">
      <alignment horizontal="center" vertical="center" wrapText="1"/>
      <protection hidden="1"/>
    </xf>
    <xf numFmtId="9" fontId="6" fillId="0" borderId="11" xfId="1" applyFont="1" applyFill="1" applyBorder="1" applyAlignment="1" applyProtection="1">
      <alignment horizontal="center" vertical="center" wrapText="1"/>
      <protection hidden="1"/>
    </xf>
    <xf numFmtId="9" fontId="9" fillId="2" borderId="38" xfId="1" applyFont="1" applyFill="1" applyBorder="1" applyAlignment="1" applyProtection="1">
      <alignment horizontal="justify" vertical="center" wrapText="1"/>
      <protection hidden="1"/>
    </xf>
    <xf numFmtId="3" fontId="9" fillId="2" borderId="37" xfId="1" applyNumberFormat="1" applyFont="1" applyFill="1" applyBorder="1" applyAlignment="1" applyProtection="1">
      <alignment horizontal="left" vertical="center" wrapText="1"/>
      <protection hidden="1"/>
    </xf>
    <xf numFmtId="0" fontId="12" fillId="17" borderId="49" xfId="0" applyFont="1" applyFill="1" applyBorder="1" applyAlignment="1">
      <alignment horizontal="left" vertical="center" wrapText="1"/>
    </xf>
    <xf numFmtId="3" fontId="6" fillId="2" borderId="15" xfId="1" applyNumberFormat="1" applyFont="1" applyFill="1" applyBorder="1" applyAlignment="1" applyProtection="1">
      <alignment horizontal="center" vertical="center" wrapText="1"/>
      <protection hidden="1"/>
    </xf>
    <xf numFmtId="3" fontId="6" fillId="2" borderId="11" xfId="1" applyNumberFormat="1" applyFont="1" applyFill="1" applyBorder="1" applyAlignment="1" applyProtection="1">
      <alignment horizontal="center" vertical="center" wrapText="1"/>
      <protection hidden="1"/>
    </xf>
    <xf numFmtId="9" fontId="6" fillId="2" borderId="11" xfId="1" applyFont="1" applyFill="1" applyBorder="1" applyAlignment="1" applyProtection="1">
      <alignment horizontal="center" vertical="center" wrapText="1"/>
      <protection hidden="1"/>
    </xf>
    <xf numFmtId="3" fontId="6" fillId="2" borderId="11" xfId="1" applyNumberFormat="1" applyFont="1" applyFill="1" applyBorder="1" applyAlignment="1" applyProtection="1">
      <alignment horizontal="left" vertical="center" wrapText="1"/>
      <protection hidden="1"/>
    </xf>
    <xf numFmtId="9" fontId="6" fillId="2" borderId="1" xfId="0" applyNumberFormat="1" applyFont="1" applyFill="1" applyBorder="1" applyAlignment="1">
      <alignment horizontal="center" vertical="center" wrapText="1"/>
    </xf>
    <xf numFmtId="0" fontId="6" fillId="2" borderId="0" xfId="0" applyFont="1" applyFill="1" applyAlignment="1" applyProtection="1">
      <alignment vertical="center"/>
      <protection hidden="1"/>
    </xf>
    <xf numFmtId="3" fontId="44" fillId="2" borderId="37" xfId="1" applyNumberFormat="1" applyFont="1" applyFill="1" applyBorder="1" applyAlignment="1" applyProtection="1">
      <alignment horizontal="left" vertical="center" wrapText="1"/>
      <protection hidden="1"/>
    </xf>
    <xf numFmtId="9" fontId="6" fillId="2" borderId="38" xfId="1" applyFont="1" applyFill="1" applyBorder="1" applyAlignment="1" applyProtection="1">
      <alignment vertical="center" wrapText="1"/>
      <protection hidden="1"/>
    </xf>
    <xf numFmtId="9" fontId="9" fillId="17" borderId="16" xfId="0" applyNumberFormat="1" applyFont="1" applyFill="1" applyBorder="1" applyAlignment="1" applyProtection="1">
      <alignment horizontal="center" vertical="center" wrapText="1"/>
      <protection hidden="1"/>
    </xf>
    <xf numFmtId="0" fontId="9" fillId="17" borderId="16" xfId="0" applyFont="1" applyFill="1" applyBorder="1" applyAlignment="1" applyProtection="1">
      <alignment horizontal="center" vertical="center" wrapText="1"/>
      <protection hidden="1"/>
    </xf>
    <xf numFmtId="9" fontId="9" fillId="0" borderId="16" xfId="0" applyNumberFormat="1" applyFont="1" applyBorder="1" applyAlignment="1" applyProtection="1">
      <alignment horizontal="center" vertical="center" wrapText="1"/>
      <protection hidden="1"/>
    </xf>
    <xf numFmtId="0" fontId="0" fillId="2" borderId="0" xfId="0" applyFill="1"/>
    <xf numFmtId="0" fontId="65" fillId="0" borderId="0" xfId="0" applyFont="1" applyAlignment="1">
      <alignment horizontal="center" vertical="center"/>
    </xf>
    <xf numFmtId="0" fontId="44" fillId="0" borderId="0" xfId="0" applyFont="1"/>
    <xf numFmtId="41" fontId="44" fillId="0" borderId="0" xfId="21" applyFont="1"/>
    <xf numFmtId="0" fontId="66" fillId="11" borderId="1" xfId="0" applyFont="1" applyFill="1" applyBorder="1" applyAlignment="1">
      <alignment horizontal="center" vertical="center"/>
    </xf>
    <xf numFmtId="41" fontId="66" fillId="11" borderId="1" xfId="21" applyFont="1" applyFill="1" applyBorder="1" applyAlignment="1">
      <alignment horizontal="center" vertical="center"/>
    </xf>
    <xf numFmtId="41" fontId="66" fillId="11" borderId="3" xfId="21" applyFont="1" applyFill="1" applyBorder="1" applyAlignment="1">
      <alignment horizontal="center" vertical="center"/>
    </xf>
    <xf numFmtId="41" fontId="66" fillId="11" borderId="31" xfId="21" applyFont="1" applyFill="1" applyBorder="1" applyAlignment="1">
      <alignment horizontal="center" vertical="center"/>
    </xf>
    <xf numFmtId="41" fontId="66" fillId="11" borderId="19" xfId="21" applyFont="1" applyFill="1" applyBorder="1" applyAlignment="1">
      <alignment horizontal="center" vertical="center"/>
    </xf>
    <xf numFmtId="41" fontId="44" fillId="0" borderId="1" xfId="21" applyFont="1" applyBorder="1"/>
    <xf numFmtId="41" fontId="44" fillId="0" borderId="3" xfId="21" applyFont="1" applyBorder="1"/>
    <xf numFmtId="9" fontId="0" fillId="0" borderId="1" xfId="1" applyFont="1" applyBorder="1" applyAlignment="1">
      <alignment horizontal="center"/>
    </xf>
    <xf numFmtId="0" fontId="0" fillId="0" borderId="50" xfId="0" applyBorder="1"/>
    <xf numFmtId="0" fontId="44" fillId="0" borderId="1" xfId="0" applyFont="1" applyBorder="1" applyAlignment="1">
      <alignment horizontal="center"/>
    </xf>
    <xf numFmtId="0" fontId="44" fillId="0" borderId="1" xfId="0" applyFont="1" applyBorder="1"/>
    <xf numFmtId="41" fontId="0" fillId="0" borderId="50" xfId="0" applyNumberFormat="1" applyBorder="1"/>
    <xf numFmtId="0" fontId="3" fillId="0" borderId="0" xfId="3"/>
    <xf numFmtId="0" fontId="44" fillId="0" borderId="0" xfId="0" applyFont="1" applyAlignment="1">
      <alignment horizontal="center"/>
    </xf>
    <xf numFmtId="41" fontId="66" fillId="0" borderId="1" xfId="21" applyFont="1" applyBorder="1"/>
    <xf numFmtId="41" fontId="66" fillId="0" borderId="3" xfId="21" applyFont="1" applyBorder="1"/>
    <xf numFmtId="41" fontId="0" fillId="0" borderId="0" xfId="21" applyFont="1"/>
    <xf numFmtId="41" fontId="0" fillId="0" borderId="0" xfId="0" applyNumberFormat="1"/>
    <xf numFmtId="14" fontId="3" fillId="29" borderId="1" xfId="8" applyNumberFormat="1" applyFont="1" applyFill="1" applyBorder="1" applyAlignment="1" applyProtection="1">
      <alignment vertical="center" wrapText="1"/>
      <protection locked="0"/>
    </xf>
    <xf numFmtId="9" fontId="3" fillId="29" borderId="1" xfId="8" applyFont="1" applyFill="1" applyBorder="1" applyAlignment="1" applyProtection="1">
      <alignment horizontal="center" vertical="center" wrapText="1"/>
      <protection locked="0"/>
    </xf>
    <xf numFmtId="14" fontId="3" fillId="29" borderId="1" xfId="8" applyNumberFormat="1" applyFont="1" applyFill="1" applyBorder="1" applyAlignment="1" applyProtection="1">
      <alignment horizontal="center" vertical="center" wrapText="1"/>
      <protection locked="0"/>
    </xf>
    <xf numFmtId="9" fontId="3" fillId="29" borderId="1" xfId="8" applyFont="1" applyFill="1" applyBorder="1" applyAlignment="1" applyProtection="1">
      <alignment vertical="center" wrapText="1"/>
      <protection locked="0"/>
    </xf>
    <xf numFmtId="14" fontId="3" fillId="29" borderId="31" xfId="8" applyNumberFormat="1" applyFont="1" applyFill="1" applyBorder="1" applyAlignment="1" applyProtection="1">
      <alignment vertical="center" wrapText="1"/>
      <protection locked="0"/>
    </xf>
    <xf numFmtId="9" fontId="3" fillId="29" borderId="31" xfId="8" applyFont="1" applyFill="1" applyBorder="1" applyAlignment="1" applyProtection="1">
      <alignment horizontal="center" vertical="center" wrapText="1"/>
      <protection locked="0"/>
    </xf>
    <xf numFmtId="14" fontId="3" fillId="29" borderId="31" xfId="8" applyNumberFormat="1" applyFont="1" applyFill="1" applyBorder="1" applyAlignment="1" applyProtection="1">
      <alignment horizontal="center" vertical="center" wrapText="1"/>
      <protection locked="0"/>
    </xf>
    <xf numFmtId="0" fontId="3" fillId="29" borderId="31" xfId="3" applyFill="1" applyBorder="1" applyAlignment="1" applyProtection="1">
      <alignment vertical="center" wrapText="1"/>
      <protection locked="0"/>
    </xf>
    <xf numFmtId="0" fontId="3" fillId="29" borderId="31" xfId="3" applyFill="1" applyBorder="1" applyAlignment="1" applyProtection="1">
      <alignment horizontal="center" vertical="center" wrapText="1"/>
      <protection locked="0"/>
    </xf>
    <xf numFmtId="9" fontId="3" fillId="29" borderId="31" xfId="8" applyFont="1" applyFill="1" applyBorder="1" applyAlignment="1" applyProtection="1">
      <alignment vertical="center" wrapText="1"/>
      <protection locked="0"/>
    </xf>
    <xf numFmtId="9" fontId="3" fillId="0" borderId="31" xfId="8" applyFont="1" applyFill="1" applyBorder="1" applyAlignment="1" applyProtection="1">
      <alignment horizontal="center" vertical="center" wrapText="1"/>
      <protection locked="0"/>
    </xf>
    <xf numFmtId="14" fontId="3" fillId="0" borderId="31" xfId="8" applyNumberFormat="1" applyFont="1" applyFill="1" applyBorder="1" applyAlignment="1" applyProtection="1">
      <alignment vertical="center" wrapText="1"/>
      <protection locked="0"/>
    </xf>
    <xf numFmtId="9" fontId="3" fillId="29" borderId="31" xfId="8" applyFont="1" applyFill="1" applyBorder="1" applyAlignment="1" applyProtection="1">
      <alignment horizontal="justify" vertical="center" wrapText="1"/>
      <protection locked="0"/>
    </xf>
    <xf numFmtId="166" fontId="3" fillId="29" borderId="31" xfId="8" applyNumberFormat="1" applyFont="1" applyFill="1" applyBorder="1" applyAlignment="1" applyProtection="1">
      <alignment horizontal="center" vertical="center" wrapText="1"/>
      <protection locked="0"/>
    </xf>
    <xf numFmtId="0" fontId="3" fillId="0" borderId="1" xfId="13" applyBorder="1" applyAlignment="1">
      <alignment horizontal="left" vertical="center" wrapText="1"/>
    </xf>
    <xf numFmtId="0" fontId="3" fillId="29" borderId="1" xfId="3" applyFill="1" applyBorder="1" applyAlignment="1" applyProtection="1">
      <alignment horizontal="left" vertical="center" wrapText="1"/>
      <protection locked="0"/>
    </xf>
    <xf numFmtId="0" fontId="3" fillId="29" borderId="31" xfId="3" applyFill="1" applyBorder="1" applyAlignment="1" applyProtection="1">
      <alignment horizontal="left" vertical="center" wrapText="1"/>
      <protection locked="0"/>
    </xf>
    <xf numFmtId="9" fontId="3" fillId="0" borderId="31" xfId="8" applyFont="1" applyFill="1" applyBorder="1" applyAlignment="1" applyProtection="1">
      <alignment vertical="center" wrapText="1"/>
      <protection locked="0"/>
    </xf>
    <xf numFmtId="9" fontId="3" fillId="29" borderId="31" xfId="8" applyFont="1" applyFill="1" applyBorder="1" applyAlignment="1" applyProtection="1">
      <alignment horizontal="left" vertical="center" wrapText="1"/>
      <protection locked="0"/>
    </xf>
    <xf numFmtId="0" fontId="3" fillId="0" borderId="31" xfId="23" applyFont="1" applyFill="1" applyBorder="1" applyAlignment="1" applyProtection="1">
      <alignment horizontal="left" vertical="center" wrapText="1"/>
      <protection locked="0"/>
    </xf>
    <xf numFmtId="14" fontId="3" fillId="29" borderId="31" xfId="8" applyNumberFormat="1" applyFont="1" applyFill="1" applyBorder="1" applyAlignment="1" applyProtection="1">
      <alignment horizontal="justify" vertical="center" wrapText="1"/>
      <protection locked="0"/>
    </xf>
    <xf numFmtId="9" fontId="3" fillId="0" borderId="31" xfId="8" applyFont="1" applyFill="1" applyBorder="1" applyAlignment="1" applyProtection="1">
      <alignment horizontal="justify" vertical="center" wrapText="1"/>
      <protection locked="0"/>
    </xf>
    <xf numFmtId="0" fontId="3" fillId="0" borderId="31" xfId="23" applyFont="1" applyFill="1" applyBorder="1" applyAlignment="1" applyProtection="1">
      <alignment vertical="center" wrapText="1"/>
      <protection locked="0"/>
    </xf>
    <xf numFmtId="0" fontId="3" fillId="0" borderId="31" xfId="24" applyFont="1" applyFill="1" applyBorder="1" applyAlignment="1" applyProtection="1">
      <alignment vertical="center" wrapText="1"/>
      <protection locked="0"/>
    </xf>
    <xf numFmtId="0" fontId="3" fillId="2" borderId="1" xfId="24" applyFont="1" applyFill="1" applyBorder="1" applyAlignment="1" applyProtection="1">
      <alignment horizontal="center" vertical="center" wrapText="1"/>
      <protection locked="0"/>
    </xf>
    <xf numFmtId="9" fontId="44" fillId="0" borderId="1" xfId="8" applyFont="1" applyFill="1" applyBorder="1" applyAlignment="1" applyProtection="1">
      <alignment horizontal="left" vertical="center" wrapText="1"/>
      <protection hidden="1"/>
    </xf>
    <xf numFmtId="9" fontId="44" fillId="2" borderId="1" xfId="8" applyFont="1" applyFill="1" applyBorder="1" applyAlignment="1" applyProtection="1">
      <alignment horizontal="left" vertical="center" wrapText="1"/>
      <protection hidden="1"/>
    </xf>
    <xf numFmtId="9" fontId="3" fillId="2" borderId="1" xfId="8" applyFont="1" applyFill="1" applyBorder="1" applyAlignment="1" applyProtection="1">
      <alignment horizontal="left" vertical="center" wrapText="1"/>
      <protection hidden="1"/>
    </xf>
    <xf numFmtId="9" fontId="3" fillId="0" borderId="1" xfId="8" applyFont="1" applyFill="1" applyBorder="1" applyAlignment="1" applyProtection="1">
      <alignment horizontal="left" vertical="center" wrapText="1"/>
      <protection hidden="1"/>
    </xf>
    <xf numFmtId="0" fontId="3" fillId="2" borderId="31" xfId="24" applyFont="1" applyFill="1" applyBorder="1" applyAlignment="1" applyProtection="1">
      <alignment horizontal="center" vertical="center" wrapText="1"/>
      <protection locked="0"/>
    </xf>
    <xf numFmtId="14" fontId="3" fillId="0" borderId="1" xfId="8" applyNumberFormat="1" applyFont="1" applyFill="1" applyBorder="1" applyAlignment="1" applyProtection="1">
      <alignment vertical="center" wrapText="1"/>
      <protection locked="0"/>
    </xf>
    <xf numFmtId="9" fontId="3" fillId="0" borderId="1" xfId="8" applyFont="1" applyFill="1" applyBorder="1" applyAlignment="1" applyProtection="1">
      <alignment vertical="center" wrapText="1"/>
      <protection locked="0"/>
    </xf>
    <xf numFmtId="0" fontId="3" fillId="0" borderId="31" xfId="3" applyBorder="1" applyAlignment="1" applyProtection="1">
      <alignment vertical="center" wrapText="1"/>
      <protection locked="0"/>
    </xf>
    <xf numFmtId="14" fontId="3" fillId="0" borderId="31" xfId="3" applyNumberFormat="1" applyBorder="1" applyAlignment="1" applyProtection="1">
      <alignment horizontal="center" vertical="center" wrapText="1"/>
      <protection locked="0"/>
    </xf>
    <xf numFmtId="14" fontId="3" fillId="0" borderId="31" xfId="8" applyNumberFormat="1" applyFont="1" applyFill="1" applyBorder="1" applyAlignment="1" applyProtection="1">
      <alignment horizontal="center" vertical="center" wrapText="1"/>
      <protection locked="0"/>
    </xf>
    <xf numFmtId="0" fontId="3" fillId="0" borderId="1" xfId="3" applyBorder="1" applyAlignment="1" applyProtection="1">
      <alignment horizontal="justify" vertical="center" wrapText="1"/>
      <protection locked="0"/>
    </xf>
    <xf numFmtId="9" fontId="13" fillId="34" borderId="22" xfId="0" applyNumberFormat="1" applyFont="1" applyFill="1" applyBorder="1" applyAlignment="1">
      <alignment horizontal="center" vertical="center"/>
    </xf>
    <xf numFmtId="9" fontId="5" fillId="34" borderId="26" xfId="0" applyNumberFormat="1" applyFont="1" applyFill="1" applyBorder="1" applyAlignment="1" applyProtection="1">
      <alignment horizontal="center" vertical="center"/>
      <protection locked="0"/>
    </xf>
    <xf numFmtId="9" fontId="5" fillId="34" borderId="17" xfId="1" applyFont="1" applyFill="1" applyBorder="1" applyAlignment="1">
      <alignment horizontal="center" vertical="center"/>
    </xf>
    <xf numFmtId="0" fontId="5" fillId="34" borderId="22" xfId="0" applyFont="1" applyFill="1" applyBorder="1" applyAlignment="1">
      <alignment horizontal="center" vertical="center"/>
    </xf>
    <xf numFmtId="0" fontId="5" fillId="34" borderId="17" xfId="0" applyFont="1" applyFill="1" applyBorder="1" applyAlignment="1" applyProtection="1">
      <alignment horizontal="center" vertical="center"/>
      <protection locked="0"/>
    </xf>
    <xf numFmtId="9" fontId="5" fillId="34" borderId="23" xfId="0" applyNumberFormat="1" applyFont="1" applyFill="1" applyBorder="1" applyAlignment="1">
      <alignment horizontal="center" vertical="center"/>
    </xf>
    <xf numFmtId="9" fontId="5" fillId="34" borderId="17" xfId="0" applyNumberFormat="1" applyFont="1" applyFill="1" applyBorder="1" applyAlignment="1" applyProtection="1">
      <alignment horizontal="center" vertical="center"/>
      <protection locked="0"/>
    </xf>
    <xf numFmtId="0" fontId="5" fillId="34" borderId="22" xfId="0" applyFont="1" applyFill="1" applyBorder="1" applyAlignment="1">
      <alignment horizontal="center"/>
    </xf>
    <xf numFmtId="9" fontId="5" fillId="34" borderId="22" xfId="0" applyNumberFormat="1" applyFont="1" applyFill="1" applyBorder="1" applyAlignment="1">
      <alignment horizontal="center" vertical="center"/>
    </xf>
    <xf numFmtId="0" fontId="15" fillId="34" borderId="0" xfId="0" applyFont="1" applyFill="1" applyProtection="1">
      <protection locked="0"/>
    </xf>
    <xf numFmtId="0" fontId="5" fillId="34" borderId="20" xfId="0" applyFont="1" applyFill="1" applyBorder="1"/>
    <xf numFmtId="0" fontId="5" fillId="34" borderId="17" xfId="0" applyFont="1" applyFill="1" applyBorder="1"/>
    <xf numFmtId="0" fontId="5" fillId="34" borderId="17" xfId="0" applyFont="1" applyFill="1" applyBorder="1" applyAlignment="1">
      <alignment horizontal="center"/>
    </xf>
    <xf numFmtId="14" fontId="5" fillId="34" borderId="17" xfId="0" applyNumberFormat="1" applyFont="1" applyFill="1" applyBorder="1" applyAlignment="1">
      <alignment horizontal="center"/>
    </xf>
    <xf numFmtId="0" fontId="13" fillId="34" borderId="17" xfId="0" applyFont="1" applyFill="1" applyBorder="1" applyAlignment="1">
      <alignment vertical="center"/>
    </xf>
    <xf numFmtId="0" fontId="5" fillId="34" borderId="17" xfId="0" applyFont="1" applyFill="1" applyBorder="1" applyAlignment="1">
      <alignment vertical="top"/>
    </xf>
    <xf numFmtId="0" fontId="5" fillId="34" borderId="17" xfId="0" applyFont="1" applyFill="1" applyBorder="1" applyAlignment="1">
      <alignment vertical="center"/>
    </xf>
    <xf numFmtId="9" fontId="5" fillId="34" borderId="17" xfId="0" applyNumberFormat="1" applyFont="1" applyFill="1" applyBorder="1" applyAlignment="1">
      <alignment horizontal="center"/>
    </xf>
    <xf numFmtId="0" fontId="5" fillId="34" borderId="17" xfId="0" applyFont="1" applyFill="1" applyBorder="1" applyAlignment="1">
      <alignment horizontal="center" vertical="center"/>
    </xf>
    <xf numFmtId="0" fontId="5" fillId="34" borderId="17" xfId="0" applyFont="1" applyFill="1" applyBorder="1" applyProtection="1">
      <protection locked="0"/>
    </xf>
    <xf numFmtId="0" fontId="13" fillId="34" borderId="17" xfId="0" applyFont="1" applyFill="1" applyBorder="1" applyAlignment="1" applyProtection="1">
      <alignment horizontal="left" vertical="center"/>
      <protection locked="0"/>
    </xf>
    <xf numFmtId="0" fontId="4" fillId="34" borderId="0" xfId="0" applyFont="1" applyFill="1" applyProtection="1">
      <protection locked="0"/>
    </xf>
    <xf numFmtId="0" fontId="5" fillId="34" borderId="11" xfId="0" applyFont="1" applyFill="1" applyBorder="1" applyAlignment="1">
      <alignment horizontal="center"/>
    </xf>
    <xf numFmtId="0" fontId="5" fillId="34" borderId="15" xfId="0" applyFont="1" applyFill="1" applyBorder="1" applyAlignment="1">
      <alignment horizontal="center"/>
    </xf>
    <xf numFmtId="9" fontId="5" fillId="34" borderId="15" xfId="1" applyFont="1" applyFill="1" applyBorder="1" applyAlignment="1" applyProtection="1">
      <alignment horizontal="center"/>
    </xf>
    <xf numFmtId="0" fontId="13" fillId="34" borderId="11" xfId="0" applyFont="1" applyFill="1" applyBorder="1" applyAlignment="1">
      <alignment horizontal="left" vertical="center"/>
    </xf>
    <xf numFmtId="0" fontId="14" fillId="34" borderId="0" xfId="0" applyFont="1" applyFill="1" applyProtection="1">
      <protection locked="0"/>
    </xf>
    <xf numFmtId="0" fontId="14" fillId="34" borderId="0" xfId="0" applyFont="1" applyFill="1" applyAlignment="1" applyProtection="1">
      <alignment vertical="center"/>
      <protection locked="0"/>
    </xf>
    <xf numFmtId="9" fontId="5" fillId="2" borderId="23" xfId="0" applyNumberFormat="1" applyFont="1" applyFill="1" applyBorder="1" applyAlignment="1">
      <alignment horizontal="center" vertical="center"/>
    </xf>
    <xf numFmtId="0" fontId="35" fillId="17" borderId="27" xfId="0" applyFont="1" applyFill="1" applyBorder="1" applyAlignment="1">
      <alignment horizontal="center" vertical="center"/>
    </xf>
    <xf numFmtId="2" fontId="38" fillId="0" borderId="1" xfId="0" applyNumberFormat="1" applyFont="1" applyBorder="1" applyAlignment="1" applyProtection="1">
      <alignment horizontal="center" vertical="center"/>
      <protection locked="0"/>
    </xf>
    <xf numFmtId="0" fontId="22" fillId="0" borderId="1" xfId="0" applyFont="1" applyBorder="1"/>
    <xf numFmtId="0" fontId="22" fillId="0" borderId="1" xfId="0" applyFont="1" applyBorder="1" applyAlignment="1">
      <alignment wrapText="1"/>
    </xf>
    <xf numFmtId="0" fontId="22" fillId="0" borderId="1" xfId="0" applyFont="1" applyBorder="1" applyAlignment="1">
      <alignment horizontal="center"/>
    </xf>
    <xf numFmtId="0" fontId="20" fillId="0" borderId="1" xfId="0" applyFont="1" applyBorder="1" applyAlignment="1">
      <alignment horizontal="center" vertical="center" wrapText="1"/>
    </xf>
    <xf numFmtId="9" fontId="13" fillId="0" borderId="32" xfId="0" applyNumberFormat="1" applyFont="1" applyBorder="1" applyAlignment="1">
      <alignment horizontal="center" vertical="center"/>
    </xf>
    <xf numFmtId="164" fontId="13" fillId="0" borderId="31" xfId="0" applyNumberFormat="1" applyFont="1" applyBorder="1" applyAlignment="1">
      <alignment horizontal="center" vertical="center" wrapText="1"/>
    </xf>
    <xf numFmtId="164" fontId="13" fillId="0" borderId="13" xfId="0" applyNumberFormat="1" applyFont="1" applyBorder="1" applyAlignment="1">
      <alignment horizontal="center" vertical="center" wrapText="1"/>
    </xf>
    <xf numFmtId="165" fontId="13" fillId="0" borderId="34" xfId="0" applyNumberFormat="1" applyFont="1" applyBorder="1" applyAlignment="1">
      <alignment horizontal="center" vertical="center" wrapText="1"/>
    </xf>
    <xf numFmtId="0" fontId="5" fillId="9" borderId="18" xfId="0" applyFont="1" applyFill="1" applyBorder="1" applyAlignment="1" applyProtection="1">
      <alignment vertical="center"/>
      <protection locked="0"/>
    </xf>
    <xf numFmtId="0" fontId="5" fillId="9" borderId="18" xfId="0" applyFont="1" applyFill="1" applyBorder="1" applyAlignment="1" applyProtection="1">
      <alignment vertical="top"/>
      <protection locked="0"/>
    </xf>
    <xf numFmtId="0" fontId="5" fillId="2" borderId="8" xfId="0" applyFont="1" applyFill="1" applyBorder="1" applyAlignment="1" applyProtection="1">
      <alignment horizontal="center" vertical="center"/>
      <protection locked="0"/>
    </xf>
    <xf numFmtId="0" fontId="5" fillId="2" borderId="7" xfId="0" applyFont="1" applyFill="1" applyBorder="1" applyAlignment="1" applyProtection="1">
      <alignment horizontal="center" vertical="center"/>
      <protection locked="0"/>
    </xf>
    <xf numFmtId="0" fontId="13" fillId="2" borderId="7" xfId="0" applyFont="1" applyFill="1" applyBorder="1" applyAlignment="1" applyProtection="1">
      <alignment horizontal="center" vertical="center"/>
      <protection locked="0"/>
    </xf>
    <xf numFmtId="166" fontId="5" fillId="2" borderId="7" xfId="0" applyNumberFormat="1" applyFont="1" applyFill="1" applyBorder="1" applyAlignment="1" applyProtection="1">
      <alignment horizontal="center" vertical="center"/>
      <protection locked="0"/>
    </xf>
    <xf numFmtId="0" fontId="13" fillId="18" borderId="7" xfId="0" applyFont="1" applyFill="1" applyBorder="1" applyAlignment="1" applyProtection="1">
      <alignment horizontal="center" vertical="center"/>
      <protection locked="0"/>
    </xf>
    <xf numFmtId="0" fontId="5" fillId="2" borderId="7" xfId="0" applyFont="1" applyFill="1" applyBorder="1" applyAlignment="1" applyProtection="1">
      <alignment horizontal="center" vertical="top"/>
      <protection locked="0"/>
    </xf>
    <xf numFmtId="0" fontId="5" fillId="2" borderId="10" xfId="0" applyFont="1" applyFill="1" applyBorder="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13" fillId="2" borderId="0" xfId="0" applyFont="1" applyFill="1" applyAlignment="1" applyProtection="1">
      <alignment horizontal="center" vertical="center"/>
      <protection locked="0"/>
    </xf>
    <xf numFmtId="166" fontId="5" fillId="2" borderId="0" xfId="0" applyNumberFormat="1" applyFont="1" applyFill="1" applyAlignment="1" applyProtection="1">
      <alignment horizontal="center" vertical="center"/>
      <protection locked="0"/>
    </xf>
    <xf numFmtId="0" fontId="13" fillId="18" borderId="0" xfId="0" applyFont="1" applyFill="1" applyAlignment="1" applyProtection="1">
      <alignment horizontal="center" vertical="center"/>
      <protection locked="0"/>
    </xf>
    <xf numFmtId="0" fontId="5" fillId="2" borderId="0" xfId="0" applyFont="1" applyFill="1" applyAlignment="1" applyProtection="1">
      <alignment horizontal="center" vertical="top"/>
      <protection locked="0"/>
    </xf>
    <xf numFmtId="0" fontId="5" fillId="2" borderId="12" xfId="0" applyFont="1" applyFill="1" applyBorder="1" applyAlignment="1" applyProtection="1">
      <alignment horizontal="center" vertical="center"/>
      <protection locked="0"/>
    </xf>
    <xf numFmtId="0" fontId="5" fillId="2" borderId="6" xfId="0" applyFont="1" applyFill="1" applyBorder="1" applyAlignment="1" applyProtection="1">
      <alignment horizontal="center" vertical="center"/>
      <protection locked="0"/>
    </xf>
    <xf numFmtId="0" fontId="13" fillId="2" borderId="6" xfId="0" applyFont="1" applyFill="1" applyBorder="1" applyAlignment="1" applyProtection="1">
      <alignment horizontal="center" vertical="center"/>
      <protection locked="0"/>
    </xf>
    <xf numFmtId="166" fontId="5" fillId="2" borderId="6" xfId="0" applyNumberFormat="1" applyFont="1" applyFill="1" applyBorder="1" applyAlignment="1" applyProtection="1">
      <alignment horizontal="center" vertical="center"/>
      <protection locked="0"/>
    </xf>
    <xf numFmtId="0" fontId="13" fillId="18" borderId="6" xfId="0" applyFont="1" applyFill="1" applyBorder="1" applyAlignment="1" applyProtection="1">
      <alignment horizontal="center" vertical="center"/>
      <protection locked="0"/>
    </xf>
    <xf numFmtId="0" fontId="5" fillId="2" borderId="6" xfId="0" applyFont="1" applyFill="1" applyBorder="1" applyAlignment="1" applyProtection="1">
      <alignment horizontal="center" vertical="top"/>
      <protection locked="0"/>
    </xf>
    <xf numFmtId="0" fontId="5" fillId="2" borderId="3" xfId="0" applyFont="1" applyFill="1" applyBorder="1" applyAlignment="1" applyProtection="1">
      <alignment vertical="center"/>
      <protection locked="0"/>
    </xf>
    <xf numFmtId="0" fontId="5" fillId="2" borderId="4" xfId="0" applyFont="1" applyFill="1" applyBorder="1" applyAlignment="1" applyProtection="1">
      <alignment vertical="center"/>
      <protection locked="0"/>
    </xf>
    <xf numFmtId="0" fontId="5" fillId="2" borderId="2" xfId="0" applyFont="1" applyFill="1" applyBorder="1" applyAlignment="1" applyProtection="1">
      <alignment vertical="center"/>
      <protection locked="0"/>
    </xf>
    <xf numFmtId="0" fontId="5" fillId="9" borderId="1" xfId="0" applyFont="1" applyFill="1" applyBorder="1" applyAlignment="1" applyProtection="1">
      <alignment vertical="center"/>
      <protection locked="0"/>
    </xf>
    <xf numFmtId="0" fontId="5" fillId="2" borderId="1" xfId="0" applyFont="1" applyFill="1" applyBorder="1" applyAlignment="1" applyProtection="1">
      <alignment vertical="center"/>
      <protection locked="0"/>
    </xf>
    <xf numFmtId="0" fontId="5" fillId="2" borderId="8" xfId="0" applyFont="1" applyFill="1" applyBorder="1" applyAlignment="1" applyProtection="1">
      <alignment vertical="center"/>
      <protection locked="0"/>
    </xf>
    <xf numFmtId="0" fontId="5" fillId="2" borderId="9" xfId="0" applyFont="1" applyFill="1" applyBorder="1" applyAlignment="1" applyProtection="1">
      <alignment vertical="center"/>
      <protection locked="0"/>
    </xf>
    <xf numFmtId="0" fontId="5" fillId="2" borderId="10" xfId="0" applyFont="1" applyFill="1" applyBorder="1" applyAlignment="1" applyProtection="1">
      <alignment vertical="center"/>
      <protection locked="0"/>
    </xf>
    <xf numFmtId="0" fontId="5" fillId="2" borderId="5" xfId="0" applyFont="1" applyFill="1" applyBorder="1" applyAlignment="1" applyProtection="1">
      <alignment vertical="center"/>
      <protection locked="0"/>
    </xf>
    <xf numFmtId="0" fontId="5" fillId="2" borderId="12" xfId="0" applyFont="1" applyFill="1" applyBorder="1" applyAlignment="1" applyProtection="1">
      <alignment vertical="center"/>
      <protection locked="0"/>
    </xf>
    <xf numFmtId="0" fontId="5" fillId="2" borderId="13" xfId="0" applyFont="1" applyFill="1" applyBorder="1" applyAlignment="1" applyProtection="1">
      <alignment vertical="center"/>
      <protection locked="0"/>
    </xf>
    <xf numFmtId="0" fontId="4" fillId="4" borderId="1" xfId="0" applyFont="1" applyFill="1" applyBorder="1" applyAlignment="1" applyProtection="1">
      <alignment vertical="center"/>
      <protection locked="0"/>
    </xf>
    <xf numFmtId="0" fontId="5" fillId="8" borderId="8" xfId="0" applyFont="1" applyFill="1" applyBorder="1" applyAlignment="1" applyProtection="1">
      <alignment vertical="center"/>
      <protection locked="0"/>
    </xf>
    <xf numFmtId="0" fontId="5" fillId="8" borderId="7" xfId="0" applyFont="1" applyFill="1" applyBorder="1" applyAlignment="1" applyProtection="1">
      <alignment vertical="center"/>
      <protection locked="0"/>
    </xf>
    <xf numFmtId="0" fontId="5" fillId="8" borderId="9" xfId="0" applyFont="1" applyFill="1" applyBorder="1" applyAlignment="1" applyProtection="1">
      <alignment vertical="center"/>
      <protection locked="0"/>
    </xf>
    <xf numFmtId="0" fontId="5" fillId="8" borderId="10" xfId="0" applyFont="1" applyFill="1" applyBorder="1" applyAlignment="1" applyProtection="1">
      <alignment vertical="center"/>
      <protection locked="0"/>
    </xf>
    <xf numFmtId="0" fontId="5" fillId="8" borderId="0" xfId="0" applyFont="1" applyFill="1" applyAlignment="1" applyProtection="1">
      <alignment vertical="center"/>
      <protection locked="0"/>
    </xf>
    <xf numFmtId="0" fontId="5" fillId="8" borderId="5" xfId="0" applyFont="1" applyFill="1" applyBorder="1" applyAlignment="1" applyProtection="1">
      <alignment vertical="center"/>
      <protection locked="0"/>
    </xf>
    <xf numFmtId="0" fontId="5" fillId="0" borderId="3" xfId="0" applyFont="1" applyBorder="1" applyAlignment="1" applyProtection="1">
      <alignment vertical="center"/>
      <protection locked="0"/>
    </xf>
    <xf numFmtId="0" fontId="5" fillId="0" borderId="4" xfId="0" applyFont="1" applyBorder="1" applyAlignment="1" applyProtection="1">
      <alignment vertical="center"/>
      <protection locked="0"/>
    </xf>
    <xf numFmtId="0" fontId="13" fillId="0" borderId="4" xfId="0" applyFont="1" applyBorder="1" applyAlignment="1" applyProtection="1">
      <alignment vertical="center"/>
      <protection locked="0"/>
    </xf>
    <xf numFmtId="166" fontId="5" fillId="0" borderId="4" xfId="0" applyNumberFormat="1" applyFont="1" applyBorder="1" applyAlignment="1" applyProtection="1">
      <alignment vertical="center"/>
      <protection locked="0"/>
    </xf>
    <xf numFmtId="0" fontId="13" fillId="18" borderId="4" xfId="0" applyFont="1" applyFill="1" applyBorder="1" applyAlignment="1" applyProtection="1">
      <alignment vertical="center"/>
      <protection locked="0"/>
    </xf>
    <xf numFmtId="0" fontId="5" fillId="0" borderId="4" xfId="0" applyFont="1" applyBorder="1" applyAlignment="1" applyProtection="1">
      <alignment vertical="top"/>
      <protection locked="0"/>
    </xf>
    <xf numFmtId="0" fontId="11" fillId="0" borderId="3" xfId="0" applyFont="1" applyBorder="1" applyAlignment="1" applyProtection="1">
      <alignment vertical="center"/>
      <protection locked="0"/>
    </xf>
    <xf numFmtId="0" fontId="11" fillId="0" borderId="4" xfId="0" applyFont="1" applyBorder="1" applyAlignment="1" applyProtection="1">
      <alignment vertical="center"/>
      <protection locked="0"/>
    </xf>
    <xf numFmtId="0" fontId="15" fillId="0" borderId="4" xfId="0" applyFont="1" applyBorder="1" applyAlignment="1" applyProtection="1">
      <alignment vertical="center"/>
      <protection locked="0"/>
    </xf>
    <xf numFmtId="166" fontId="11" fillId="0" borderId="4" xfId="0" applyNumberFormat="1" applyFont="1" applyBorder="1" applyAlignment="1" applyProtection="1">
      <alignment vertical="center"/>
      <protection locked="0"/>
    </xf>
    <xf numFmtId="0" fontId="15" fillId="18" borderId="4" xfId="0" applyFont="1" applyFill="1" applyBorder="1" applyAlignment="1" applyProtection="1">
      <alignment vertical="center"/>
      <protection locked="0"/>
    </xf>
    <xf numFmtId="0" fontId="11" fillId="0" borderId="4" xfId="0" applyFont="1" applyBorder="1" applyAlignment="1" applyProtection="1">
      <alignment vertical="top"/>
      <protection locked="0"/>
    </xf>
    <xf numFmtId="0" fontId="11" fillId="2" borderId="2" xfId="0" applyFont="1" applyFill="1" applyBorder="1" applyAlignment="1" applyProtection="1">
      <alignment vertical="center"/>
      <protection locked="0"/>
    </xf>
    <xf numFmtId="0" fontId="5" fillId="8" borderId="1" xfId="0" applyFont="1" applyFill="1" applyBorder="1" applyAlignment="1" applyProtection="1">
      <alignment vertical="center"/>
      <protection locked="0"/>
    </xf>
    <xf numFmtId="0" fontId="13" fillId="8" borderId="1" xfId="0" applyFont="1" applyFill="1" applyBorder="1" applyAlignment="1" applyProtection="1">
      <alignment vertical="center"/>
      <protection locked="0"/>
    </xf>
    <xf numFmtId="166" fontId="5" fillId="8" borderId="1" xfId="0" applyNumberFormat="1" applyFont="1" applyFill="1" applyBorder="1" applyAlignment="1" applyProtection="1">
      <alignment vertical="center"/>
      <protection locked="0"/>
    </xf>
    <xf numFmtId="0" fontId="13" fillId="18" borderId="1" xfId="0" applyFont="1" applyFill="1" applyBorder="1" applyAlignment="1" applyProtection="1">
      <alignment vertical="center"/>
      <protection locked="0"/>
    </xf>
    <xf numFmtId="0" fontId="5" fillId="8" borderId="1" xfId="0" applyFont="1" applyFill="1" applyBorder="1" applyAlignment="1" applyProtection="1">
      <alignment vertical="top"/>
      <protection locked="0"/>
    </xf>
    <xf numFmtId="0" fontId="5" fillId="8" borderId="1" xfId="0" applyFont="1" applyFill="1" applyBorder="1" applyAlignment="1" applyProtection="1">
      <alignment horizontal="center" vertical="center"/>
      <protection locked="0"/>
    </xf>
    <xf numFmtId="0" fontId="5" fillId="8" borderId="18" xfId="0" applyFont="1" applyFill="1" applyBorder="1" applyAlignment="1" applyProtection="1">
      <alignment horizontal="center" vertical="center"/>
      <protection locked="0"/>
    </xf>
    <xf numFmtId="0" fontId="13" fillId="8" borderId="1" xfId="0" applyFont="1" applyFill="1" applyBorder="1" applyAlignment="1" applyProtection="1">
      <alignment horizontal="center" vertical="center"/>
      <protection locked="0"/>
    </xf>
    <xf numFmtId="166" fontId="5" fillId="8" borderId="1" xfId="0" applyNumberFormat="1" applyFont="1" applyFill="1" applyBorder="1" applyAlignment="1" applyProtection="1">
      <alignment horizontal="center" vertical="center"/>
      <protection locked="0"/>
    </xf>
    <xf numFmtId="0" fontId="13" fillId="18" borderId="1" xfId="0" applyFont="1" applyFill="1" applyBorder="1" applyAlignment="1" applyProtection="1">
      <alignment horizontal="center" vertical="center"/>
      <protection locked="0"/>
    </xf>
    <xf numFmtId="0" fontId="5" fillId="8" borderId="1" xfId="0" applyFont="1" applyFill="1" applyBorder="1" applyAlignment="1" applyProtection="1">
      <alignment horizontal="center" vertical="top"/>
      <protection locked="0"/>
    </xf>
    <xf numFmtId="0" fontId="5" fillId="2" borderId="1" xfId="0" applyFont="1" applyFill="1" applyBorder="1" applyAlignment="1" applyProtection="1">
      <alignment horizontal="center" vertical="center"/>
      <protection locked="0"/>
    </xf>
    <xf numFmtId="0" fontId="5" fillId="10" borderId="18" xfId="0" applyFont="1" applyFill="1" applyBorder="1" applyAlignment="1" applyProtection="1">
      <alignment vertical="center"/>
      <protection locked="0"/>
    </xf>
    <xf numFmtId="0" fontId="13" fillId="9" borderId="18" xfId="0" applyFont="1" applyFill="1" applyBorder="1" applyAlignment="1" applyProtection="1">
      <alignment vertical="center"/>
      <protection locked="0"/>
    </xf>
    <xf numFmtId="166" fontId="5" fillId="9" borderId="18" xfId="0" applyNumberFormat="1" applyFont="1" applyFill="1" applyBorder="1" applyAlignment="1" applyProtection="1">
      <alignment vertical="center"/>
      <protection locked="0"/>
    </xf>
    <xf numFmtId="0" fontId="13" fillId="18" borderId="18" xfId="0" applyFont="1" applyFill="1" applyBorder="1" applyAlignment="1" applyProtection="1">
      <alignment vertical="center"/>
      <protection locked="0"/>
    </xf>
    <xf numFmtId="0" fontId="0" fillId="0" borderId="0" xfId="0" applyAlignment="1">
      <alignment horizontal="center"/>
    </xf>
    <xf numFmtId="0" fontId="6" fillId="0" borderId="2" xfId="0" applyFont="1" applyBorder="1" applyAlignment="1">
      <alignment horizontal="center" vertical="center" wrapText="1"/>
    </xf>
    <xf numFmtId="0" fontId="6" fillId="0" borderId="1" xfId="0" applyFont="1" applyBorder="1" applyAlignment="1">
      <alignment horizontal="center" vertical="center" wrapText="1"/>
    </xf>
    <xf numFmtId="0" fontId="0" fillId="0" borderId="1" xfId="0" applyBorder="1" applyAlignment="1">
      <alignment horizontal="center"/>
    </xf>
    <xf numFmtId="41" fontId="66" fillId="11" borderId="1" xfId="21" applyFont="1" applyFill="1" applyBorder="1" applyAlignment="1">
      <alignment horizontal="center"/>
    </xf>
    <xf numFmtId="0" fontId="44" fillId="0" borderId="8" xfId="0" applyFont="1" applyBorder="1" applyAlignment="1">
      <alignment horizontal="center" vertical="center"/>
    </xf>
    <xf numFmtId="0" fontId="44" fillId="0" borderId="9" xfId="0" applyFont="1" applyBorder="1" applyAlignment="1">
      <alignment horizontal="center" vertical="center"/>
    </xf>
    <xf numFmtId="0" fontId="44" fillId="0" borderId="12" xfId="0" applyFont="1" applyBorder="1" applyAlignment="1">
      <alignment horizontal="center" vertical="center"/>
    </xf>
    <xf numFmtId="0" fontId="44" fillId="0" borderId="13" xfId="0" applyFont="1" applyBorder="1" applyAlignment="1">
      <alignment horizontal="center" vertical="center"/>
    </xf>
    <xf numFmtId="0" fontId="65" fillId="0" borderId="1" xfId="0" applyFont="1" applyBorder="1" applyAlignment="1">
      <alignment horizontal="center" vertical="center" wrapText="1"/>
    </xf>
    <xf numFmtId="0" fontId="65" fillId="0" borderId="1" xfId="0" applyFont="1" applyBorder="1" applyAlignment="1">
      <alignment horizontal="center" vertical="center"/>
    </xf>
    <xf numFmtId="0" fontId="41" fillId="11" borderId="38" xfId="0" applyFont="1" applyFill="1" applyBorder="1" applyAlignment="1" applyProtection="1">
      <alignment horizontal="center" vertical="center" wrapText="1"/>
      <protection hidden="1"/>
    </xf>
    <xf numFmtId="0" fontId="41" fillId="11" borderId="42" xfId="0" applyFont="1" applyFill="1" applyBorder="1" applyAlignment="1" applyProtection="1">
      <alignment horizontal="center" vertical="center" wrapText="1"/>
      <protection hidden="1"/>
    </xf>
    <xf numFmtId="0" fontId="41" fillId="11" borderId="16" xfId="0" applyFont="1" applyFill="1" applyBorder="1" applyAlignment="1" applyProtection="1">
      <alignment horizontal="center" vertical="center" wrapText="1"/>
      <protection hidden="1"/>
    </xf>
    <xf numFmtId="0" fontId="41" fillId="0" borderId="38" xfId="0" applyFont="1" applyBorder="1" applyAlignment="1" applyProtection="1">
      <alignment horizontal="center" vertical="center" wrapText="1"/>
      <protection hidden="1"/>
    </xf>
    <xf numFmtId="0" fontId="41" fillId="0" borderId="16" xfId="0" applyFont="1" applyBorder="1" applyAlignment="1" applyProtection="1">
      <alignment horizontal="center" vertical="center" wrapText="1"/>
      <protection hidden="1"/>
    </xf>
    <xf numFmtId="0" fontId="41" fillId="27" borderId="38" xfId="0" applyFont="1" applyFill="1" applyBorder="1" applyAlignment="1" applyProtection="1">
      <alignment horizontal="center" vertical="center" wrapText="1"/>
      <protection hidden="1"/>
    </xf>
    <xf numFmtId="0" fontId="41" fillId="27" borderId="42" xfId="0" applyFont="1" applyFill="1" applyBorder="1" applyAlignment="1" applyProtection="1">
      <alignment horizontal="center" vertical="center" wrapText="1"/>
      <protection hidden="1"/>
    </xf>
    <xf numFmtId="0" fontId="4" fillId="11" borderId="8" xfId="0" applyFont="1" applyFill="1" applyBorder="1" applyAlignment="1" applyProtection="1">
      <alignment horizontal="center" vertical="center" wrapText="1"/>
      <protection hidden="1"/>
    </xf>
    <xf numFmtId="0" fontId="4" fillId="11" borderId="7" xfId="0" applyFont="1" applyFill="1" applyBorder="1" applyAlignment="1" applyProtection="1">
      <alignment horizontal="center" vertical="center" wrapText="1"/>
      <protection hidden="1"/>
    </xf>
    <xf numFmtId="0" fontId="4" fillId="11" borderId="9" xfId="0" applyFont="1" applyFill="1" applyBorder="1" applyAlignment="1" applyProtection="1">
      <alignment horizontal="center" vertical="center" wrapText="1"/>
      <protection hidden="1"/>
    </xf>
    <xf numFmtId="0" fontId="4" fillId="11" borderId="12" xfId="0" applyFont="1" applyFill="1" applyBorder="1" applyAlignment="1" applyProtection="1">
      <alignment horizontal="center" vertical="center" wrapText="1"/>
      <protection hidden="1"/>
    </xf>
    <xf numFmtId="0" fontId="4" fillId="11" borderId="6" xfId="0" applyFont="1" applyFill="1" applyBorder="1" applyAlignment="1" applyProtection="1">
      <alignment horizontal="center" vertical="center" wrapText="1"/>
      <protection hidden="1"/>
    </xf>
    <xf numFmtId="0" fontId="4" fillId="11" borderId="13" xfId="0" applyFont="1" applyFill="1" applyBorder="1" applyAlignment="1" applyProtection="1">
      <alignment horizontal="center" vertical="center" wrapText="1"/>
      <protection hidden="1"/>
    </xf>
    <xf numFmtId="0" fontId="4" fillId="11" borderId="1" xfId="0" applyFont="1" applyFill="1" applyBorder="1" applyAlignment="1" applyProtection="1">
      <alignment horizontal="center" vertical="center" wrapText="1"/>
      <protection hidden="1"/>
    </xf>
    <xf numFmtId="0" fontId="41" fillId="28" borderId="37" xfId="0" applyFont="1" applyFill="1" applyBorder="1" applyAlignment="1" applyProtection="1">
      <alignment horizontal="center" vertical="center" wrapText="1"/>
      <protection hidden="1"/>
    </xf>
    <xf numFmtId="0" fontId="41" fillId="28" borderId="42" xfId="0" applyFont="1" applyFill="1" applyBorder="1" applyAlignment="1" applyProtection="1">
      <alignment horizontal="center" vertical="center" wrapText="1"/>
      <protection hidden="1"/>
    </xf>
    <xf numFmtId="0" fontId="4" fillId="28" borderId="38" xfId="0" applyFont="1" applyFill="1" applyBorder="1" applyAlignment="1" applyProtection="1">
      <alignment horizontal="center" vertical="center" wrapText="1"/>
      <protection hidden="1"/>
    </xf>
    <xf numFmtId="0" fontId="4" fillId="28" borderId="42" xfId="0" applyFont="1" applyFill="1" applyBorder="1" applyAlignment="1" applyProtection="1">
      <alignment horizontal="center" vertical="center" wrapText="1"/>
      <protection hidden="1"/>
    </xf>
    <xf numFmtId="0" fontId="4" fillId="28" borderId="16" xfId="0" applyFont="1" applyFill="1" applyBorder="1" applyAlignment="1" applyProtection="1">
      <alignment horizontal="center" vertical="center" wrapText="1"/>
      <protection hidden="1"/>
    </xf>
    <xf numFmtId="0" fontId="3" fillId="29" borderId="18" xfId="3" applyFill="1" applyBorder="1" applyAlignment="1" applyProtection="1">
      <alignment horizontal="center" vertical="center" wrapText="1"/>
      <protection locked="0"/>
    </xf>
    <xf numFmtId="0" fontId="3" fillId="29" borderId="31" xfId="3" applyFill="1" applyBorder="1" applyAlignment="1" applyProtection="1">
      <alignment horizontal="center" vertical="center" wrapText="1"/>
      <protection locked="0"/>
    </xf>
    <xf numFmtId="0" fontId="3" fillId="29" borderId="19" xfId="3" applyFill="1" applyBorder="1" applyAlignment="1" applyProtection="1">
      <alignment horizontal="center" vertical="center" wrapText="1"/>
      <protection locked="0"/>
    </xf>
    <xf numFmtId="0" fontId="6" fillId="0" borderId="0" xfId="0" applyFont="1" applyAlignment="1" applyProtection="1">
      <alignment vertical="center"/>
      <protection hidden="1"/>
    </xf>
    <xf numFmtId="9" fontId="6" fillId="0" borderId="0" xfId="1" applyFont="1" applyFill="1" applyAlignment="1" applyProtection="1">
      <alignment horizontal="center" vertical="center"/>
      <protection hidden="1"/>
    </xf>
    <xf numFmtId="0" fontId="6" fillId="0" borderId="0" xfId="0" applyFont="1" applyAlignment="1" applyProtection="1">
      <alignment horizontal="left" vertical="center"/>
      <protection hidden="1"/>
    </xf>
    <xf numFmtId="0" fontId="6" fillId="0" borderId="38" xfId="1" applyNumberFormat="1" applyFont="1" applyFill="1" applyBorder="1" applyAlignment="1" applyProtection="1">
      <alignment horizontal="justify" vertical="center" wrapText="1"/>
      <protection hidden="1"/>
    </xf>
    <xf numFmtId="1" fontId="6" fillId="0" borderId="16" xfId="1" applyNumberFormat="1" applyFont="1" applyFill="1" applyBorder="1" applyAlignment="1" applyProtection="1">
      <alignment horizontal="center" vertical="center" wrapText="1"/>
      <protection hidden="1"/>
    </xf>
    <xf numFmtId="9" fontId="9" fillId="0" borderId="15" xfId="1" applyFont="1" applyFill="1" applyBorder="1" applyAlignment="1" applyProtection="1">
      <alignment horizontal="justify" vertical="center" wrapText="1"/>
      <protection hidden="1"/>
    </xf>
    <xf numFmtId="14" fontId="6" fillId="0" borderId="11" xfId="1" applyNumberFormat="1" applyFont="1" applyFill="1" applyBorder="1" applyAlignment="1" applyProtection="1">
      <alignment horizontal="justify" vertical="center" wrapText="1"/>
      <protection hidden="1"/>
    </xf>
    <xf numFmtId="3" fontId="6" fillId="2" borderId="37" xfId="1" applyNumberFormat="1" applyFont="1" applyFill="1" applyBorder="1" applyAlignment="1" applyProtection="1">
      <alignment horizontal="justify" vertical="center" wrapText="1"/>
      <protection hidden="1"/>
    </xf>
    <xf numFmtId="14" fontId="6" fillId="0" borderId="37" xfId="21" applyNumberFormat="1" applyFont="1" applyFill="1" applyBorder="1" applyAlignment="1" applyProtection="1">
      <alignment horizontal="justify" vertical="center" wrapText="1"/>
      <protection hidden="1"/>
    </xf>
    <xf numFmtId="3" fontId="9" fillId="2" borderId="37" xfId="1" applyNumberFormat="1" applyFont="1" applyFill="1" applyBorder="1" applyAlignment="1" applyProtection="1">
      <alignment horizontal="justify" vertical="center" wrapText="1"/>
      <protection hidden="1"/>
    </xf>
    <xf numFmtId="0" fontId="71" fillId="0" borderId="0" xfId="0" applyFont="1"/>
    <xf numFmtId="0" fontId="9" fillId="0" borderId="38" xfId="1" applyNumberFormat="1" applyFont="1" applyFill="1" applyBorder="1" applyAlignment="1" applyProtection="1">
      <alignment horizontal="justify" vertical="center" wrapText="1"/>
      <protection hidden="1"/>
    </xf>
    <xf numFmtId="0" fontId="9" fillId="2" borderId="37" xfId="1" applyNumberFormat="1" applyFont="1" applyFill="1" applyBorder="1" applyAlignment="1" applyProtection="1">
      <alignment horizontal="justify" vertical="center" wrapText="1"/>
      <protection hidden="1"/>
    </xf>
    <xf numFmtId="0" fontId="9" fillId="0" borderId="37" xfId="1" applyNumberFormat="1" applyFont="1" applyFill="1" applyBorder="1" applyAlignment="1" applyProtection="1">
      <alignment horizontal="justify" vertical="center" wrapText="1"/>
      <protection hidden="1"/>
    </xf>
    <xf numFmtId="9" fontId="46" fillId="0" borderId="37" xfId="1" applyFont="1" applyFill="1" applyBorder="1" applyAlignment="1" applyProtection="1">
      <alignment horizontal="center" vertical="center" wrapText="1"/>
      <protection hidden="1"/>
    </xf>
    <xf numFmtId="3" fontId="46" fillId="0" borderId="37" xfId="1" applyNumberFormat="1" applyFont="1" applyFill="1" applyBorder="1" applyAlignment="1" applyProtection="1">
      <alignment horizontal="center" vertical="center" wrapText="1"/>
      <protection hidden="1"/>
    </xf>
    <xf numFmtId="3" fontId="46" fillId="0" borderId="16" xfId="1" applyNumberFormat="1" applyFont="1" applyFill="1" applyBorder="1" applyAlignment="1" applyProtection="1">
      <alignment horizontal="center" vertical="center" wrapText="1"/>
      <protection hidden="1"/>
    </xf>
    <xf numFmtId="10" fontId="9" fillId="0" borderId="37" xfId="1" applyNumberFormat="1" applyFont="1" applyFill="1" applyBorder="1" applyAlignment="1" applyProtection="1">
      <alignment horizontal="center" vertical="center" wrapText="1"/>
      <protection hidden="1"/>
    </xf>
    <xf numFmtId="0" fontId="9" fillId="0" borderId="41" xfId="0" applyFont="1" applyBorder="1" applyAlignment="1">
      <alignment horizontal="center" vertical="center" wrapText="1"/>
    </xf>
    <xf numFmtId="0" fontId="9" fillId="0" borderId="11" xfId="1" applyNumberFormat="1" applyFont="1" applyFill="1" applyBorder="1" applyAlignment="1" applyProtection="1">
      <alignment horizontal="justify" vertical="center" wrapText="1"/>
      <protection hidden="1"/>
    </xf>
    <xf numFmtId="3" fontId="9" fillId="2" borderId="43" xfId="0" applyNumberFormat="1" applyFont="1" applyFill="1" applyBorder="1" applyAlignment="1">
      <alignment horizontal="center" vertical="center" wrapText="1"/>
    </xf>
    <xf numFmtId="9" fontId="46" fillId="0" borderId="43" xfId="1" applyFont="1" applyFill="1" applyBorder="1" applyAlignment="1">
      <alignment horizontal="center" vertical="center" wrapText="1"/>
    </xf>
    <xf numFmtId="0" fontId="9" fillId="0" borderId="1" xfId="1" applyNumberFormat="1" applyFont="1" applyFill="1" applyBorder="1" applyAlignment="1" applyProtection="1">
      <alignment horizontal="justify" vertical="center" wrapText="1"/>
      <protection hidden="1"/>
    </xf>
    <xf numFmtId="9" fontId="9" fillId="2" borderId="51" xfId="0" applyNumberFormat="1" applyFont="1" applyFill="1" applyBorder="1" applyAlignment="1">
      <alignment horizontal="justify" vertical="center" wrapText="1"/>
    </xf>
    <xf numFmtId="3" fontId="48" fillId="2" borderId="43" xfId="0" applyNumberFormat="1" applyFont="1" applyFill="1" applyBorder="1" applyAlignment="1">
      <alignment horizontal="center" vertical="center" wrapText="1"/>
    </xf>
    <xf numFmtId="3" fontId="48" fillId="0" borderId="45" xfId="0" applyNumberFormat="1" applyFont="1" applyBorder="1" applyAlignment="1">
      <alignment horizontal="center" vertical="center" wrapText="1"/>
    </xf>
    <xf numFmtId="0" fontId="9" fillId="0" borderId="16" xfId="0" applyFont="1" applyBorder="1" applyAlignment="1" applyProtection="1">
      <alignment horizontal="center" vertical="center"/>
      <protection hidden="1"/>
    </xf>
    <xf numFmtId="9" fontId="6" fillId="0" borderId="16" xfId="1" applyFont="1" applyFill="1" applyBorder="1" applyAlignment="1" applyProtection="1">
      <alignment horizontal="justify" vertical="center" wrapText="1"/>
      <protection hidden="1"/>
    </xf>
    <xf numFmtId="173" fontId="9" fillId="0" borderId="37" xfId="6" applyNumberFormat="1" applyFont="1" applyFill="1" applyBorder="1" applyAlignment="1" applyProtection="1">
      <alignment vertical="center" wrapText="1"/>
      <protection hidden="1"/>
    </xf>
    <xf numFmtId="0" fontId="9" fillId="2" borderId="37" xfId="10" applyNumberFormat="1" applyFont="1" applyFill="1" applyBorder="1" applyAlignment="1" applyProtection="1">
      <alignment horizontal="left" vertical="center" wrapText="1"/>
      <protection locked="0" hidden="1"/>
    </xf>
    <xf numFmtId="0" fontId="9" fillId="0" borderId="37" xfId="10" applyNumberFormat="1" applyFont="1" applyFill="1" applyBorder="1" applyAlignment="1" applyProtection="1">
      <alignment horizontal="left" vertical="center" wrapText="1"/>
      <protection locked="0" hidden="1"/>
    </xf>
    <xf numFmtId="0" fontId="9" fillId="0" borderId="37" xfId="0" applyFont="1" applyBorder="1" applyAlignment="1" applyProtection="1">
      <alignment horizontal="justify" vertical="center" wrapText="1"/>
      <protection hidden="1"/>
    </xf>
    <xf numFmtId="9" fontId="9" fillId="0" borderId="43" xfId="0" applyNumberFormat="1" applyFont="1" applyBorder="1" applyAlignment="1">
      <alignment horizontal="left" vertical="top" wrapText="1"/>
    </xf>
    <xf numFmtId="9" fontId="9" fillId="0" borderId="44" xfId="0" applyNumberFormat="1" applyFont="1" applyBorder="1" applyAlignment="1">
      <alignment horizontal="left" vertical="top" wrapText="1"/>
    </xf>
    <xf numFmtId="0" fontId="12" fillId="0" borderId="45" xfId="0" applyFont="1" applyBorder="1" applyAlignment="1">
      <alignment vertical="top" wrapText="1"/>
    </xf>
    <xf numFmtId="9" fontId="12" fillId="0" borderId="45" xfId="0" applyNumberFormat="1" applyFont="1" applyBorder="1" applyAlignment="1">
      <alignment horizontal="center" vertical="center" wrapText="1"/>
    </xf>
    <xf numFmtId="14" fontId="9" fillId="0" borderId="44" xfId="0" applyNumberFormat="1" applyFont="1" applyBorder="1" applyAlignment="1">
      <alignment horizontal="left" vertical="center" wrapText="1"/>
    </xf>
    <xf numFmtId="1" fontId="6" fillId="2" borderId="1" xfId="0" applyNumberFormat="1" applyFont="1" applyFill="1" applyBorder="1" applyAlignment="1" applyProtection="1">
      <alignment horizontal="left" vertical="center" wrapText="1"/>
      <protection hidden="1"/>
    </xf>
    <xf numFmtId="0" fontId="6" fillId="0" borderId="37" xfId="1" applyNumberFormat="1" applyFont="1" applyFill="1" applyBorder="1" applyAlignment="1" applyProtection="1">
      <alignment horizontal="justify" vertical="center" wrapText="1"/>
      <protection hidden="1"/>
    </xf>
    <xf numFmtId="0" fontId="12" fillId="0" borderId="0" xfId="0" applyFont="1" applyAlignment="1">
      <alignment horizontal="justify" vertical="center" wrapText="1"/>
    </xf>
    <xf numFmtId="0" fontId="12" fillId="0" borderId="38" xfId="0" applyFont="1" applyBorder="1" applyAlignment="1">
      <alignment horizontal="justify" vertical="center" wrapText="1"/>
    </xf>
    <xf numFmtId="9" fontId="6" fillId="0" borderId="16" xfId="21" applyNumberFormat="1" applyFont="1" applyFill="1" applyBorder="1" applyAlignment="1" applyProtection="1">
      <alignment horizontal="justify" vertical="center" wrapText="1"/>
      <protection hidden="1"/>
    </xf>
    <xf numFmtId="166" fontId="6" fillId="0" borderId="37" xfId="1" applyNumberFormat="1" applyFont="1" applyFill="1" applyBorder="1" applyAlignment="1" applyProtection="1">
      <alignment horizontal="justify" vertical="center" wrapText="1"/>
      <protection hidden="1"/>
    </xf>
    <xf numFmtId="9" fontId="6" fillId="0" borderId="37" xfId="1" applyFont="1" applyFill="1" applyBorder="1" applyAlignment="1" applyProtection="1">
      <alignment horizontal="justify" vertical="center"/>
      <protection hidden="1"/>
    </xf>
    <xf numFmtId="0" fontId="9" fillId="0" borderId="37" xfId="0" applyFont="1" applyBorder="1" applyAlignment="1" applyProtection="1">
      <alignment horizontal="justify" vertical="center"/>
      <protection hidden="1"/>
    </xf>
    <xf numFmtId="14" fontId="9" fillId="0" borderId="37" xfId="0" applyNumberFormat="1" applyFont="1" applyBorder="1" applyAlignment="1" applyProtection="1">
      <alignment horizontal="justify" vertical="center" wrapText="1"/>
      <protection hidden="1"/>
    </xf>
    <xf numFmtId="0" fontId="9" fillId="2" borderId="37" xfId="0" applyFont="1" applyFill="1" applyBorder="1" applyAlignment="1" applyProtection="1">
      <alignment horizontal="justify" vertical="center"/>
      <protection hidden="1"/>
    </xf>
    <xf numFmtId="0" fontId="44" fillId="2" borderId="0" xfId="0" applyFont="1" applyFill="1" applyAlignment="1" applyProtection="1">
      <alignment horizontal="justify" vertical="center"/>
      <protection hidden="1"/>
    </xf>
    <xf numFmtId="0" fontId="12" fillId="0" borderId="16" xfId="0" applyFont="1" applyBorder="1" applyAlignment="1">
      <alignment horizontal="justify" vertical="center" wrapText="1"/>
    </xf>
    <xf numFmtId="171" fontId="6" fillId="2" borderId="37" xfId="1" applyNumberFormat="1" applyFont="1" applyFill="1" applyBorder="1" applyAlignment="1" applyProtection="1">
      <alignment horizontal="center" vertical="center" wrapText="1"/>
      <protection hidden="1"/>
    </xf>
    <xf numFmtId="3" fontId="53" fillId="0" borderId="1" xfId="0" applyNumberFormat="1" applyFont="1" applyBorder="1" applyAlignment="1" applyProtection="1">
      <alignment horizontal="center" vertical="center" wrapText="1"/>
      <protection hidden="1"/>
    </xf>
    <xf numFmtId="9" fontId="9" fillId="0" borderId="16" xfId="1" applyFont="1" applyFill="1" applyBorder="1" applyAlignment="1" applyProtection="1">
      <alignment horizontal="justify" vertical="center" wrapText="1"/>
      <protection hidden="1"/>
    </xf>
    <xf numFmtId="171" fontId="9" fillId="0" borderId="37" xfId="1" applyNumberFormat="1" applyFont="1" applyFill="1" applyBorder="1" applyAlignment="1" applyProtection="1">
      <alignment horizontal="center" vertical="center" wrapText="1"/>
      <protection hidden="1"/>
    </xf>
    <xf numFmtId="3" fontId="6" fillId="0" borderId="16" xfId="1" applyNumberFormat="1" applyFont="1" applyFill="1" applyBorder="1" applyAlignment="1" applyProtection="1">
      <alignment horizontal="left" vertical="center" wrapText="1"/>
      <protection hidden="1"/>
    </xf>
    <xf numFmtId="9" fontId="9" fillId="0" borderId="37" xfId="1" applyFont="1" applyFill="1" applyBorder="1" applyAlignment="1" applyProtection="1">
      <alignment vertical="center"/>
      <protection hidden="1"/>
    </xf>
    <xf numFmtId="0" fontId="44" fillId="0" borderId="0" xfId="0" applyFont="1" applyAlignment="1" applyProtection="1">
      <alignment horizontal="justify" vertical="center"/>
      <protection hidden="1"/>
    </xf>
    <xf numFmtId="3" fontId="9" fillId="0" borderId="1" xfId="0" applyNumberFormat="1" applyFont="1" applyBorder="1" applyAlignment="1" applyProtection="1">
      <alignment horizontal="center" vertical="center" wrapText="1"/>
      <protection hidden="1"/>
    </xf>
    <xf numFmtId="9" fontId="9" fillId="0" borderId="37" xfId="1" applyFont="1" applyFill="1" applyBorder="1" applyAlignment="1" applyProtection="1">
      <alignment horizontal="justify" vertical="top" wrapText="1"/>
      <protection hidden="1"/>
    </xf>
    <xf numFmtId="9" fontId="9" fillId="2" borderId="37" xfId="1" applyFont="1" applyFill="1" applyBorder="1" applyAlignment="1" applyProtection="1">
      <alignment horizontal="justify" vertical="center" wrapText="1"/>
      <protection hidden="1"/>
    </xf>
    <xf numFmtId="0" fontId="9" fillId="0" borderId="38" xfId="0" applyFont="1" applyBorder="1" applyAlignment="1">
      <alignment horizontal="center" vertical="center" wrapText="1"/>
    </xf>
    <xf numFmtId="0" fontId="9" fillId="0" borderId="42" xfId="0" applyFont="1" applyBorder="1" applyAlignment="1" applyProtection="1">
      <alignment horizontal="center" vertical="center"/>
      <protection hidden="1"/>
    </xf>
    <xf numFmtId="0" fontId="9" fillId="0" borderId="39"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42" xfId="0" applyFont="1" applyBorder="1" applyAlignment="1">
      <alignment horizontal="center" vertical="center" wrapText="1"/>
    </xf>
    <xf numFmtId="3" fontId="9" fillId="2" borderId="1" xfId="0" applyNumberFormat="1" applyFont="1" applyFill="1" applyBorder="1" applyAlignment="1" applyProtection="1">
      <alignment horizontal="center" vertical="center" wrapText="1"/>
      <protection hidden="1"/>
    </xf>
    <xf numFmtId="0" fontId="45" fillId="0" borderId="0" xfId="0" applyFont="1" applyAlignment="1" applyProtection="1">
      <alignment horizontal="center" vertical="center"/>
      <protection hidden="1"/>
    </xf>
    <xf numFmtId="0" fontId="43" fillId="0" borderId="0" xfId="0" applyFont="1" applyAlignment="1" applyProtection="1">
      <alignment horizontal="center" vertical="center"/>
      <protection hidden="1"/>
    </xf>
    <xf numFmtId="0" fontId="41" fillId="0" borderId="0" xfId="0" applyFont="1" applyAlignment="1" applyProtection="1">
      <alignment horizontal="center" vertical="center"/>
      <protection hidden="1"/>
    </xf>
    <xf numFmtId="0" fontId="41" fillId="0" borderId="0" xfId="0" applyFont="1" applyAlignment="1" applyProtection="1">
      <alignment vertical="center"/>
      <protection hidden="1"/>
    </xf>
    <xf numFmtId="0" fontId="41" fillId="0" borderId="41" xfId="0" applyFont="1" applyBorder="1" applyAlignment="1" applyProtection="1">
      <alignment horizontal="center" vertical="center"/>
      <protection hidden="1"/>
    </xf>
    <xf numFmtId="0" fontId="41" fillId="0" borderId="37" xfId="0" applyFont="1" applyBorder="1" applyAlignment="1" applyProtection="1">
      <alignment horizontal="center" vertical="center"/>
      <protection hidden="1"/>
    </xf>
    <xf numFmtId="0" fontId="42" fillId="0" borderId="40" xfId="0" applyFont="1" applyBorder="1" applyAlignment="1" applyProtection="1">
      <alignment horizontal="left" vertical="center"/>
      <protection hidden="1"/>
    </xf>
    <xf numFmtId="0" fontId="42" fillId="0" borderId="39" xfId="0" applyFont="1" applyBorder="1" applyAlignment="1" applyProtection="1">
      <alignment horizontal="left" vertical="center"/>
      <protection hidden="1"/>
    </xf>
    <xf numFmtId="0" fontId="41" fillId="0" borderId="11" xfId="0" applyFont="1" applyBorder="1" applyAlignment="1" applyProtection="1">
      <alignment horizontal="center" vertical="center"/>
      <protection hidden="1"/>
    </xf>
    <xf numFmtId="0" fontId="41" fillId="0" borderId="16" xfId="0" applyFont="1" applyBorder="1" applyAlignment="1" applyProtection="1">
      <alignment horizontal="center" vertical="center"/>
      <protection hidden="1"/>
    </xf>
    <xf numFmtId="0" fontId="41" fillId="0" borderId="38" xfId="0" applyFont="1" applyBorder="1" applyAlignment="1" applyProtection="1">
      <alignment horizontal="center" vertical="center"/>
      <protection hidden="1"/>
    </xf>
    <xf numFmtId="0" fontId="42" fillId="0" borderId="15" xfId="0" applyFont="1" applyBorder="1" applyAlignment="1" applyProtection="1">
      <alignment horizontal="left" vertical="center"/>
      <protection hidden="1"/>
    </xf>
    <xf numFmtId="0" fontId="42" fillId="0" borderId="36" xfId="0" applyFont="1" applyBorder="1" applyAlignment="1" applyProtection="1">
      <alignment horizontal="left" vertical="center"/>
      <protection hidden="1"/>
    </xf>
    <xf numFmtId="0" fontId="40" fillId="0" borderId="0" xfId="0" applyFont="1" applyAlignment="1" applyProtection="1">
      <alignment vertical="center"/>
      <protection hidden="1"/>
    </xf>
    <xf numFmtId="0" fontId="42" fillId="0" borderId="0" xfId="0" applyFont="1"/>
    <xf numFmtId="0" fontId="9" fillId="0" borderId="2" xfId="4" applyFont="1" applyBorder="1" applyAlignment="1">
      <alignment horizontal="left" vertical="center" wrapText="1"/>
    </xf>
    <xf numFmtId="0" fontId="9" fillId="0" borderId="4" xfId="4" applyFont="1" applyBorder="1" applyAlignment="1">
      <alignment horizontal="left" vertical="center" wrapText="1"/>
    </xf>
    <xf numFmtId="0" fontId="9" fillId="0" borderId="3" xfId="4" applyFont="1" applyBorder="1" applyAlignment="1">
      <alignment horizontal="left" vertical="center" wrapText="1"/>
    </xf>
    <xf numFmtId="0" fontId="9" fillId="0" borderId="1" xfId="0" applyFont="1" applyBorder="1" applyAlignment="1">
      <alignment horizontal="center" vertical="center" wrapText="1"/>
    </xf>
    <xf numFmtId="0" fontId="42" fillId="0" borderId="13" xfId="0" applyFont="1" applyBorder="1" applyAlignment="1">
      <alignment horizontal="center"/>
    </xf>
    <xf numFmtId="0" fontId="42" fillId="0" borderId="12" xfId="0" applyFont="1" applyBorder="1" applyAlignment="1">
      <alignment horizontal="center"/>
    </xf>
    <xf numFmtId="0" fontId="42" fillId="0" borderId="5" xfId="0" applyFont="1" applyBorder="1" applyAlignment="1">
      <alignment horizontal="center"/>
    </xf>
    <xf numFmtId="0" fontId="42" fillId="0" borderId="10" xfId="0" applyFont="1" applyBorder="1" applyAlignment="1">
      <alignment horizontal="center"/>
    </xf>
    <xf numFmtId="0" fontId="42" fillId="0" borderId="9" xfId="0" applyFont="1" applyBorder="1" applyAlignment="1">
      <alignment horizontal="center"/>
    </xf>
    <xf numFmtId="0" fontId="42" fillId="0" borderId="8" xfId="0" applyFont="1" applyBorder="1" applyAlignment="1">
      <alignment horizontal="center"/>
    </xf>
    <xf numFmtId="0" fontId="3" fillId="29" borderId="1" xfId="27" applyFont="1" applyFill="1" applyBorder="1" applyAlignment="1" applyProtection="1">
      <alignment horizontal="center"/>
      <protection locked="0"/>
    </xf>
    <xf numFmtId="0" fontId="9" fillId="29" borderId="8" xfId="27" applyFont="1" applyFill="1" applyBorder="1" applyAlignment="1" applyProtection="1">
      <alignment horizontal="center" vertical="center" wrapText="1"/>
      <protection locked="0"/>
    </xf>
    <xf numFmtId="0" fontId="9" fillId="29" borderId="7" xfId="27" applyFont="1" applyFill="1" applyBorder="1" applyAlignment="1" applyProtection="1">
      <alignment horizontal="center" vertical="center" wrapText="1"/>
      <protection locked="0"/>
    </xf>
    <xf numFmtId="0" fontId="9" fillId="29" borderId="9" xfId="27" applyFont="1" applyFill="1" applyBorder="1" applyAlignment="1" applyProtection="1">
      <alignment horizontal="center" vertical="center" wrapText="1"/>
      <protection locked="0"/>
    </xf>
    <xf numFmtId="0" fontId="9" fillId="29" borderId="1" xfId="27" applyFont="1" applyFill="1" applyBorder="1" applyAlignment="1" applyProtection="1">
      <alignment vertical="center"/>
      <protection locked="0"/>
    </xf>
    <xf numFmtId="0" fontId="9" fillId="29" borderId="1" xfId="27" applyFont="1" applyFill="1" applyBorder="1" applyAlignment="1" applyProtection="1">
      <alignment horizontal="left" vertical="center"/>
      <protection locked="0"/>
    </xf>
    <xf numFmtId="0" fontId="74" fillId="2" borderId="0" xfId="27" applyFill="1" applyProtection="1">
      <protection locked="0"/>
    </xf>
    <xf numFmtId="0" fontId="74" fillId="0" borderId="0" xfId="27" applyProtection="1">
      <protection locked="0"/>
    </xf>
    <xf numFmtId="0" fontId="3" fillId="29" borderId="0" xfId="27" applyFont="1" applyFill="1" applyProtection="1">
      <protection locked="0"/>
    </xf>
    <xf numFmtId="0" fontId="9" fillId="29" borderId="10" xfId="27" applyFont="1" applyFill="1" applyBorder="1" applyAlignment="1" applyProtection="1">
      <alignment horizontal="center" vertical="center" wrapText="1"/>
      <protection locked="0"/>
    </xf>
    <xf numFmtId="0" fontId="9" fillId="29" borderId="0" xfId="27" applyFont="1" applyFill="1" applyAlignment="1" applyProtection="1">
      <alignment horizontal="center" vertical="center" wrapText="1"/>
      <protection locked="0"/>
    </xf>
    <xf numFmtId="0" fontId="9" fillId="29" borderId="5" xfId="27" applyFont="1" applyFill="1" applyBorder="1" applyAlignment="1" applyProtection="1">
      <alignment horizontal="center" vertical="center" wrapText="1"/>
      <protection locked="0"/>
    </xf>
    <xf numFmtId="0" fontId="9" fillId="29" borderId="12" xfId="27" applyFont="1" applyFill="1" applyBorder="1" applyAlignment="1" applyProtection="1">
      <alignment horizontal="center" vertical="center" wrapText="1"/>
      <protection locked="0"/>
    </xf>
    <xf numFmtId="0" fontId="9" fillId="29" borderId="6" xfId="27" applyFont="1" applyFill="1" applyBorder="1" applyAlignment="1" applyProtection="1">
      <alignment horizontal="center" vertical="center" wrapText="1"/>
      <protection locked="0"/>
    </xf>
    <xf numFmtId="0" fontId="9" fillId="29" borderId="13" xfId="27" applyFont="1" applyFill="1" applyBorder="1" applyAlignment="1" applyProtection="1">
      <alignment horizontal="center" vertical="center" wrapText="1"/>
      <protection locked="0"/>
    </xf>
    <xf numFmtId="0" fontId="67" fillId="29" borderId="0" xfId="27" applyFont="1" applyFill="1" applyAlignment="1" applyProtection="1">
      <alignment horizontal="center" vertical="top"/>
      <protection locked="0"/>
    </xf>
    <xf numFmtId="0" fontId="67" fillId="29" borderId="0" xfId="27" applyFont="1" applyFill="1" applyAlignment="1" applyProtection="1">
      <alignment horizontal="center" vertical="top"/>
      <protection locked="0"/>
    </xf>
    <xf numFmtId="0" fontId="67" fillId="29" borderId="0" xfId="27" applyFont="1" applyFill="1" applyAlignment="1" applyProtection="1">
      <alignment horizontal="right" vertical="top"/>
      <protection locked="0"/>
    </xf>
    <xf numFmtId="0" fontId="67" fillId="2" borderId="6" xfId="27" applyFont="1" applyFill="1" applyBorder="1"/>
    <xf numFmtId="0" fontId="74" fillId="2" borderId="0" xfId="27" applyFill="1"/>
    <xf numFmtId="0" fontId="67" fillId="27" borderId="3" xfId="27" applyFont="1" applyFill="1" applyBorder="1" applyAlignment="1" applyProtection="1">
      <alignment horizontal="center" vertical="center"/>
      <protection locked="0"/>
    </xf>
    <xf numFmtId="0" fontId="67" fillId="27" borderId="4" xfId="27" applyFont="1" applyFill="1" applyBorder="1" applyAlignment="1" applyProtection="1">
      <alignment horizontal="center" vertical="center"/>
      <protection locked="0"/>
    </xf>
    <xf numFmtId="0" fontId="67" fillId="27" borderId="2" xfId="27" applyFont="1" applyFill="1" applyBorder="1" applyAlignment="1" applyProtection="1">
      <alignment horizontal="center" vertical="center"/>
      <protection locked="0"/>
    </xf>
    <xf numFmtId="0" fontId="67" fillId="28" borderId="3" xfId="27" applyFont="1" applyFill="1" applyBorder="1" applyAlignment="1" applyProtection="1">
      <alignment horizontal="center" vertical="center"/>
      <protection locked="0"/>
    </xf>
    <xf numFmtId="0" fontId="67" fillId="28" borderId="4" xfId="27" applyFont="1" applyFill="1" applyBorder="1" applyAlignment="1" applyProtection="1">
      <alignment horizontal="center" vertical="center"/>
      <protection locked="0"/>
    </xf>
    <xf numFmtId="0" fontId="67" fillId="28" borderId="2" xfId="27" applyFont="1" applyFill="1" applyBorder="1" applyAlignment="1" applyProtection="1">
      <alignment horizontal="center" vertical="center"/>
      <protection locked="0"/>
    </xf>
    <xf numFmtId="0" fontId="67" fillId="11" borderId="1" xfId="27" applyFont="1" applyFill="1" applyBorder="1" applyAlignment="1" applyProtection="1">
      <alignment horizontal="center" vertical="center"/>
      <protection locked="0"/>
    </xf>
    <xf numFmtId="0" fontId="3" fillId="2" borderId="0" xfId="27" applyFont="1" applyFill="1" applyProtection="1">
      <protection locked="0"/>
    </xf>
    <xf numFmtId="0" fontId="67" fillId="0" borderId="18" xfId="27" applyFont="1" applyBorder="1" applyAlignment="1" applyProtection="1">
      <alignment horizontal="center" vertical="center" wrapText="1"/>
      <protection locked="0"/>
    </xf>
    <xf numFmtId="0" fontId="67" fillId="0" borderId="31" xfId="27" applyFont="1" applyBorder="1" applyAlignment="1" applyProtection="1">
      <alignment horizontal="center" vertical="center" wrapText="1"/>
      <protection locked="0"/>
    </xf>
    <xf numFmtId="0" fontId="67" fillId="29" borderId="31" xfId="27" applyFont="1" applyFill="1" applyBorder="1" applyAlignment="1" applyProtection="1">
      <alignment horizontal="center" vertical="center" wrapText="1"/>
      <protection locked="0"/>
    </xf>
    <xf numFmtId="0" fontId="67" fillId="0" borderId="3" xfId="27" applyFont="1" applyBorder="1" applyAlignment="1" applyProtection="1">
      <alignment horizontal="center" vertical="center"/>
      <protection locked="0"/>
    </xf>
    <xf numFmtId="0" fontId="67" fillId="0" borderId="4" xfId="27" applyFont="1" applyBorder="1" applyAlignment="1" applyProtection="1">
      <alignment horizontal="center" vertical="center"/>
      <protection locked="0"/>
    </xf>
    <xf numFmtId="0" fontId="67" fillId="2" borderId="1" xfId="27" applyFont="1" applyFill="1" applyBorder="1" applyAlignment="1" applyProtection="1">
      <alignment horizontal="center" vertical="center" wrapText="1"/>
      <protection locked="0"/>
    </xf>
    <xf numFmtId="0" fontId="67" fillId="0" borderId="1" xfId="27" applyFont="1" applyBorder="1" applyAlignment="1" applyProtection="1">
      <alignment horizontal="center" vertical="center"/>
      <protection locked="0"/>
    </xf>
    <xf numFmtId="0" fontId="67" fillId="29" borderId="18" xfId="27" applyFont="1" applyFill="1" applyBorder="1" applyAlignment="1" applyProtection="1">
      <alignment horizontal="center" vertical="center" wrapText="1"/>
      <protection locked="0"/>
    </xf>
    <xf numFmtId="0" fontId="67" fillId="29" borderId="3" xfId="27" applyFont="1" applyFill="1" applyBorder="1" applyAlignment="1" applyProtection="1">
      <alignment horizontal="center" vertical="center"/>
      <protection locked="0"/>
    </xf>
    <xf numFmtId="0" fontId="67" fillId="29" borderId="4" xfId="27" applyFont="1" applyFill="1" applyBorder="1" applyAlignment="1" applyProtection="1">
      <alignment horizontal="center" vertical="center"/>
      <protection locked="0"/>
    </xf>
    <xf numFmtId="0" fontId="67" fillId="29" borderId="2" xfId="27" applyFont="1" applyFill="1" applyBorder="1" applyAlignment="1" applyProtection="1">
      <alignment horizontal="center" vertical="center"/>
      <protection locked="0"/>
    </xf>
    <xf numFmtId="0" fontId="67" fillId="29" borderId="12" xfId="27" applyFont="1" applyFill="1" applyBorder="1" applyAlignment="1" applyProtection="1">
      <alignment horizontal="center" vertical="center"/>
      <protection locked="0"/>
    </xf>
    <xf numFmtId="0" fontId="67" fillId="29" borderId="6" xfId="27" applyFont="1" applyFill="1" applyBorder="1" applyAlignment="1" applyProtection="1">
      <alignment horizontal="center" vertical="center"/>
      <protection locked="0"/>
    </xf>
    <xf numFmtId="0" fontId="67" fillId="29" borderId="13" xfId="27" applyFont="1" applyFill="1" applyBorder="1" applyAlignment="1" applyProtection="1">
      <alignment horizontal="center" vertical="center"/>
      <protection locked="0"/>
    </xf>
    <xf numFmtId="0" fontId="3" fillId="2" borderId="0" xfId="27" applyFont="1" applyFill="1" applyAlignment="1" applyProtection="1">
      <alignment vertical="center"/>
      <protection locked="0"/>
    </xf>
    <xf numFmtId="0" fontId="3" fillId="29" borderId="0" xfId="27" applyFont="1" applyFill="1" applyAlignment="1" applyProtection="1">
      <alignment vertical="center"/>
      <protection locked="0"/>
    </xf>
    <xf numFmtId="0" fontId="67" fillId="0" borderId="1" xfId="27" applyFont="1" applyBorder="1" applyAlignment="1" applyProtection="1">
      <alignment horizontal="center" vertical="center" wrapText="1"/>
      <protection locked="0"/>
    </xf>
    <xf numFmtId="0" fontId="67" fillId="0" borderId="1" xfId="27" applyFont="1" applyBorder="1" applyAlignment="1" applyProtection="1">
      <alignment horizontal="center" vertical="center" wrapText="1"/>
      <protection locked="0"/>
    </xf>
    <xf numFmtId="0" fontId="67" fillId="2" borderId="1" xfId="27" applyFont="1" applyFill="1" applyBorder="1" applyAlignment="1" applyProtection="1">
      <alignment horizontal="center" vertical="center" wrapText="1"/>
      <protection locked="0"/>
    </xf>
    <xf numFmtId="0" fontId="67" fillId="29" borderId="1" xfId="27" applyFont="1" applyFill="1" applyBorder="1" applyAlignment="1" applyProtection="1">
      <alignment horizontal="center" vertical="center" wrapText="1"/>
      <protection locked="0"/>
    </xf>
    <xf numFmtId="0" fontId="67" fillId="3" borderId="1" xfId="27" applyFont="1" applyFill="1" applyBorder="1" applyAlignment="1" applyProtection="1">
      <alignment horizontal="center" vertical="center" wrapText="1"/>
      <protection locked="0"/>
    </xf>
    <xf numFmtId="0" fontId="3" fillId="29" borderId="18" xfId="27" applyFont="1" applyFill="1" applyBorder="1" applyAlignment="1" applyProtection="1">
      <alignment horizontal="center" vertical="center" wrapText="1"/>
      <protection locked="0"/>
    </xf>
    <xf numFmtId="0" fontId="3" fillId="29" borderId="1" xfId="27" applyFont="1" applyFill="1" applyBorder="1" applyAlignment="1" applyProtection="1">
      <alignment vertical="center" wrapText="1"/>
      <protection locked="0"/>
    </xf>
    <xf numFmtId="0" fontId="3" fillId="0" borderId="1" xfId="27" applyFont="1" applyBorder="1" applyAlignment="1" applyProtection="1">
      <alignment vertical="center" wrapText="1"/>
      <protection locked="0"/>
    </xf>
    <xf numFmtId="0" fontId="3" fillId="29" borderId="1" xfId="27" applyFont="1" applyFill="1" applyBorder="1" applyAlignment="1" applyProtection="1">
      <alignment vertical="center"/>
      <protection locked="0"/>
    </xf>
    <xf numFmtId="0" fontId="3" fillId="29" borderId="1" xfId="27" applyFont="1" applyFill="1" applyBorder="1" applyAlignment="1" applyProtection="1">
      <alignment horizontal="center" vertical="center" wrapText="1"/>
      <protection locked="0"/>
    </xf>
    <xf numFmtId="0" fontId="3" fillId="29" borderId="1" xfId="27" applyFont="1" applyFill="1" applyBorder="1" applyAlignment="1">
      <alignment vertical="center" wrapText="1"/>
    </xf>
    <xf numFmtId="0" fontId="3" fillId="31" borderId="1" xfId="27" applyFont="1" applyFill="1" applyBorder="1" applyAlignment="1">
      <alignment horizontal="center" vertical="center"/>
    </xf>
    <xf numFmtId="0" fontId="3" fillId="29" borderId="1" xfId="27" applyFont="1" applyFill="1" applyBorder="1" applyAlignment="1" applyProtection="1">
      <alignment horizontal="justify" vertical="center" wrapText="1"/>
      <protection locked="0"/>
    </xf>
    <xf numFmtId="0" fontId="3" fillId="31" borderId="1" xfId="27" applyFont="1" applyFill="1" applyBorder="1" applyAlignment="1">
      <alignment vertical="center"/>
    </xf>
    <xf numFmtId="9" fontId="3" fillId="0" borderId="1" xfId="27" applyNumberFormat="1" applyFont="1" applyBorder="1" applyAlignment="1" applyProtection="1">
      <alignment horizontal="center" vertical="center" wrapText="1"/>
      <protection locked="0"/>
    </xf>
    <xf numFmtId="14" fontId="3" fillId="29" borderId="1" xfId="27" applyNumberFormat="1" applyFont="1" applyFill="1" applyBorder="1" applyAlignment="1" applyProtection="1">
      <alignment horizontal="center" vertical="center" wrapText="1"/>
      <protection locked="0"/>
    </xf>
    <xf numFmtId="0" fontId="67" fillId="29" borderId="0" xfId="27" applyFont="1" applyFill="1" applyProtection="1">
      <protection locked="0"/>
    </xf>
    <xf numFmtId="0" fontId="3" fillId="29" borderId="19" xfId="27" applyFont="1" applyFill="1" applyBorder="1" applyAlignment="1" applyProtection="1">
      <alignment horizontal="center" vertical="center" wrapText="1"/>
      <protection locked="0"/>
    </xf>
    <xf numFmtId="0" fontId="3" fillId="29" borderId="31" xfId="27" applyFont="1" applyFill="1" applyBorder="1" applyAlignment="1" applyProtection="1">
      <alignment vertical="center" wrapText="1"/>
      <protection locked="0"/>
    </xf>
    <xf numFmtId="0" fontId="3" fillId="29" borderId="31" xfId="27" applyFont="1" applyFill="1" applyBorder="1" applyAlignment="1" applyProtection="1">
      <alignment horizontal="center" vertical="center"/>
      <protection locked="0"/>
    </xf>
    <xf numFmtId="0" fontId="3" fillId="29" borderId="31" xfId="27" applyFont="1" applyFill="1" applyBorder="1" applyAlignment="1" applyProtection="1">
      <alignment horizontal="left" vertical="center" wrapText="1"/>
      <protection locked="0"/>
    </xf>
    <xf numFmtId="0" fontId="3" fillId="29" borderId="31" xfId="27" applyFont="1" applyFill="1" applyBorder="1" applyAlignment="1" applyProtection="1">
      <alignment horizontal="center" vertical="center" wrapText="1"/>
      <protection locked="0"/>
    </xf>
    <xf numFmtId="0" fontId="3" fillId="29" borderId="31" xfId="27" applyFont="1" applyFill="1" applyBorder="1" applyAlignment="1">
      <alignment vertical="center" wrapText="1"/>
    </xf>
    <xf numFmtId="0" fontId="3" fillId="31" borderId="31" xfId="27" applyFont="1" applyFill="1" applyBorder="1" applyAlignment="1">
      <alignment horizontal="center" vertical="center"/>
    </xf>
    <xf numFmtId="0" fontId="3" fillId="29" borderId="1" xfId="27" applyFont="1" applyFill="1" applyBorder="1" applyAlignment="1" applyProtection="1">
      <alignment horizontal="left" vertical="center" wrapText="1"/>
      <protection locked="0"/>
    </xf>
    <xf numFmtId="0" fontId="3" fillId="0" borderId="31" xfId="27" applyFont="1" applyBorder="1" applyAlignment="1" applyProtection="1">
      <alignment vertical="center"/>
      <protection locked="0"/>
    </xf>
    <xf numFmtId="0" fontId="3" fillId="0" borderId="31" xfId="27" applyFont="1" applyBorder="1" applyAlignment="1" applyProtection="1">
      <alignment vertical="center" wrapText="1"/>
      <protection locked="0"/>
    </xf>
    <xf numFmtId="9" fontId="3" fillId="0" borderId="31" xfId="27" applyNumberFormat="1" applyFont="1" applyBorder="1" applyAlignment="1" applyProtection="1">
      <alignment horizontal="center" vertical="center" wrapText="1"/>
      <protection locked="0"/>
    </xf>
    <xf numFmtId="14" fontId="3" fillId="29" borderId="31" xfId="27" applyNumberFormat="1" applyFont="1" applyFill="1" applyBorder="1" applyAlignment="1" applyProtection="1">
      <alignment horizontal="center" vertical="center" wrapText="1"/>
      <protection locked="0"/>
    </xf>
    <xf numFmtId="0" fontId="3" fillId="29" borderId="31" xfId="27" applyFont="1" applyFill="1" applyBorder="1" applyAlignment="1" applyProtection="1">
      <alignment horizontal="justify" vertical="center" wrapText="1"/>
      <protection locked="0"/>
    </xf>
    <xf numFmtId="0" fontId="3" fillId="29" borderId="31" xfId="27" applyFont="1" applyFill="1" applyBorder="1" applyAlignment="1" applyProtection="1">
      <alignment vertical="center"/>
      <protection locked="0"/>
    </xf>
    <xf numFmtId="0" fontId="3" fillId="0" borderId="1" xfId="27" applyFont="1" applyBorder="1" applyAlignment="1" applyProtection="1">
      <alignment horizontal="center" vertical="center" wrapText="1"/>
      <protection locked="0"/>
    </xf>
    <xf numFmtId="0" fontId="3" fillId="29" borderId="31" xfId="27" applyFont="1" applyFill="1" applyBorder="1" applyAlignment="1" applyProtection="1">
      <alignment horizontal="center" vertical="center" wrapText="1"/>
      <protection locked="0"/>
    </xf>
    <xf numFmtId="1" fontId="3" fillId="29" borderId="31" xfId="28" applyNumberFormat="1" applyFont="1" applyFill="1" applyBorder="1" applyAlignment="1" applyProtection="1">
      <alignment horizontal="center" vertical="center" wrapText="1"/>
      <protection locked="0"/>
    </xf>
    <xf numFmtId="0" fontId="59" fillId="29" borderId="31" xfId="27" applyFont="1" applyFill="1" applyBorder="1" applyAlignment="1" applyProtection="1">
      <alignment vertical="center" wrapText="1"/>
      <protection locked="0"/>
    </xf>
    <xf numFmtId="0" fontId="3" fillId="29" borderId="18" xfId="27" applyFont="1" applyFill="1" applyBorder="1" applyAlignment="1" applyProtection="1">
      <alignment vertical="center" wrapText="1"/>
      <protection locked="0"/>
    </xf>
    <xf numFmtId="0" fontId="3" fillId="0" borderId="31" xfId="27" applyFont="1" applyBorder="1" applyAlignment="1" applyProtection="1">
      <alignment horizontal="center" vertical="center"/>
      <protection locked="0"/>
    </xf>
    <xf numFmtId="9" fontId="3" fillId="29" borderId="31" xfId="27" applyNumberFormat="1" applyFont="1" applyFill="1" applyBorder="1" applyAlignment="1" applyProtection="1">
      <alignment horizontal="center" vertical="center" wrapText="1"/>
      <protection locked="0"/>
    </xf>
    <xf numFmtId="0" fontId="3" fillId="29" borderId="19" xfId="27" applyFont="1" applyFill="1" applyBorder="1" applyAlignment="1" applyProtection="1">
      <alignment vertical="center" wrapText="1"/>
      <protection locked="0"/>
    </xf>
    <xf numFmtId="0" fontId="3" fillId="29" borderId="18" xfId="27" applyFont="1" applyFill="1" applyBorder="1" applyAlignment="1" applyProtection="1">
      <alignment horizontal="left" vertical="center" wrapText="1"/>
      <protection locked="0"/>
    </xf>
    <xf numFmtId="0" fontId="3" fillId="29" borderId="18" xfId="27" applyFont="1" applyFill="1" applyBorder="1" applyAlignment="1" applyProtection="1">
      <alignment horizontal="center" vertical="center"/>
      <protection locked="0"/>
    </xf>
    <xf numFmtId="0" fontId="3" fillId="29" borderId="18" xfId="27" applyFont="1" applyFill="1" applyBorder="1" applyAlignment="1">
      <alignment vertical="center" wrapText="1"/>
    </xf>
    <xf numFmtId="0" fontId="3" fillId="31" borderId="18" xfId="27" applyFont="1" applyFill="1" applyBorder="1" applyAlignment="1">
      <alignment vertical="center"/>
    </xf>
    <xf numFmtId="0" fontId="3" fillId="31" borderId="18" xfId="27" applyFont="1" applyFill="1" applyBorder="1" applyAlignment="1">
      <alignment horizontal="center" vertical="center"/>
    </xf>
    <xf numFmtId="0" fontId="3" fillId="0" borderId="18" xfId="27" applyFont="1" applyBorder="1" applyAlignment="1" applyProtection="1">
      <alignment horizontal="center" vertical="center"/>
      <protection locked="0"/>
    </xf>
    <xf numFmtId="9" fontId="3" fillId="29" borderId="31" xfId="8" applyFont="1" applyFill="1" applyBorder="1" applyAlignment="1" applyProtection="1">
      <alignment horizontal="right" vertical="center" wrapText="1"/>
      <protection locked="0"/>
    </xf>
    <xf numFmtId="0" fontId="3" fillId="29" borderId="31" xfId="27" applyFont="1" applyFill="1" applyBorder="1" applyAlignment="1" applyProtection="1">
      <alignment vertical="center" wrapText="1"/>
      <protection locked="0"/>
    </xf>
    <xf numFmtId="0" fontId="3" fillId="29" borderId="31" xfId="27" applyFont="1" applyFill="1" applyBorder="1" applyAlignment="1" applyProtection="1">
      <alignment horizontal="left" vertical="center" wrapText="1"/>
      <protection locked="0"/>
    </xf>
    <xf numFmtId="0" fontId="3" fillId="29" borderId="31" xfId="27" applyFont="1" applyFill="1" applyBorder="1" applyAlignment="1" applyProtection="1">
      <alignment horizontal="center" vertical="center"/>
      <protection locked="0"/>
    </xf>
    <xf numFmtId="0" fontId="3" fillId="29" borderId="31" xfId="27" applyFont="1" applyFill="1" applyBorder="1" applyAlignment="1">
      <alignment vertical="center" wrapText="1"/>
    </xf>
    <xf numFmtId="0" fontId="3" fillId="31" borderId="31" xfId="27" applyFont="1" applyFill="1" applyBorder="1" applyAlignment="1">
      <alignment vertical="center"/>
    </xf>
    <xf numFmtId="0" fontId="3" fillId="31" borderId="31" xfId="27" applyFont="1" applyFill="1" applyBorder="1" applyAlignment="1">
      <alignment horizontal="center" vertical="center"/>
    </xf>
    <xf numFmtId="0" fontId="3" fillId="0" borderId="31" xfId="27" applyFont="1" applyBorder="1" applyAlignment="1" applyProtection="1">
      <alignment horizontal="center" vertical="center"/>
      <protection locked="0"/>
    </xf>
    <xf numFmtId="0" fontId="44" fillId="29" borderId="31" xfId="27" applyFont="1" applyFill="1" applyBorder="1" applyAlignment="1" applyProtection="1">
      <alignment vertical="center" wrapText="1"/>
      <protection locked="0"/>
    </xf>
    <xf numFmtId="14" fontId="3" fillId="29" borderId="31" xfId="27" applyNumberFormat="1" applyFont="1" applyFill="1" applyBorder="1" applyAlignment="1" applyProtection="1">
      <alignment horizontal="left" vertical="center" wrapText="1"/>
      <protection locked="0"/>
    </xf>
    <xf numFmtId="0" fontId="3" fillId="29" borderId="18" xfId="27" applyFont="1" applyFill="1" applyBorder="1" applyAlignment="1" applyProtection="1">
      <alignment vertical="center" wrapText="1"/>
      <protection locked="0"/>
    </xf>
    <xf numFmtId="0" fontId="3" fillId="0" borderId="18" xfId="27" applyFont="1" applyBorder="1" applyAlignment="1" applyProtection="1">
      <alignment vertical="center"/>
      <protection locked="0"/>
    </xf>
    <xf numFmtId="0" fontId="3" fillId="0" borderId="18" xfId="27" applyFont="1" applyBorder="1" applyAlignment="1" applyProtection="1">
      <alignment horizontal="center" vertical="center" wrapText="1"/>
      <protection locked="0"/>
    </xf>
    <xf numFmtId="0" fontId="3" fillId="0" borderId="31" xfId="27" applyFont="1" applyBorder="1" applyAlignment="1" applyProtection="1">
      <alignment vertical="center"/>
      <protection locked="0"/>
    </xf>
    <xf numFmtId="1" fontId="3" fillId="29" borderId="31" xfId="27" applyNumberFormat="1" applyFont="1" applyFill="1" applyBorder="1" applyAlignment="1" applyProtection="1">
      <alignment horizontal="center" vertical="center" wrapText="1"/>
      <protection locked="0"/>
    </xf>
    <xf numFmtId="0" fontId="3" fillId="0" borderId="31" xfId="27" applyFont="1" applyBorder="1" applyAlignment="1" applyProtection="1">
      <alignment horizontal="center" vertical="center" wrapText="1"/>
      <protection locked="0"/>
    </xf>
    <xf numFmtId="0" fontId="44" fillId="29" borderId="1" xfId="27" applyFont="1" applyFill="1" applyBorder="1" applyAlignment="1" applyProtection="1">
      <alignment vertical="center" wrapText="1"/>
      <protection locked="0"/>
    </xf>
    <xf numFmtId="0" fontId="3" fillId="29" borderId="1" xfId="27" applyFont="1" applyFill="1" applyBorder="1" applyAlignment="1" applyProtection="1">
      <alignment horizontal="center" vertical="center"/>
      <protection locked="0"/>
    </xf>
    <xf numFmtId="0" fontId="3" fillId="0" borderId="1" xfId="27" applyFont="1" applyBorder="1" applyAlignment="1" applyProtection="1">
      <alignment vertical="center"/>
      <protection locked="0"/>
    </xf>
    <xf numFmtId="9" fontId="3" fillId="29" borderId="1" xfId="27" applyNumberFormat="1" applyFont="1" applyFill="1" applyBorder="1" applyAlignment="1" applyProtection="1">
      <alignment horizontal="center" vertical="center" wrapText="1"/>
      <protection locked="0"/>
    </xf>
    <xf numFmtId="0" fontId="44" fillId="29" borderId="1" xfId="27" applyFont="1" applyFill="1" applyBorder="1" applyAlignment="1" applyProtection="1">
      <alignment horizontal="center" vertical="center" wrapText="1"/>
      <protection locked="0"/>
    </xf>
    <xf numFmtId="0" fontId="44" fillId="29" borderId="18" xfId="27" applyFont="1" applyFill="1" applyBorder="1" applyAlignment="1" applyProtection="1">
      <alignment horizontal="center" vertical="center" wrapText="1"/>
      <protection locked="0"/>
    </xf>
    <xf numFmtId="0" fontId="44" fillId="29" borderId="18" xfId="27" applyFont="1" applyFill="1" applyBorder="1" applyAlignment="1">
      <alignment vertical="center" wrapText="1"/>
    </xf>
    <xf numFmtId="0" fontId="44" fillId="29" borderId="31" xfId="27" applyFont="1" applyFill="1" applyBorder="1" applyAlignment="1" applyProtection="1">
      <alignment horizontal="center" vertical="center" wrapText="1"/>
      <protection locked="0"/>
    </xf>
    <xf numFmtId="0" fontId="44" fillId="29" borderId="31" xfId="27" applyFont="1" applyFill="1" applyBorder="1" applyAlignment="1">
      <alignment vertical="center" wrapText="1"/>
    </xf>
    <xf numFmtId="0" fontId="44" fillId="29" borderId="31" xfId="27" applyFont="1" applyFill="1" applyBorder="1" applyAlignment="1" applyProtection="1">
      <alignment horizontal="center" vertical="center" wrapText="1"/>
      <protection locked="0"/>
    </xf>
    <xf numFmtId="0" fontId="3" fillId="29" borderId="18" xfId="27" applyFont="1" applyFill="1" applyBorder="1" applyAlignment="1">
      <alignment horizontal="center" vertical="center" wrapText="1"/>
    </xf>
    <xf numFmtId="0" fontId="3" fillId="29" borderId="19" xfId="27" applyFont="1" applyFill="1" applyBorder="1" applyAlignment="1">
      <alignment horizontal="center" vertical="center" wrapText="1"/>
    </xf>
    <xf numFmtId="0" fontId="3" fillId="31" borderId="19" xfId="27" applyFont="1" applyFill="1" applyBorder="1" applyAlignment="1">
      <alignment horizontal="center" vertical="center"/>
    </xf>
    <xf numFmtId="0" fontId="3" fillId="0" borderId="19" xfId="27" applyFont="1" applyBorder="1" applyAlignment="1" applyProtection="1">
      <alignment horizontal="center" vertical="center" wrapText="1"/>
      <protection locked="0"/>
    </xf>
    <xf numFmtId="0" fontId="3" fillId="0" borderId="19" xfId="27" applyFont="1" applyBorder="1" applyAlignment="1" applyProtection="1">
      <alignment horizontal="center" vertical="center"/>
      <protection locked="0"/>
    </xf>
    <xf numFmtId="0" fontId="3" fillId="29" borderId="31" xfId="27" applyFont="1" applyFill="1" applyBorder="1" applyAlignment="1">
      <alignment horizontal="center" vertical="center" wrapText="1"/>
    </xf>
    <xf numFmtId="0" fontId="3" fillId="0" borderId="18" xfId="27" applyFont="1" applyBorder="1" applyAlignment="1" applyProtection="1">
      <alignment horizontal="left" vertical="center" wrapText="1"/>
      <protection locked="0"/>
    </xf>
    <xf numFmtId="0" fontId="3" fillId="29" borderId="18" xfId="27" applyFont="1" applyFill="1" applyBorder="1" applyAlignment="1">
      <alignment horizontal="left" vertical="center" wrapText="1"/>
    </xf>
    <xf numFmtId="0" fontId="44" fillId="29" borderId="31" xfId="27" applyFont="1" applyFill="1" applyBorder="1" applyAlignment="1" applyProtection="1">
      <alignment horizontal="justify" vertical="center" wrapText="1"/>
      <protection locked="0"/>
    </xf>
    <xf numFmtId="0" fontId="3" fillId="0" borderId="18" xfId="27" applyFont="1" applyBorder="1" applyAlignment="1" applyProtection="1">
      <alignment horizontal="left" vertical="center"/>
      <protection locked="0"/>
    </xf>
    <xf numFmtId="14" fontId="3" fillId="0" borderId="31" xfId="27" applyNumberFormat="1" applyFont="1" applyBorder="1" applyAlignment="1" applyProtection="1">
      <alignment horizontal="center" vertical="center" wrapText="1"/>
      <protection locked="0"/>
    </xf>
    <xf numFmtId="0" fontId="3" fillId="0" borderId="31" xfId="27" applyFont="1" applyBorder="1" applyAlignment="1" applyProtection="1">
      <alignment horizontal="justify" vertical="center" wrapText="1"/>
      <protection locked="0"/>
    </xf>
    <xf numFmtId="0" fontId="3" fillId="29" borderId="19" xfId="27" applyFont="1" applyFill="1" applyBorder="1" applyAlignment="1" applyProtection="1">
      <alignment horizontal="left" vertical="center" wrapText="1"/>
      <protection locked="0"/>
    </xf>
    <xf numFmtId="0" fontId="3" fillId="0" borderId="19" xfId="27" applyFont="1" applyBorder="1" applyAlignment="1" applyProtection="1">
      <alignment horizontal="left" vertical="center" wrapText="1"/>
      <protection locked="0"/>
    </xf>
    <xf numFmtId="0" fontId="3" fillId="29" borderId="19" xfId="27" applyFont="1" applyFill="1" applyBorder="1" applyAlignment="1" applyProtection="1">
      <alignment horizontal="center" vertical="center"/>
      <protection locked="0"/>
    </xf>
    <xf numFmtId="0" fontId="3" fillId="29" borderId="19" xfId="27" applyFont="1" applyFill="1" applyBorder="1" applyAlignment="1">
      <alignment horizontal="left" vertical="center" wrapText="1"/>
    </xf>
    <xf numFmtId="0" fontId="3" fillId="0" borderId="19" xfId="27" applyFont="1" applyBorder="1" applyAlignment="1" applyProtection="1">
      <alignment horizontal="left" vertical="center"/>
      <protection locked="0"/>
    </xf>
    <xf numFmtId="0" fontId="69" fillId="29" borderId="31" xfId="27" applyFont="1" applyFill="1" applyBorder="1" applyAlignment="1" applyProtection="1">
      <alignment horizontal="justify" vertical="center" wrapText="1"/>
      <protection locked="0"/>
    </xf>
    <xf numFmtId="0" fontId="3" fillId="29" borderId="31" xfId="27" applyFont="1" applyFill="1" applyBorder="1" applyAlignment="1">
      <alignment horizontal="left" vertical="center" wrapText="1"/>
    </xf>
    <xf numFmtId="0" fontId="3" fillId="0" borderId="31" xfId="27" applyFont="1" applyBorder="1" applyAlignment="1" applyProtection="1">
      <alignment horizontal="left" vertical="center"/>
      <protection locked="0"/>
    </xf>
    <xf numFmtId="14" fontId="3" fillId="29" borderId="31" xfId="27" applyNumberFormat="1" applyFont="1" applyFill="1" applyBorder="1" applyAlignment="1" applyProtection="1">
      <alignment horizontal="justify" vertical="center" wrapText="1"/>
      <protection locked="0"/>
    </xf>
    <xf numFmtId="0" fontId="3" fillId="0" borderId="31" xfId="27" applyFont="1" applyBorder="1" applyAlignment="1" applyProtection="1">
      <alignment horizontal="center" vertical="center" wrapText="1"/>
      <protection locked="0"/>
    </xf>
    <xf numFmtId="0" fontId="3" fillId="29" borderId="31" xfId="27" applyFont="1" applyFill="1" applyBorder="1" applyAlignment="1">
      <alignment horizontal="left" vertical="center" wrapText="1"/>
    </xf>
    <xf numFmtId="0" fontId="3" fillId="0" borderId="31" xfId="27" applyFont="1" applyBorder="1" applyAlignment="1" applyProtection="1">
      <alignment horizontal="left" vertical="center" wrapText="1"/>
      <protection locked="0"/>
    </xf>
    <xf numFmtId="0" fontId="3" fillId="0" borderId="31" xfId="27" applyFont="1" applyBorder="1" applyAlignment="1" applyProtection="1">
      <alignment horizontal="left" vertical="center"/>
      <protection locked="0"/>
    </xf>
    <xf numFmtId="0" fontId="3" fillId="29" borderId="1" xfId="27" applyFont="1" applyFill="1" applyBorder="1" applyAlignment="1">
      <alignment horizontal="center" vertical="center" wrapText="1"/>
    </xf>
    <xf numFmtId="9" fontId="3" fillId="29" borderId="31" xfId="27" applyNumberFormat="1" applyFont="1" applyFill="1" applyBorder="1" applyAlignment="1" applyProtection="1">
      <alignment vertical="center" wrapText="1"/>
      <protection locked="0"/>
    </xf>
    <xf numFmtId="0" fontId="74" fillId="29" borderId="1" xfId="27" applyFill="1" applyBorder="1" applyAlignment="1">
      <alignment horizontal="center" vertical="center" wrapText="1"/>
    </xf>
    <xf numFmtId="0" fontId="3" fillId="2" borderId="31" xfId="27" applyFont="1" applyFill="1" applyBorder="1" applyAlignment="1">
      <alignment vertical="center" wrapText="1"/>
    </xf>
    <xf numFmtId="0" fontId="74" fillId="29" borderId="18" xfId="27" applyFill="1" applyBorder="1" applyAlignment="1">
      <alignment horizontal="center" vertical="center" wrapText="1"/>
    </xf>
    <xf numFmtId="0" fontId="74" fillId="29" borderId="31" xfId="27" applyFill="1" applyBorder="1" applyAlignment="1">
      <alignment horizontal="center" vertical="center" wrapText="1"/>
    </xf>
    <xf numFmtId="0" fontId="44" fillId="29" borderId="18" xfId="27" applyFont="1" applyFill="1" applyBorder="1" applyAlignment="1" applyProtection="1">
      <alignment vertical="center" wrapText="1"/>
      <protection locked="0"/>
    </xf>
    <xf numFmtId="0" fontId="44" fillId="29" borderId="18" xfId="27" applyFont="1" applyFill="1" applyBorder="1" applyAlignment="1" applyProtection="1">
      <alignment horizontal="left" vertical="center" wrapText="1"/>
      <protection locked="0"/>
    </xf>
    <xf numFmtId="0" fontId="44" fillId="29" borderId="31" xfId="27" applyFont="1" applyFill="1" applyBorder="1" applyAlignment="1" applyProtection="1">
      <alignment vertical="center" wrapText="1"/>
      <protection locked="0"/>
    </xf>
    <xf numFmtId="0" fontId="44" fillId="29" borderId="31" xfId="27" applyFont="1" applyFill="1" applyBorder="1" applyAlignment="1" applyProtection="1">
      <alignment horizontal="left" vertical="center" wrapText="1"/>
      <protection locked="0"/>
    </xf>
    <xf numFmtId="0" fontId="75" fillId="29" borderId="19" xfId="27" applyFont="1" applyFill="1" applyBorder="1" applyAlignment="1" applyProtection="1">
      <alignment vertical="center" wrapText="1"/>
      <protection locked="0"/>
    </xf>
    <xf numFmtId="0" fontId="3" fillId="29" borderId="19" xfId="27" applyFont="1" applyFill="1" applyBorder="1" applyAlignment="1" applyProtection="1">
      <alignment horizontal="center" vertical="center" wrapText="1"/>
      <protection locked="0"/>
    </xf>
    <xf numFmtId="0" fontId="75" fillId="29" borderId="31" xfId="27" applyFont="1" applyFill="1" applyBorder="1" applyAlignment="1" applyProtection="1">
      <alignment vertical="center" wrapText="1"/>
      <protection locked="0"/>
    </xf>
    <xf numFmtId="0" fontId="44" fillId="0" borderId="31" xfId="27" applyFont="1" applyBorder="1" applyAlignment="1" applyProtection="1">
      <alignment vertical="center" wrapText="1"/>
      <protection locked="0"/>
    </xf>
    <xf numFmtId="0" fontId="3" fillId="0" borderId="1" xfId="27" applyFont="1" applyBorder="1" applyAlignment="1">
      <alignment horizontal="left" vertical="center" wrapText="1"/>
    </xf>
    <xf numFmtId="0" fontId="44" fillId="0" borderId="31" xfId="27" applyFont="1" applyBorder="1" applyAlignment="1" applyProtection="1">
      <alignment horizontal="center" vertical="center" wrapText="1"/>
      <protection locked="0"/>
    </xf>
    <xf numFmtId="9" fontId="3" fillId="2" borderId="31" xfId="27" applyNumberFormat="1" applyFont="1" applyFill="1" applyBorder="1" applyAlignment="1" applyProtection="1">
      <alignment horizontal="center" vertical="center" wrapText="1"/>
      <protection locked="0"/>
    </xf>
    <xf numFmtId="14" fontId="3" fillId="2" borderId="31" xfId="27" applyNumberFormat="1" applyFont="1" applyFill="1" applyBorder="1" applyAlignment="1" applyProtection="1">
      <alignment horizontal="center" vertical="center" wrapText="1"/>
      <protection locked="0"/>
    </xf>
    <xf numFmtId="0" fontId="67" fillId="29" borderId="31" xfId="27" applyFont="1" applyFill="1" applyBorder="1" applyAlignment="1" applyProtection="1">
      <alignment horizontal="center" vertical="center" wrapText="1"/>
      <protection locked="0"/>
    </xf>
    <xf numFmtId="0" fontId="3" fillId="29" borderId="1" xfId="27" applyFont="1" applyFill="1" applyBorder="1" applyAlignment="1" applyProtection="1">
      <alignment vertical="center" wrapText="1"/>
      <protection locked="0"/>
    </xf>
    <xf numFmtId="0" fontId="3" fillId="0" borderId="18" xfId="27" applyFont="1" applyBorder="1" applyAlignment="1" applyProtection="1">
      <alignment vertical="center" wrapText="1"/>
      <protection locked="0"/>
    </xf>
    <xf numFmtId="0" fontId="3" fillId="29" borderId="19" xfId="27" applyFont="1" applyFill="1" applyBorder="1" applyAlignment="1">
      <alignment vertical="center" wrapText="1"/>
    </xf>
    <xf numFmtId="0" fontId="3" fillId="0" borderId="19" xfId="27" applyFont="1" applyBorder="1" applyAlignment="1" applyProtection="1">
      <alignment vertical="center" wrapText="1"/>
      <protection locked="0"/>
    </xf>
    <xf numFmtId="0" fontId="3" fillId="0" borderId="19" xfId="27" applyFont="1" applyBorder="1" applyAlignment="1" applyProtection="1">
      <alignment vertical="center"/>
      <protection locked="0"/>
    </xf>
    <xf numFmtId="0" fontId="3" fillId="0" borderId="31" xfId="27" applyFont="1" applyBorder="1" applyAlignment="1" applyProtection="1">
      <alignment horizontal="left" vertical="center" wrapText="1"/>
      <protection locked="0"/>
    </xf>
    <xf numFmtId="0" fontId="3" fillId="0" borderId="31" xfId="27" applyFont="1" applyBorder="1" applyAlignment="1" applyProtection="1">
      <alignment vertical="center" wrapText="1"/>
      <protection locked="0"/>
    </xf>
    <xf numFmtId="0" fontId="3" fillId="0" borderId="1" xfId="27" applyFont="1" applyBorder="1" applyAlignment="1" applyProtection="1">
      <alignment horizontal="center" vertical="center"/>
      <protection locked="0"/>
    </xf>
    <xf numFmtId="14" fontId="3" fillId="29" borderId="31" xfId="8" applyNumberFormat="1" applyFont="1" applyFill="1" applyBorder="1" applyAlignment="1" applyProtection="1">
      <alignment horizontal="right" vertical="center" wrapText="1"/>
      <protection locked="0"/>
    </xf>
    <xf numFmtId="0" fontId="3" fillId="29" borderId="1" xfId="27" applyFont="1" applyFill="1" applyBorder="1" applyAlignment="1" applyProtection="1">
      <alignment horizontal="center" vertical="center" wrapText="1"/>
      <protection locked="0"/>
    </xf>
    <xf numFmtId="0" fontId="3" fillId="29" borderId="1" xfId="27" applyFont="1" applyFill="1" applyBorder="1" applyAlignment="1" applyProtection="1">
      <alignment horizontal="center" vertical="center"/>
      <protection locked="0"/>
    </xf>
    <xf numFmtId="0" fontId="3" fillId="29" borderId="8" xfId="27" applyFont="1" applyFill="1" applyBorder="1" applyAlignment="1" applyProtection="1">
      <alignment horizontal="center" vertical="center" wrapText="1"/>
      <protection locked="0"/>
    </xf>
    <xf numFmtId="0" fontId="3" fillId="31" borderId="8" xfId="27" applyFont="1" applyFill="1" applyBorder="1" applyAlignment="1">
      <alignment horizontal="center" vertical="center"/>
    </xf>
    <xf numFmtId="9" fontId="3" fillId="29" borderId="31" xfId="29" applyNumberFormat="1" applyFont="1" applyFill="1" applyBorder="1" applyAlignment="1" applyProtection="1">
      <alignment horizontal="center" vertical="center" wrapText="1"/>
      <protection locked="0"/>
    </xf>
    <xf numFmtId="0" fontId="3" fillId="29" borderId="12" xfId="27" applyFont="1" applyFill="1" applyBorder="1" applyAlignment="1" applyProtection="1">
      <alignment horizontal="center" vertical="center" wrapText="1"/>
      <protection locked="0"/>
    </xf>
    <xf numFmtId="0" fontId="3" fillId="31" borderId="12" xfId="27" applyFont="1" applyFill="1" applyBorder="1" applyAlignment="1">
      <alignment horizontal="center" vertical="center"/>
    </xf>
    <xf numFmtId="14" fontId="3" fillId="29" borderId="1" xfId="27" applyNumberFormat="1" applyFont="1" applyFill="1" applyBorder="1" applyAlignment="1" applyProtection="1">
      <alignment horizontal="right" vertical="center"/>
      <protection locked="0"/>
    </xf>
    <xf numFmtId="9" fontId="3" fillId="29" borderId="1" xfId="8" applyFont="1" applyFill="1" applyBorder="1" applyAlignment="1" applyProtection="1">
      <alignment horizontal="right" vertical="center"/>
      <protection locked="0"/>
    </xf>
    <xf numFmtId="0" fontId="3" fillId="29" borderId="1" xfId="27" applyFont="1" applyFill="1" applyBorder="1" applyProtection="1">
      <protection locked="0"/>
    </xf>
    <xf numFmtId="0" fontId="3" fillId="29" borderId="1" xfId="27" applyFont="1" applyFill="1" applyBorder="1" applyAlignment="1" applyProtection="1">
      <alignment horizontal="right"/>
      <protection locked="0"/>
    </xf>
    <xf numFmtId="14" fontId="3" fillId="29" borderId="1" xfId="8" applyNumberFormat="1" applyFont="1" applyFill="1" applyBorder="1" applyAlignment="1" applyProtection="1">
      <alignment horizontal="right" vertical="center" wrapText="1"/>
      <protection locked="0"/>
    </xf>
    <xf numFmtId="9" fontId="3" fillId="0" borderId="31" xfId="8" applyFont="1" applyFill="1" applyBorder="1" applyAlignment="1" applyProtection="1">
      <alignment horizontal="right" vertical="center" wrapText="1"/>
      <protection locked="0"/>
    </xf>
    <xf numFmtId="0" fontId="44" fillId="0" borderId="18" xfId="27" applyFont="1" applyBorder="1" applyAlignment="1" applyProtection="1">
      <alignment horizontal="center" vertical="center" wrapText="1"/>
      <protection locked="0"/>
    </xf>
    <xf numFmtId="0" fontId="3" fillId="0" borderId="18" xfId="27" applyFont="1" applyBorder="1" applyAlignment="1">
      <alignment vertical="center" wrapText="1"/>
    </xf>
    <xf numFmtId="0" fontId="44" fillId="2" borderId="31" xfId="27" applyFont="1" applyFill="1" applyBorder="1" applyAlignment="1" applyProtection="1">
      <alignment horizontal="justify" vertical="center" wrapText="1"/>
      <protection locked="0"/>
    </xf>
    <xf numFmtId="9" fontId="3" fillId="2" borderId="31" xfId="27" applyNumberFormat="1" applyFont="1" applyFill="1" applyBorder="1" applyAlignment="1" applyProtection="1">
      <alignment vertical="center" wrapText="1"/>
      <protection locked="0"/>
    </xf>
    <xf numFmtId="14" fontId="44" fillId="29" borderId="31" xfId="27" applyNumberFormat="1" applyFont="1" applyFill="1" applyBorder="1" applyAlignment="1" applyProtection="1">
      <alignment horizontal="center" vertical="center" wrapText="1"/>
      <protection locked="0"/>
    </xf>
    <xf numFmtId="0" fontId="3" fillId="0" borderId="18" xfId="27" applyFont="1" applyBorder="1" applyAlignment="1" applyProtection="1">
      <alignment horizontal="justify" vertical="center" wrapText="1"/>
      <protection locked="0"/>
    </xf>
    <xf numFmtId="0" fontId="44" fillId="0" borderId="19" xfId="27" applyFont="1" applyBorder="1" applyAlignment="1" applyProtection="1">
      <alignment horizontal="center" vertical="center" wrapText="1"/>
      <protection locked="0"/>
    </xf>
    <xf numFmtId="0" fontId="3" fillId="0" borderId="19" xfId="27" applyFont="1" applyBorder="1" applyAlignment="1">
      <alignment vertical="center" wrapText="1"/>
    </xf>
    <xf numFmtId="9" fontId="44" fillId="2" borderId="31" xfId="27" applyNumberFormat="1" applyFont="1" applyFill="1" applyBorder="1" applyAlignment="1" applyProtection="1">
      <alignment vertical="center" wrapText="1"/>
      <protection locked="0"/>
    </xf>
    <xf numFmtId="0" fontId="3" fillId="0" borderId="19" xfId="27" applyFont="1" applyBorder="1" applyAlignment="1" applyProtection="1">
      <alignment horizontal="justify" vertical="center" wrapText="1"/>
      <protection locked="0"/>
    </xf>
    <xf numFmtId="0" fontId="44" fillId="0" borderId="31" xfId="27" applyFont="1" applyBorder="1" applyAlignment="1" applyProtection="1">
      <alignment horizontal="justify" vertical="center" wrapText="1"/>
      <protection locked="0"/>
    </xf>
    <xf numFmtId="9" fontId="44" fillId="0" borderId="31" xfId="27" applyNumberFormat="1" applyFont="1" applyBorder="1" applyAlignment="1" applyProtection="1">
      <alignment vertical="center" wrapText="1"/>
      <protection locked="0"/>
    </xf>
    <xf numFmtId="14" fontId="44" fillId="0" borderId="31" xfId="27" applyNumberFormat="1" applyFont="1" applyBorder="1" applyAlignment="1" applyProtection="1">
      <alignment horizontal="center" vertical="center" wrapText="1"/>
      <protection locked="0"/>
    </xf>
    <xf numFmtId="9" fontId="3" fillId="0" borderId="31" xfId="27" applyNumberFormat="1" applyFont="1" applyBorder="1" applyAlignment="1" applyProtection="1">
      <alignment vertical="center" wrapText="1"/>
      <protection locked="0"/>
    </xf>
    <xf numFmtId="0" fontId="44" fillId="0" borderId="31" xfId="27" applyFont="1" applyBorder="1" applyAlignment="1" applyProtection="1">
      <alignment horizontal="center" vertical="center" wrapText="1"/>
      <protection locked="0"/>
    </xf>
    <xf numFmtId="0" fontId="3" fillId="0" borderId="31" xfId="27" applyFont="1" applyBorder="1" applyAlignment="1">
      <alignment vertical="center" wrapText="1"/>
    </xf>
    <xf numFmtId="0" fontId="3" fillId="0" borderId="31" xfId="27" applyFont="1" applyBorder="1" applyAlignment="1" applyProtection="1">
      <alignment horizontal="justify" vertical="center" wrapText="1"/>
      <protection locked="0"/>
    </xf>
    <xf numFmtId="0" fontId="3" fillId="0" borderId="1" xfId="27" applyFont="1" applyBorder="1" applyAlignment="1" applyProtection="1">
      <alignment vertical="center" wrapText="1"/>
      <protection locked="0"/>
    </xf>
    <xf numFmtId="0" fontId="3" fillId="32" borderId="1" xfId="27" applyFont="1" applyFill="1" applyBorder="1" applyAlignment="1">
      <alignment horizontal="center" vertical="center"/>
    </xf>
    <xf numFmtId="0" fontId="3" fillId="32" borderId="1" xfId="27" applyFont="1" applyFill="1" applyBorder="1" applyAlignment="1">
      <alignment vertical="center" wrapText="1"/>
    </xf>
    <xf numFmtId="0" fontId="3" fillId="32" borderId="1" xfId="27" applyFont="1" applyFill="1" applyBorder="1" applyAlignment="1">
      <alignment horizontal="center" vertical="center" wrapText="1"/>
    </xf>
    <xf numFmtId="0" fontId="3" fillId="29" borderId="1" xfId="27" applyFont="1" applyFill="1" applyBorder="1" applyAlignment="1">
      <alignment vertical="center" wrapText="1"/>
    </xf>
    <xf numFmtId="0" fontId="3" fillId="15" borderId="1" xfId="27" applyFont="1" applyFill="1" applyBorder="1" applyAlignment="1">
      <alignment horizontal="center" vertical="center"/>
    </xf>
    <xf numFmtId="0" fontId="3" fillId="0" borderId="0" xfId="27" applyFont="1" applyAlignment="1">
      <alignment vertical="center" wrapText="1"/>
    </xf>
    <xf numFmtId="0" fontId="3" fillId="2" borderId="1" xfId="27" applyFont="1" applyFill="1" applyBorder="1" applyAlignment="1" applyProtection="1">
      <alignment vertical="center" wrapText="1"/>
      <protection locked="0"/>
    </xf>
    <xf numFmtId="0" fontId="3" fillId="0" borderId="1" xfId="27" applyFont="1" applyBorder="1" applyAlignment="1">
      <alignment vertical="center" wrapText="1"/>
    </xf>
    <xf numFmtId="0" fontId="3" fillId="18" borderId="1" xfId="27" applyFont="1" applyFill="1" applyBorder="1" applyAlignment="1">
      <alignment vertical="center" wrapText="1"/>
    </xf>
    <xf numFmtId="0" fontId="3" fillId="33" borderId="1" xfId="27" applyFont="1" applyFill="1" applyBorder="1" applyAlignment="1">
      <alignment vertical="center"/>
    </xf>
    <xf numFmtId="0" fontId="3" fillId="0" borderId="1" xfId="27" applyFont="1" applyBorder="1" applyAlignment="1" applyProtection="1">
      <alignment horizontal="justify" vertical="top" wrapText="1"/>
      <protection locked="0"/>
    </xf>
    <xf numFmtId="0" fontId="3" fillId="0" borderId="1" xfId="27" applyFont="1" applyBorder="1" applyAlignment="1" applyProtection="1">
      <alignment horizontal="justify" vertical="center" wrapText="1"/>
      <protection locked="0"/>
    </xf>
    <xf numFmtId="0" fontId="3" fillId="0" borderId="1" xfId="27" applyFont="1" applyBorder="1" applyAlignment="1" applyProtection="1">
      <alignment horizontal="left" vertical="center" wrapText="1"/>
      <protection locked="0"/>
    </xf>
    <xf numFmtId="0" fontId="3" fillId="0" borderId="18" xfId="27" applyFont="1" applyBorder="1" applyAlignment="1" applyProtection="1">
      <alignment vertical="center" wrapText="1"/>
      <protection locked="0"/>
    </xf>
  </cellXfs>
  <cellStyles count="30">
    <cellStyle name="Bueno" xfId="23" builtinId="26"/>
    <cellStyle name="Énfasis2" xfId="25" builtinId="33"/>
    <cellStyle name="Millares" xfId="6" builtinId="3"/>
    <cellStyle name="Millares [0]" xfId="21" builtinId="6"/>
    <cellStyle name="Millares [0] 2" xfId="2" xr:uid="{00000000-0005-0000-0000-000001000000}"/>
    <cellStyle name="Millares [0] 3" xfId="29" xr:uid="{86215760-961C-499E-B724-D9DCA3C8D6FC}"/>
    <cellStyle name="Millares 2" xfId="10" xr:uid="{FDE0933C-5F08-428F-BCF7-5ABF31EADCE1}"/>
    <cellStyle name="Millares 2 2" xfId="17" xr:uid="{274C4709-3BD4-4FF0-9E16-0E4258033C97}"/>
    <cellStyle name="Millares 3" xfId="28" xr:uid="{30ADF2CE-8BB7-4B8A-9CE5-9153F2BC171C}"/>
    <cellStyle name="Moneda [0]" xfId="22" builtinId="7"/>
    <cellStyle name="Neutral" xfId="24" builtinId="28"/>
    <cellStyle name="Neutral 2" xfId="5" xr:uid="{00000000-0005-0000-0000-000002000000}"/>
    <cellStyle name="Normal" xfId="0" builtinId="0"/>
    <cellStyle name="Normal 11" xfId="15" xr:uid="{41451425-6233-4FDA-93AD-DC129C1174CF}"/>
    <cellStyle name="Normal 18" xfId="4" xr:uid="{00000000-0005-0000-0000-000004000000}"/>
    <cellStyle name="Normal 2" xfId="3" xr:uid="{00000000-0005-0000-0000-000005000000}"/>
    <cellStyle name="Normal 2 2" xfId="13" xr:uid="{65201B98-68F9-424D-AC73-D23F8E6CBA72}"/>
    <cellStyle name="Normal 2 3" xfId="16" xr:uid="{56D06C67-2CD7-4B45-B6DE-59E6A24D5FC7}"/>
    <cellStyle name="Normal 3" xfId="7" xr:uid="{0DE3A2DD-8D72-4F48-BB68-01A3E7479597}"/>
    <cellStyle name="Normal 4" xfId="18" xr:uid="{EB378584-0801-40B5-80B4-5C5BC72723DA}"/>
    <cellStyle name="Normal 4 2" xfId="19" xr:uid="{C128B7BD-735E-4401-B2DA-289759062E67}"/>
    <cellStyle name="Normal 5" xfId="20" xr:uid="{4E819AA2-3592-45B0-ACB4-33EFC3260076}"/>
    <cellStyle name="Normal 5 2" xfId="26" xr:uid="{7E7626AB-3582-4DDF-B39A-84A40CF6BBAC}"/>
    <cellStyle name="Normal 6" xfId="27" xr:uid="{C58707F6-38F8-438D-8386-851A2ED6C163}"/>
    <cellStyle name="Normal 7 2" xfId="11" xr:uid="{15F69D1D-1E63-425A-8625-ACD9EDF7A9AA}"/>
    <cellStyle name="Porcentaje" xfId="1" builtinId="5"/>
    <cellStyle name="Porcentaje 2" xfId="8" xr:uid="{79D92A9D-6235-4FDA-B5FB-B56B4DE54F7F}"/>
    <cellStyle name="Porcentaje 2 2" xfId="9" xr:uid="{47ABAAE5-2779-4C21-800D-B64AF2E22C6D}"/>
    <cellStyle name="Porcentaje 2 3" xfId="14" xr:uid="{1ED8DA54-009C-4C08-B4B2-15681B9886D9}"/>
    <cellStyle name="Porcentaje 5 2" xfId="12" xr:uid="{B4AE56A3-1565-408C-934B-134CCAF6EB0F}"/>
  </cellStyles>
  <dxfs count="327">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rgb="FF9C0006"/>
      </font>
      <fill>
        <patternFill>
          <bgColor rgb="FFFFC7CE"/>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rgb="FF9C0006"/>
      </font>
      <fill>
        <patternFill>
          <bgColor rgb="FFFFC7CE"/>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rgb="FF9C0006"/>
      </font>
      <fill>
        <patternFill>
          <bgColor rgb="FFFFC7CE"/>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rgb="FF9C0006"/>
      </font>
      <fill>
        <patternFill>
          <bgColor rgb="FFFFC7CE"/>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rgb="FF9C0006"/>
      </font>
      <fill>
        <patternFill>
          <bgColor rgb="FFFFC7CE"/>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rgb="FF9C0006"/>
      </font>
      <fill>
        <patternFill>
          <bgColor rgb="FFFFC7CE"/>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rgb="FF9C0006"/>
      </font>
      <fill>
        <patternFill>
          <bgColor rgb="FFFFC7CE"/>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rgb="FF9C0006"/>
      </font>
      <fill>
        <patternFill>
          <bgColor rgb="FFFFC7CE"/>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rgb="FF9C0006"/>
      </font>
      <fill>
        <patternFill>
          <bgColor rgb="FFFFC7CE"/>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rgb="FF9C0006"/>
      </font>
      <fill>
        <patternFill>
          <bgColor rgb="FFFFC7CE"/>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rgb="FF9C0006"/>
      </font>
      <fill>
        <patternFill>
          <bgColor rgb="FFFFC7CE"/>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rgb="FF9C0006"/>
      </font>
      <fill>
        <patternFill>
          <bgColor rgb="FFFFC7CE"/>
        </patternFill>
      </fill>
    </dxf>
    <dxf>
      <font>
        <color rgb="FF9C0006"/>
      </font>
      <fill>
        <patternFill>
          <bgColor rgb="FFFFC7CE"/>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ill>
        <patternFill>
          <bgColor theme="9" tint="0.59996337778862885"/>
        </patternFill>
      </fill>
    </dxf>
    <dxf>
      <fill>
        <patternFill>
          <bgColor rgb="FFFF0000"/>
        </patternFill>
      </fill>
    </dxf>
    <dxf>
      <fill>
        <patternFill patternType="solid">
          <fgColor rgb="FFC5E0B3"/>
          <bgColor rgb="FFC5E0B3"/>
        </patternFill>
      </fill>
    </dxf>
    <dxf>
      <fill>
        <patternFill patternType="solid">
          <fgColor rgb="FFFF0000"/>
          <bgColor rgb="FFFF0000"/>
        </patternFill>
      </fill>
    </dxf>
    <dxf>
      <fill>
        <patternFill>
          <bgColor theme="9" tint="0.59996337778862885"/>
        </patternFill>
      </fill>
    </dxf>
    <dxf>
      <fill>
        <patternFill>
          <bgColor rgb="FFFF0000"/>
        </patternFill>
      </fill>
    </dxf>
    <dxf>
      <alignment horizontal="center" vertical="center"/>
    </dxf>
    <dxf>
      <font>
        <b val="0"/>
        <i val="0"/>
        <strike val="0"/>
        <condense val="0"/>
        <extend val="0"/>
        <outline val="0"/>
        <shadow val="0"/>
        <u val="none"/>
        <vertAlign val="baseline"/>
        <sz val="14"/>
        <color theme="1"/>
        <name val="Calibri"/>
        <family val="2"/>
        <scheme val="minor"/>
      </font>
      <numFmt numFmtId="166"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alignment horizontal="center" vertical="center"/>
    </dxf>
    <dxf>
      <font>
        <b val="0"/>
        <i val="0"/>
        <strike val="0"/>
        <condense val="0"/>
        <extend val="0"/>
        <outline val="0"/>
        <shadow val="0"/>
        <u val="none"/>
        <vertAlign val="baseline"/>
        <sz val="14"/>
        <color theme="1"/>
        <name val="Calibri"/>
        <family val="2"/>
        <scheme val="minor"/>
      </font>
      <numFmt numFmtId="1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alignment horizontal="center" vertical="center"/>
    </dxf>
    <dxf>
      <font>
        <b val="0"/>
        <i val="0"/>
        <strike val="0"/>
        <condense val="0"/>
        <extend val="0"/>
        <outline val="0"/>
        <shadow val="0"/>
        <u val="none"/>
        <vertAlign val="baseline"/>
        <sz val="14"/>
        <color theme="1"/>
        <name val="Calibri"/>
        <family val="2"/>
        <scheme val="minor"/>
      </font>
      <numFmt numFmtId="1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strike val="0"/>
        <outline val="0"/>
        <shadow val="0"/>
        <u val="none"/>
        <vertAlign val="baseline"/>
        <sz val="11"/>
        <color theme="1"/>
        <name val="Arial"/>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protection locked="1" hidden="0"/>
    </dxf>
    <dxf>
      <border>
        <top style="thin">
          <color theme="5" tint="0.59996337778862885"/>
        </top>
      </border>
    </dxf>
    <dxf>
      <border diagonalUp="0" diagonalDown="0">
        <left style="medium">
          <color theme="5" tint="-0.24994659260841701"/>
        </left>
        <right style="medium">
          <color theme="5" tint="-0.24994659260841701"/>
        </right>
        <top style="medium">
          <color theme="5" tint="-0.24994659260841701"/>
        </top>
        <bottom style="medium">
          <color theme="5" tint="-0.24994659260841701"/>
        </bottom>
      </border>
    </dxf>
    <dxf>
      <font>
        <strike val="0"/>
        <outline val="0"/>
        <shadow val="0"/>
        <u val="none"/>
        <vertAlign val="baseline"/>
        <sz val="11"/>
        <color theme="1"/>
        <name val="Arial"/>
        <family val="2"/>
        <scheme val="none"/>
      </font>
      <fill>
        <patternFill patternType="none">
          <fgColor indexed="64"/>
          <bgColor auto="1"/>
        </patternFill>
      </fill>
      <alignment horizontal="center" vertical="center" textRotation="0" indent="0" justifyLastLine="0" shrinkToFit="0" readingOrder="0"/>
      <protection locked="1" hidden="0"/>
    </dxf>
    <dxf>
      <border>
        <bottom style="medium">
          <color theme="5" tint="-0.24994659260841701"/>
        </bottom>
      </border>
    </dxf>
    <dxf>
      <font>
        <b/>
      </font>
      <alignment horizontal="center" vertical="center" textRotation="0" indent="0" justifyLastLine="0" shrinkToFit="0" readingOrder="0"/>
      <border diagonalUp="0" diagonalDown="0" outline="0">
        <left style="thin">
          <color indexed="64"/>
        </left>
        <right style="thin">
          <color indexed="64"/>
        </right>
        <top/>
        <bottom/>
      </border>
      <protection locked="1" hidden="0"/>
    </dxf>
    <dxf>
      <alignment horizontal="center" vertical="center"/>
      <border diagonalUp="0" diagonalDown="0">
        <left style="thin">
          <color indexed="64"/>
        </left>
        <right/>
        <top style="thin">
          <color indexed="64"/>
        </top>
        <bottom style="thin">
          <color indexed="64"/>
        </bottom>
        <vertical style="thin">
          <color indexed="64"/>
        </vertical>
        <horizontal style="thin">
          <color indexed="64"/>
        </horizontal>
      </border>
    </dxf>
    <dxf>
      <alignment horizontal="center" vertical="center"/>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Narrow"/>
        <family val="2"/>
        <scheme val="none"/>
      </font>
      <numFmt numFmtId="0" formatCode="General"/>
      <fill>
        <patternFill patternType="solid">
          <fgColor indexed="64"/>
          <bgColor rgb="FFFFFFFF"/>
        </patternFill>
      </fill>
      <alignment horizontal="center" vertical="center" textRotation="0" wrapText="1" indent="0" justifyLastLine="0" shrinkToFit="0" readingOrder="0"/>
      <border diagonalUp="0" diagonalDown="0" outline="0">
        <left style="thin">
          <color rgb="FF000000"/>
        </left>
        <right style="thin">
          <color rgb="FF000000"/>
        </right>
        <top/>
        <bottom/>
      </border>
      <protection locked="1" hidden="0"/>
    </dxf>
    <dxf>
      <alignment horizontal="center" vertical="center"/>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border diagonalUp="0" diagonalDown="0">
        <left/>
        <right style="thin">
          <color indexed="64"/>
        </right>
        <top style="thin">
          <color indexed="64"/>
        </top>
        <bottom style="thin">
          <color indexed="64"/>
        </bottom>
        <vertical style="thin">
          <color indexed="64"/>
        </vertical>
        <horizontal style="thin">
          <color indexed="64"/>
        </horizontal>
      </border>
    </dxf>
    <dxf>
      <border diagonalUp="0" diagonalDown="0">
        <left style="medium">
          <color theme="9" tint="-0.24994659260841701"/>
        </left>
        <right style="medium">
          <color theme="9" tint="-0.24994659260841701"/>
        </right>
        <top style="medium">
          <color theme="9" tint="-0.24994659260841701"/>
        </top>
        <bottom style="medium">
          <color theme="9" tint="-0.24994659260841701"/>
        </bottom>
      </border>
    </dxf>
    <dxf>
      <font>
        <strike val="0"/>
        <outline val="0"/>
        <shadow val="0"/>
        <u val="none"/>
        <vertAlign val="baseline"/>
        <name val="Arial"/>
        <family val="2"/>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alignment horizontal="center" textRotation="0" wrapText="0" indent="0" justifyLastLine="0" shrinkToFit="0" readingOrder="0"/>
      <protection locked="1" hidden="0"/>
    </dxf>
    <dxf>
      <fill>
        <patternFill>
          <bgColor theme="0"/>
        </patternFill>
      </fill>
      <alignment textRotation="0" wrapText="0" indent="0" justifyLastLine="0" shrinkToFit="0" readingOrder="0"/>
      <protection locked="1" hidden="0"/>
    </dxf>
    <dxf>
      <alignment textRotation="0" wrapText="0" indent="0" justifyLastLine="0" shrinkToFit="0" readingOrder="0"/>
      <protection locked="0" hidden="0"/>
    </dxf>
    <dxf>
      <font>
        <strike val="0"/>
        <outline val="0"/>
        <shadow val="0"/>
        <u val="none"/>
        <vertAlign val="baseline"/>
        <sz val="11"/>
        <color auto="1"/>
        <name val="Arial"/>
        <family val="2"/>
        <scheme val="none"/>
      </font>
      <alignment textRotation="0" wrapText="0" indent="0" justifyLastLine="0" shrinkToFit="0" readingOrder="0"/>
      <protection locked="0" hidden="0"/>
    </dxf>
    <dxf>
      <alignment horizontal="center" textRotation="0" wrapText="0" indent="0" justifyLastLine="0" shrinkToFit="0" readingOrder="0"/>
      <protection locked="1" hidden="0"/>
    </dxf>
    <dxf>
      <alignment horizontal="center" textRotation="0" wrapText="0" indent="0" justifyLastLine="0" shrinkToFit="0" readingOrder="0"/>
      <protection locked="0" hidden="0"/>
    </dxf>
    <dxf>
      <alignment horizontal="center"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1" hidden="0"/>
    </dxf>
    <dxf>
      <alignment horizontal="center" textRotation="0" wrapText="0" indent="0" justifyLastLine="0" shrinkToFit="0" readingOrder="0"/>
      <protection locked="1" hidden="0"/>
    </dxf>
    <dxf>
      <alignment horizontal="center" textRotation="0" wrapText="0" indent="0" justifyLastLine="0" shrinkToFit="0" readingOrder="0"/>
      <protection locked="1" hidden="0"/>
    </dxf>
    <dxf>
      <alignment horizontal="center" textRotation="0" wrapText="0" indent="0" justifyLastLine="0" shrinkToFit="0" readingOrder="0"/>
      <protection locked="1" hidden="0"/>
    </dxf>
    <dxf>
      <alignment textRotation="0" wrapText="0" indent="0" justifyLastLine="0" shrinkToFit="0" readingOrder="0"/>
      <protection locked="1" hidden="0"/>
    </dxf>
    <dxf>
      <font>
        <strike val="0"/>
        <outline val="0"/>
        <shadow val="0"/>
        <u val="none"/>
        <vertAlign val="baseline"/>
        <sz val="11"/>
        <color auto="1"/>
        <name val="Arial"/>
        <family val="2"/>
        <scheme val="none"/>
      </font>
      <alignment horizontal="center" textRotation="0" wrapText="0" indent="0" justifyLastLine="0" shrinkToFit="0" readingOrder="0"/>
      <protection locked="1" hidden="0"/>
    </dxf>
    <dxf>
      <font>
        <strike val="0"/>
        <outline val="0"/>
        <shadow val="0"/>
        <u val="none"/>
        <vertAlign val="baseline"/>
        <sz val="11"/>
        <color auto="1"/>
        <name val="Arial"/>
        <family val="2"/>
        <scheme val="none"/>
      </font>
      <alignment horizontal="center" textRotation="0" wrapText="0" indent="0" justifyLastLine="0" shrinkToFit="0" readingOrder="0"/>
      <protection locked="1" hidden="0"/>
    </dxf>
    <dxf>
      <font>
        <b val="0"/>
        <i val="0"/>
        <strike val="0"/>
        <condense val="0"/>
        <extend val="0"/>
        <outline val="0"/>
        <shadow val="0"/>
        <u val="none"/>
        <vertAlign val="baseline"/>
        <sz val="11"/>
        <color auto="1"/>
        <name val="Arial"/>
        <family val="2"/>
        <scheme val="none"/>
      </font>
      <numFmt numFmtId="166" formatCode="0.0%"/>
      <fill>
        <patternFill patternType="solid">
          <fgColor indexed="64"/>
          <bgColor theme="0"/>
        </patternFill>
      </fill>
      <alignment horizontal="center" vertical="bottom" textRotation="0" wrapText="0" indent="0" justifyLastLine="0" shrinkToFit="0" readingOrder="0"/>
      <border diagonalUp="0" diagonalDown="0" outline="0">
        <left style="dotted">
          <color indexed="64"/>
        </left>
        <right style="dotted">
          <color indexed="64"/>
        </right>
        <top style="dotted">
          <color indexed="64"/>
        </top>
        <bottom style="dotted">
          <color indexed="64"/>
        </bottom>
      </border>
      <protection locked="1" hidden="0"/>
    </dxf>
    <dxf>
      <font>
        <strike val="0"/>
        <outline val="0"/>
        <shadow val="0"/>
        <u val="none"/>
        <vertAlign val="baseline"/>
        <sz val="11"/>
        <color auto="1"/>
        <name val="Arial"/>
        <family val="2"/>
        <scheme val="none"/>
      </font>
      <alignment horizontal="center" textRotation="0" wrapText="0" indent="0" justifyLastLine="0" shrinkToFit="0" readingOrder="0"/>
      <protection locked="1" hidden="0"/>
    </dxf>
    <dxf>
      <alignment horizontal="center"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1" hidden="0"/>
    </dxf>
    <dxf>
      <alignment horizontal="center" textRotation="0" wrapText="0" indent="0" justifyLastLine="0" shrinkToFit="0" readingOrder="0"/>
      <protection locked="1" hidden="0"/>
    </dxf>
    <dxf>
      <alignment horizontal="center"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1" hidden="0"/>
    </dxf>
    <dxf>
      <alignment horizontal="center" textRotation="0" wrapText="0" indent="0" justifyLastLine="0" shrinkToFit="0" readingOrder="0"/>
      <protection locked="1" hidden="0"/>
    </dxf>
    <dxf>
      <font>
        <b val="0"/>
        <i val="0"/>
        <strike val="0"/>
        <condense val="0"/>
        <extend val="0"/>
        <outline val="0"/>
        <shadow val="0"/>
        <u val="none"/>
        <vertAlign val="baseline"/>
        <sz val="11"/>
        <color auto="1"/>
        <name val="Arial"/>
        <family val="2"/>
        <scheme val="none"/>
      </font>
      <numFmt numFmtId="13" formatCode="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alignment horizontal="center" textRotation="0" wrapText="0" indent="0" justifyLastLine="0" shrinkToFit="0" readingOrder="0"/>
      <protection locked="1" hidden="0"/>
    </dxf>
    <dxf>
      <alignment textRotation="0" wrapText="0" indent="0" justifyLastLine="0" shrinkToFit="0" readingOrder="0"/>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center" vertical="bottom" textRotation="0" wrapText="0" indent="0" justifyLastLine="0" shrinkToFit="0" readingOrder="0"/>
      <border diagonalUp="0" diagonalDown="0" outline="0">
        <left style="dotted">
          <color indexed="64"/>
        </left>
        <right style="dotted">
          <color indexed="64"/>
        </right>
        <top style="dotted">
          <color indexed="64"/>
        </top>
        <bottom style="dotted">
          <color indexed="64"/>
        </bottom>
      </border>
      <protection locked="1" hidden="0"/>
    </dxf>
    <dxf>
      <alignment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bottom" textRotation="0" wrapText="0" indent="0" justifyLastLine="0" shrinkToFit="0" readingOrder="0"/>
      <border diagonalUp="0" diagonalDown="0" outline="0">
        <left/>
        <right style="hair">
          <color indexed="64"/>
        </right>
        <top style="hair">
          <color indexed="64"/>
        </top>
        <bottom/>
      </border>
      <protection locked="1" hidden="0"/>
    </dxf>
    <dxf>
      <alignment textRotation="0" wrapText="0" indent="0" justifyLastLine="0" shrinkToFit="0" readingOrder="0"/>
      <protection locked="1" hidden="0"/>
    </dxf>
    <dxf>
      <border diagonalUp="0" diagonalDown="0">
        <left style="thin">
          <color indexed="64"/>
        </left>
        <right style="thin">
          <color indexed="64"/>
        </right>
        <top style="thin">
          <color indexed="64"/>
        </top>
        <bottom/>
      </border>
    </dxf>
    <dxf>
      <alignment textRotation="0" wrapText="0" indent="0" justifyLastLine="0" shrinkToFit="0" readingOrder="0"/>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2" tint="-0.249977111117893"/>
        </patternFill>
      </fill>
      <alignment horizontal="left" vertical="center" textRotation="0" wrapText="0" indent="0" justifyLastLine="0" shrinkToFit="0" readingOrder="0"/>
      <border diagonalUp="0" diagonalDown="0" outline="0">
        <left style="thin">
          <color indexed="64"/>
        </left>
        <right style="thin">
          <color indexed="64"/>
        </right>
        <top/>
        <bottom/>
      </border>
      <protection locked="0" hidden="0"/>
    </dxf>
    <dxf>
      <font>
        <b/>
        <i val="0"/>
        <name val="Century Gothic"/>
        <family val="2"/>
        <scheme val="none"/>
      </font>
    </dxf>
    <dxf>
      <font>
        <b val="0"/>
        <i val="0"/>
        <strike val="0"/>
        <sz val="11"/>
        <color auto="1"/>
        <name val="Century Gothic"/>
        <family val="2"/>
        <scheme val="none"/>
      </font>
      <fill>
        <patternFill>
          <bgColor theme="7" tint="0.79998168889431442"/>
        </patternFill>
      </fill>
      <border diagonalUp="1">
        <left style="slantDashDot">
          <color theme="7"/>
        </left>
        <right style="slantDashDot">
          <color theme="7"/>
        </right>
        <top style="slantDashDot">
          <color theme="7"/>
        </top>
        <bottom style="slantDashDot">
          <color theme="7"/>
        </bottom>
        <diagonal style="slantDashDot">
          <color theme="7"/>
        </diagonal>
      </border>
    </dxf>
    <dxf>
      <font>
        <name val="Century Gothic"/>
        <family val="2"/>
        <scheme val="none"/>
      </font>
    </dxf>
  </dxfs>
  <tableStyles count="2" defaultTableStyle="TableStyleMedium2" defaultPivotStyle="PivotStyleLight16">
    <tableStyle name="Estilo de segmentación de datos 1" pivot="0" table="0" count="1" xr9:uid="{E2E86F85-FA1C-4A88-A911-6B2B72A3AB84}">
      <tableStyleElement type="headerRow" dxfId="326"/>
    </tableStyle>
    <tableStyle name="SEGUIMIENTO" pivot="0" table="0" count="5" xr9:uid="{502FC637-A9A8-418E-888E-CEF8F1FFEAF7}">
      <tableStyleElement type="wholeTable" dxfId="325"/>
      <tableStyleElement type="headerRow" dxfId="324"/>
    </tableStyle>
  </tableStyles>
  <colors>
    <mruColors>
      <color rgb="FF6A310A"/>
    </mruColors>
  </colors>
  <extLst>
    <ext xmlns:x14="http://schemas.microsoft.com/office/spreadsheetml/2009/9/main" uri="{46F421CA-312F-682f-3DD2-61675219B42D}">
      <x14:dxfs count="3">
        <dxf>
          <fill>
            <patternFill>
              <bgColor theme="8"/>
            </patternFill>
          </fill>
        </dxf>
        <dxf>
          <fill>
            <patternFill>
              <bgColor theme="6"/>
            </patternFill>
          </fill>
        </dxf>
        <dxf>
          <fill>
            <patternFill>
              <bgColor theme="0"/>
            </patternFill>
          </fill>
        </dxf>
      </x14:dxfs>
    </ext>
    <ext xmlns:x14="http://schemas.microsoft.com/office/spreadsheetml/2009/9/main" uri="{EB79DEF2-80B8-43e5-95BD-54CBDDF9020C}">
      <x14:slicerStyles defaultSlicerStyle="SEGUIMIENTO">
        <x14:slicerStyle name="Estilo de segmentación de datos 1"/>
        <x14:slicerStyle name="SEGUIMIENTO">
          <x14:slicerStyleElements>
            <x14:slicerStyleElement type="selectedItemWithData" dxfId="2"/>
            <x14:slicerStyleElement type="hoveredUnselectedItemWith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externalLink" Target="externalLinks/externalLink33.xml"/><Relationship Id="rId47" Type="http://schemas.openxmlformats.org/officeDocument/2006/relationships/externalLink" Target="externalLinks/externalLink38.xml"/><Relationship Id="rId50" Type="http://schemas.openxmlformats.org/officeDocument/2006/relationships/externalLink" Target="externalLinks/externalLink4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externalLink" Target="externalLinks/externalLink37.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41" Type="http://schemas.openxmlformats.org/officeDocument/2006/relationships/externalLink" Target="externalLinks/externalLink32.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49" Type="http://schemas.openxmlformats.org/officeDocument/2006/relationships/externalLink" Target="externalLinks/externalLink40.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externalLink" Target="externalLinks/externalLink35.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 Id="rId48" Type="http://schemas.openxmlformats.org/officeDocument/2006/relationships/externalLink" Target="externalLinks/externalLink39.xml"/><Relationship Id="rId8" Type="http://schemas.openxmlformats.org/officeDocument/2006/relationships/worksheet" Target="worksheets/sheet8.xml"/><Relationship Id="rId51" Type="http://schemas.openxmlformats.org/officeDocument/2006/relationships/externalLink" Target="externalLinks/externalLink42.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Avance</c:v>
          </c:tx>
          <c:spPr>
            <a:solidFill>
              <a:srgbClr val="FF0000"/>
            </a:solidFill>
            <a:ln w="12700">
              <a:solidFill>
                <a:srgbClr val="FF0000"/>
              </a:solidFill>
              <a:prstDash val="solid"/>
            </a:ln>
          </c:spPr>
          <c:invertIfNegative val="0"/>
          <c:dPt>
            <c:idx val="1"/>
            <c:invertIfNegative val="0"/>
            <c:bubble3D val="0"/>
            <c:spPr>
              <a:solidFill>
                <a:srgbClr val="92D050"/>
              </a:solidFill>
              <a:ln>
                <a:solidFill>
                  <a:srgbClr val="92D050"/>
                </a:solidFill>
              </a:ln>
              <a:effectLst/>
            </c:spPr>
            <c:extLst>
              <c:ext xmlns:c16="http://schemas.microsoft.com/office/drawing/2014/chart" uri="{C3380CC4-5D6E-409C-BE32-E72D297353CC}">
                <c16:uniqueId val="{00000001-24A0-42B7-8B72-6E7DCD58C154}"/>
              </c:ext>
            </c:extLst>
          </c:dPt>
          <c:dPt>
            <c:idx val="2"/>
            <c:invertIfNegative val="0"/>
            <c:bubble3D val="0"/>
            <c:spPr>
              <a:solidFill>
                <a:srgbClr val="92D050"/>
              </a:solidFill>
              <a:ln>
                <a:solidFill>
                  <a:srgbClr val="92D050"/>
                </a:solidFill>
              </a:ln>
              <a:effectLst/>
            </c:spPr>
            <c:extLst>
              <c:ext xmlns:c16="http://schemas.microsoft.com/office/drawing/2014/chart" uri="{C3380CC4-5D6E-409C-BE32-E72D297353CC}">
                <c16:uniqueId val="{00000003-24A0-42B7-8B72-6E7DCD58C154}"/>
              </c:ext>
            </c:extLst>
          </c:dPt>
          <c:cat>
            <c:strRef>
              <c:f>[16]Hoja1!$A$6:$A$8</c:f>
              <c:strCache>
                <c:ptCount val="3"/>
                <c:pt idx="0">
                  <c:v>Semestre 1</c:v>
                </c:pt>
                <c:pt idx="1">
                  <c:v>Semestre 2</c:v>
                </c:pt>
                <c:pt idx="2">
                  <c:v>Vigencia</c:v>
                </c:pt>
              </c:strCache>
            </c:strRef>
          </c:cat>
          <c:val>
            <c:numRef>
              <c:f>[16]Hoja1!$B$6:$B$8</c:f>
              <c:numCache>
                <c:formatCode>General</c:formatCode>
                <c:ptCount val="3"/>
                <c:pt idx="0">
                  <c:v>0</c:v>
                </c:pt>
                <c:pt idx="1">
                  <c:v>0</c:v>
                </c:pt>
                <c:pt idx="2">
                  <c:v>0</c:v>
                </c:pt>
              </c:numCache>
            </c:numRef>
          </c:val>
          <c:extLst>
            <c:ext xmlns:c16="http://schemas.microsoft.com/office/drawing/2014/chart" uri="{C3380CC4-5D6E-409C-BE32-E72D297353CC}">
              <c16:uniqueId val="{00000004-24A0-42B7-8B72-6E7DCD58C154}"/>
            </c:ext>
          </c:extLst>
        </c:ser>
        <c:ser>
          <c:idx val="1"/>
          <c:order val="1"/>
          <c:tx>
            <c:v>Meta</c:v>
          </c:tx>
          <c:spPr>
            <a:solidFill>
              <a:srgbClr val="A5A5A5"/>
            </a:solidFill>
            <a:ln w="25400">
              <a:noFill/>
            </a:ln>
          </c:spPr>
          <c:invertIfNegative val="0"/>
          <c:cat>
            <c:strRef>
              <c:f>[16]Hoja1!$A$6:$A$8</c:f>
              <c:strCache>
                <c:ptCount val="3"/>
                <c:pt idx="0">
                  <c:v>Semestre 1</c:v>
                </c:pt>
                <c:pt idx="1">
                  <c:v>Semestre 2</c:v>
                </c:pt>
                <c:pt idx="2">
                  <c:v>Vigencia</c:v>
                </c:pt>
              </c:strCache>
            </c:strRef>
          </c:cat>
          <c:val>
            <c:numRef>
              <c:f>[16]Hoja1!$C$6:$C$8</c:f>
              <c:numCache>
                <c:formatCode>General</c:formatCode>
                <c:ptCount val="3"/>
                <c:pt idx="0">
                  <c:v>0</c:v>
                </c:pt>
                <c:pt idx="1">
                  <c:v>0</c:v>
                </c:pt>
                <c:pt idx="2">
                  <c:v>1</c:v>
                </c:pt>
              </c:numCache>
            </c:numRef>
          </c:val>
          <c:extLst>
            <c:ext xmlns:c16="http://schemas.microsoft.com/office/drawing/2014/chart" uri="{C3380CC4-5D6E-409C-BE32-E72D297353CC}">
              <c16:uniqueId val="{00000005-24A0-42B7-8B72-6E7DCD58C154}"/>
            </c:ext>
          </c:extLst>
        </c:ser>
        <c:dLbls>
          <c:showLegendKey val="0"/>
          <c:showVal val="0"/>
          <c:showCatName val="0"/>
          <c:showSerName val="0"/>
          <c:showPercent val="0"/>
          <c:showBubbleSize val="0"/>
        </c:dLbls>
        <c:gapWidth val="150"/>
        <c:axId val="-973524304"/>
        <c:axId val="-973523216"/>
      </c:barChart>
      <c:catAx>
        <c:axId val="-973524304"/>
        <c:scaling>
          <c:orientation val="minMax"/>
        </c:scaling>
        <c:delete val="0"/>
        <c:axPos val="b"/>
        <c:numFmt formatCode="General" sourceLinked="0"/>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973523216"/>
        <c:crosses val="autoZero"/>
        <c:auto val="1"/>
        <c:lblAlgn val="ctr"/>
        <c:lblOffset val="100"/>
        <c:noMultiLvlLbl val="0"/>
      </c:catAx>
      <c:valAx>
        <c:axId val="-973523216"/>
        <c:scaling>
          <c:orientation val="minMax"/>
        </c:scaling>
        <c:delete val="0"/>
        <c:axPos val="l"/>
        <c:numFmt formatCode="General"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973524304"/>
        <c:crosses val="autoZero"/>
        <c:crossBetween val="between"/>
      </c:valAx>
      <c:spPr>
        <a:solidFill>
          <a:schemeClr val="bg1"/>
        </a:solidFill>
        <a:ln>
          <a:noFill/>
        </a:ln>
        <a:effectLst/>
      </c:spPr>
    </c:plotArea>
    <c:legend>
      <c:legendPos val="t"/>
      <c:overlay val="0"/>
      <c:spPr>
        <a:noFill/>
        <a:ln w="25400">
          <a:noFill/>
        </a:ln>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Objetivos y metas proyectos'!A1"/><Relationship Id="rId7" Type="http://schemas.openxmlformats.org/officeDocument/2006/relationships/hyperlink" Target="#'Indicadores de Gesti&#243;n'!A1"/><Relationship Id="rId2" Type="http://schemas.openxmlformats.org/officeDocument/2006/relationships/hyperlink" Target="#'Metas e indicadores PDD'!A1"/><Relationship Id="rId1" Type="http://schemas.openxmlformats.org/officeDocument/2006/relationships/hyperlink" Target="#'Plan de Acci&#243;n Institucional In'!A1"/><Relationship Id="rId6" Type="http://schemas.openxmlformats.org/officeDocument/2006/relationships/hyperlink" Target="#'Mapa y plan de riesgos'!A1"/><Relationship Id="rId5" Type="http://schemas.openxmlformats.org/officeDocument/2006/relationships/image" Target="../media/image1.png"/><Relationship Id="rId4" Type="http://schemas.openxmlformats.org/officeDocument/2006/relationships/hyperlink" Target="#Presupuesto!A1"/></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hyperlink" Target="#Men&#250;!A1"/><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hyperlink" Target="#Men&#250;!A1"/><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hyperlink" Target="#Men&#250;!A1"/><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26" Type="http://schemas.openxmlformats.org/officeDocument/2006/relationships/image" Target="../media/image27.png"/><Relationship Id="rId21" Type="http://schemas.openxmlformats.org/officeDocument/2006/relationships/image" Target="../media/image22.png"/><Relationship Id="rId34" Type="http://schemas.openxmlformats.org/officeDocument/2006/relationships/image" Target="../media/image35.png"/><Relationship Id="rId42" Type="http://schemas.openxmlformats.org/officeDocument/2006/relationships/image" Target="../media/image43.png"/><Relationship Id="rId47" Type="http://schemas.openxmlformats.org/officeDocument/2006/relationships/image" Target="../media/image48.png"/><Relationship Id="rId50" Type="http://schemas.openxmlformats.org/officeDocument/2006/relationships/image" Target="../media/image51.png"/><Relationship Id="rId55" Type="http://schemas.openxmlformats.org/officeDocument/2006/relationships/image" Target="../media/image56.png"/><Relationship Id="rId63" Type="http://schemas.openxmlformats.org/officeDocument/2006/relationships/image" Target="../media/image64.png"/><Relationship Id="rId68" Type="http://schemas.openxmlformats.org/officeDocument/2006/relationships/image" Target="../media/image69.png"/><Relationship Id="rId76" Type="http://schemas.openxmlformats.org/officeDocument/2006/relationships/image" Target="../media/image77.png"/><Relationship Id="rId84" Type="http://schemas.openxmlformats.org/officeDocument/2006/relationships/image" Target="../media/image85.png"/><Relationship Id="rId89" Type="http://schemas.openxmlformats.org/officeDocument/2006/relationships/image" Target="../media/image90.png"/><Relationship Id="rId97" Type="http://schemas.openxmlformats.org/officeDocument/2006/relationships/image" Target="../media/image97.png"/><Relationship Id="rId7" Type="http://schemas.openxmlformats.org/officeDocument/2006/relationships/image" Target="../media/image8.png"/><Relationship Id="rId71" Type="http://schemas.openxmlformats.org/officeDocument/2006/relationships/image" Target="../media/image72.png"/><Relationship Id="rId92" Type="http://schemas.openxmlformats.org/officeDocument/2006/relationships/image" Target="../media/image92.png"/><Relationship Id="rId2" Type="http://schemas.openxmlformats.org/officeDocument/2006/relationships/image" Target="../media/image2.jpeg"/><Relationship Id="rId16" Type="http://schemas.openxmlformats.org/officeDocument/2006/relationships/image" Target="../media/image17.png"/><Relationship Id="rId29" Type="http://schemas.openxmlformats.org/officeDocument/2006/relationships/image" Target="../media/image30.png"/><Relationship Id="rId11" Type="http://schemas.openxmlformats.org/officeDocument/2006/relationships/image" Target="../media/image12.png"/><Relationship Id="rId24" Type="http://schemas.openxmlformats.org/officeDocument/2006/relationships/image" Target="../media/image25.png"/><Relationship Id="rId32" Type="http://schemas.openxmlformats.org/officeDocument/2006/relationships/image" Target="../media/image33.png"/><Relationship Id="rId37" Type="http://schemas.openxmlformats.org/officeDocument/2006/relationships/image" Target="../media/image38.png"/><Relationship Id="rId40" Type="http://schemas.openxmlformats.org/officeDocument/2006/relationships/image" Target="../media/image41.png"/><Relationship Id="rId45" Type="http://schemas.openxmlformats.org/officeDocument/2006/relationships/image" Target="../media/image46.png"/><Relationship Id="rId53" Type="http://schemas.openxmlformats.org/officeDocument/2006/relationships/image" Target="../media/image54.png"/><Relationship Id="rId58" Type="http://schemas.openxmlformats.org/officeDocument/2006/relationships/image" Target="../media/image59.png"/><Relationship Id="rId66" Type="http://schemas.openxmlformats.org/officeDocument/2006/relationships/image" Target="../media/image67.png"/><Relationship Id="rId74" Type="http://schemas.openxmlformats.org/officeDocument/2006/relationships/image" Target="../media/image75.png"/><Relationship Id="rId79" Type="http://schemas.openxmlformats.org/officeDocument/2006/relationships/image" Target="../media/image80.png"/><Relationship Id="rId87" Type="http://schemas.openxmlformats.org/officeDocument/2006/relationships/image" Target="../media/image88.png"/><Relationship Id="rId5" Type="http://schemas.openxmlformats.org/officeDocument/2006/relationships/image" Target="../media/image6.png"/><Relationship Id="rId61" Type="http://schemas.openxmlformats.org/officeDocument/2006/relationships/image" Target="../media/image62.png"/><Relationship Id="rId82" Type="http://schemas.openxmlformats.org/officeDocument/2006/relationships/image" Target="../media/image83.png"/><Relationship Id="rId90" Type="http://schemas.openxmlformats.org/officeDocument/2006/relationships/image" Target="../media/image91.png"/><Relationship Id="rId95" Type="http://schemas.openxmlformats.org/officeDocument/2006/relationships/image" Target="../media/image95.png"/><Relationship Id="rId19" Type="http://schemas.openxmlformats.org/officeDocument/2006/relationships/image" Target="../media/image2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image" Target="../media/image31.png"/><Relationship Id="rId35" Type="http://schemas.openxmlformats.org/officeDocument/2006/relationships/image" Target="../media/image36.png"/><Relationship Id="rId43" Type="http://schemas.openxmlformats.org/officeDocument/2006/relationships/image" Target="../media/image44.png"/><Relationship Id="rId48" Type="http://schemas.openxmlformats.org/officeDocument/2006/relationships/image" Target="../media/image49.png"/><Relationship Id="rId56" Type="http://schemas.openxmlformats.org/officeDocument/2006/relationships/image" Target="../media/image57.png"/><Relationship Id="rId64" Type="http://schemas.openxmlformats.org/officeDocument/2006/relationships/image" Target="../media/image65.png"/><Relationship Id="rId69" Type="http://schemas.openxmlformats.org/officeDocument/2006/relationships/image" Target="../media/image70.png"/><Relationship Id="rId77" Type="http://schemas.openxmlformats.org/officeDocument/2006/relationships/image" Target="../media/image78.png"/><Relationship Id="rId8" Type="http://schemas.openxmlformats.org/officeDocument/2006/relationships/image" Target="../media/image9.png"/><Relationship Id="rId51" Type="http://schemas.openxmlformats.org/officeDocument/2006/relationships/image" Target="../media/image52.png"/><Relationship Id="rId72" Type="http://schemas.openxmlformats.org/officeDocument/2006/relationships/image" Target="../media/image73.png"/><Relationship Id="rId80" Type="http://schemas.openxmlformats.org/officeDocument/2006/relationships/image" Target="../media/image81.png"/><Relationship Id="rId85" Type="http://schemas.openxmlformats.org/officeDocument/2006/relationships/image" Target="../media/image86.png"/><Relationship Id="rId93" Type="http://schemas.openxmlformats.org/officeDocument/2006/relationships/image" Target="../media/image93.png"/><Relationship Id="rId98" Type="http://schemas.openxmlformats.org/officeDocument/2006/relationships/image" Target="../media/image98.png"/><Relationship Id="rId3" Type="http://schemas.openxmlformats.org/officeDocument/2006/relationships/image" Target="../media/image4.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33" Type="http://schemas.openxmlformats.org/officeDocument/2006/relationships/image" Target="../media/image34.png"/><Relationship Id="rId38" Type="http://schemas.openxmlformats.org/officeDocument/2006/relationships/image" Target="../media/image39.png"/><Relationship Id="rId46" Type="http://schemas.openxmlformats.org/officeDocument/2006/relationships/image" Target="../media/image47.png"/><Relationship Id="rId59" Type="http://schemas.openxmlformats.org/officeDocument/2006/relationships/image" Target="../media/image60.png"/><Relationship Id="rId67" Type="http://schemas.openxmlformats.org/officeDocument/2006/relationships/image" Target="../media/image68.png"/><Relationship Id="rId20" Type="http://schemas.openxmlformats.org/officeDocument/2006/relationships/image" Target="../media/image21.png"/><Relationship Id="rId41" Type="http://schemas.openxmlformats.org/officeDocument/2006/relationships/image" Target="../media/image42.png"/><Relationship Id="rId54" Type="http://schemas.openxmlformats.org/officeDocument/2006/relationships/image" Target="../media/image55.png"/><Relationship Id="rId62" Type="http://schemas.openxmlformats.org/officeDocument/2006/relationships/image" Target="../media/image63.png"/><Relationship Id="rId70" Type="http://schemas.openxmlformats.org/officeDocument/2006/relationships/image" Target="../media/image71.png"/><Relationship Id="rId75" Type="http://schemas.openxmlformats.org/officeDocument/2006/relationships/image" Target="../media/image76.png"/><Relationship Id="rId83" Type="http://schemas.openxmlformats.org/officeDocument/2006/relationships/image" Target="../media/image84.png"/><Relationship Id="rId88" Type="http://schemas.openxmlformats.org/officeDocument/2006/relationships/image" Target="../media/image89.png"/><Relationship Id="rId91" Type="http://schemas.openxmlformats.org/officeDocument/2006/relationships/chart" Target="../charts/chart1.xml"/><Relationship Id="rId96" Type="http://schemas.openxmlformats.org/officeDocument/2006/relationships/image" Target="../media/image96.png"/><Relationship Id="rId1" Type="http://schemas.openxmlformats.org/officeDocument/2006/relationships/image" Target="../media/image3.jpeg"/><Relationship Id="rId6" Type="http://schemas.openxmlformats.org/officeDocument/2006/relationships/image" Target="../media/image7.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36" Type="http://schemas.openxmlformats.org/officeDocument/2006/relationships/image" Target="../media/image37.png"/><Relationship Id="rId49" Type="http://schemas.openxmlformats.org/officeDocument/2006/relationships/image" Target="../media/image50.png"/><Relationship Id="rId57" Type="http://schemas.openxmlformats.org/officeDocument/2006/relationships/image" Target="../media/image58.png"/><Relationship Id="rId10" Type="http://schemas.openxmlformats.org/officeDocument/2006/relationships/image" Target="../media/image11.png"/><Relationship Id="rId31" Type="http://schemas.openxmlformats.org/officeDocument/2006/relationships/image" Target="../media/image32.png"/><Relationship Id="rId44" Type="http://schemas.openxmlformats.org/officeDocument/2006/relationships/image" Target="../media/image45.png"/><Relationship Id="rId52" Type="http://schemas.openxmlformats.org/officeDocument/2006/relationships/image" Target="../media/image53.png"/><Relationship Id="rId60" Type="http://schemas.openxmlformats.org/officeDocument/2006/relationships/image" Target="../media/image61.png"/><Relationship Id="rId65" Type="http://schemas.openxmlformats.org/officeDocument/2006/relationships/image" Target="../media/image66.png"/><Relationship Id="rId73" Type="http://schemas.openxmlformats.org/officeDocument/2006/relationships/image" Target="../media/image74.png"/><Relationship Id="rId78" Type="http://schemas.openxmlformats.org/officeDocument/2006/relationships/image" Target="../media/image79.png"/><Relationship Id="rId81" Type="http://schemas.openxmlformats.org/officeDocument/2006/relationships/image" Target="../media/image82.png"/><Relationship Id="rId86" Type="http://schemas.openxmlformats.org/officeDocument/2006/relationships/image" Target="../media/image87.png"/><Relationship Id="rId94" Type="http://schemas.openxmlformats.org/officeDocument/2006/relationships/image" Target="../media/image94.png"/><Relationship Id="rId4" Type="http://schemas.openxmlformats.org/officeDocument/2006/relationships/image" Target="../media/image5.png"/><Relationship Id="rId9" Type="http://schemas.openxmlformats.org/officeDocument/2006/relationships/image" Target="../media/image10.png"/><Relationship Id="rId13" Type="http://schemas.openxmlformats.org/officeDocument/2006/relationships/image" Target="../media/image14.png"/><Relationship Id="rId18" Type="http://schemas.openxmlformats.org/officeDocument/2006/relationships/image" Target="../media/image19.png"/><Relationship Id="rId39" Type="http://schemas.openxmlformats.org/officeDocument/2006/relationships/image" Target="../media/image40.pn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4</xdr:col>
      <xdr:colOff>104775</xdr:colOff>
      <xdr:row>8</xdr:row>
      <xdr:rowOff>28575</xdr:rowOff>
    </xdr:from>
    <xdr:to>
      <xdr:col>4</xdr:col>
      <xdr:colOff>2162175</xdr:colOff>
      <xdr:row>10</xdr:row>
      <xdr:rowOff>66675</xdr:rowOff>
    </xdr:to>
    <xdr:sp macro="" textlink="">
      <xdr:nvSpPr>
        <xdr:cNvPr id="2" name="Rectángulo 1">
          <a:hlinkClick xmlns:r="http://schemas.openxmlformats.org/officeDocument/2006/relationships" r:id="rId1"/>
          <a:extLst>
            <a:ext uri="{FF2B5EF4-FFF2-40B4-BE49-F238E27FC236}">
              <a16:creationId xmlns:a16="http://schemas.microsoft.com/office/drawing/2014/main" id="{345D1BDB-BBDB-4A29-A6EF-12869AF903E0}"/>
            </a:ext>
          </a:extLst>
        </xdr:cNvPr>
        <xdr:cNvSpPr/>
      </xdr:nvSpPr>
      <xdr:spPr>
        <a:xfrm>
          <a:off x="3152775" y="1552575"/>
          <a:ext cx="2057400" cy="41910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marL="0" indent="0" algn="ctr"/>
          <a:r>
            <a:rPr lang="es-CO" sz="1100">
              <a:solidFill>
                <a:sysClr val="windowText" lastClr="000000"/>
              </a:solidFill>
              <a:latin typeface="Arial" panose="020B0604020202020204" pitchFamily="34" charset="0"/>
              <a:ea typeface="+mn-ea"/>
              <a:cs typeface="Arial" panose="020B0604020202020204" pitchFamily="34" charset="0"/>
            </a:rPr>
            <a:t>Plan de Acción Institucional Integrado</a:t>
          </a:r>
        </a:p>
      </xdr:txBody>
    </xdr:sp>
    <xdr:clientData/>
  </xdr:twoCellAnchor>
  <xdr:twoCellAnchor>
    <xdr:from>
      <xdr:col>6</xdr:col>
      <xdr:colOff>28574</xdr:colOff>
      <xdr:row>8</xdr:row>
      <xdr:rowOff>19049</xdr:rowOff>
    </xdr:from>
    <xdr:to>
      <xdr:col>8</xdr:col>
      <xdr:colOff>647699</xdr:colOff>
      <xdr:row>10</xdr:row>
      <xdr:rowOff>123824</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A073329B-451C-4462-AC2B-6A8E4DDC0E94}"/>
            </a:ext>
          </a:extLst>
        </xdr:cNvPr>
        <xdr:cNvSpPr/>
      </xdr:nvSpPr>
      <xdr:spPr>
        <a:xfrm>
          <a:off x="6134099" y="1543049"/>
          <a:ext cx="2143125" cy="485775"/>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aseline="0">
              <a:solidFill>
                <a:sysClr val="windowText" lastClr="000000"/>
              </a:solidFill>
              <a:latin typeface="Arial" panose="020B0604020202020204" pitchFamily="34" charset="0"/>
              <a:cs typeface="Arial" panose="020B0604020202020204" pitchFamily="34" charset="0"/>
            </a:rPr>
            <a:t>Metas e indicadores PDD</a:t>
          </a:r>
        </a:p>
      </xdr:txBody>
    </xdr:sp>
    <xdr:clientData/>
  </xdr:twoCellAnchor>
  <xdr:twoCellAnchor>
    <xdr:from>
      <xdr:col>4</xdr:col>
      <xdr:colOff>123825</xdr:colOff>
      <xdr:row>11</xdr:row>
      <xdr:rowOff>114300</xdr:rowOff>
    </xdr:from>
    <xdr:to>
      <xdr:col>4</xdr:col>
      <xdr:colOff>2181225</xdr:colOff>
      <xdr:row>14</xdr:row>
      <xdr:rowOff>0</xdr:rowOff>
    </xdr:to>
    <xdr:sp macro="" textlink="">
      <xdr:nvSpPr>
        <xdr:cNvPr id="4" name="Rectángulo 3">
          <a:hlinkClick xmlns:r="http://schemas.openxmlformats.org/officeDocument/2006/relationships" r:id="rId3"/>
          <a:extLst>
            <a:ext uri="{FF2B5EF4-FFF2-40B4-BE49-F238E27FC236}">
              <a16:creationId xmlns:a16="http://schemas.microsoft.com/office/drawing/2014/main" id="{DC50A439-0BC5-459B-808A-1A55B0F5E0F2}"/>
            </a:ext>
          </a:extLst>
        </xdr:cNvPr>
        <xdr:cNvSpPr/>
      </xdr:nvSpPr>
      <xdr:spPr>
        <a:xfrm>
          <a:off x="3171825" y="2209800"/>
          <a:ext cx="2057400" cy="45720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marL="0" indent="0" algn="ctr"/>
          <a:r>
            <a:rPr lang="es-CO" sz="1100">
              <a:solidFill>
                <a:sysClr val="windowText" lastClr="000000"/>
              </a:solidFill>
              <a:latin typeface="Arial" panose="020B0604020202020204" pitchFamily="34" charset="0"/>
              <a:ea typeface="+mn-ea"/>
              <a:cs typeface="Arial" panose="020B0604020202020204" pitchFamily="34" charset="0"/>
            </a:rPr>
            <a:t>Objetivos</a:t>
          </a:r>
          <a:r>
            <a:rPr lang="es-CO" sz="1100" baseline="0">
              <a:solidFill>
                <a:sysClr val="windowText" lastClr="000000"/>
              </a:solidFill>
              <a:latin typeface="Arial" panose="020B0604020202020204" pitchFamily="34" charset="0"/>
              <a:ea typeface="+mn-ea"/>
              <a:cs typeface="Arial" panose="020B0604020202020204" pitchFamily="34" charset="0"/>
            </a:rPr>
            <a:t> y metas proyectos de inversión</a:t>
          </a:r>
          <a:endParaRPr lang="es-CO" sz="11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6</xdr:col>
      <xdr:colOff>38099</xdr:colOff>
      <xdr:row>11</xdr:row>
      <xdr:rowOff>114299</xdr:rowOff>
    </xdr:from>
    <xdr:to>
      <xdr:col>8</xdr:col>
      <xdr:colOff>657224</xdr:colOff>
      <xdr:row>14</xdr:row>
      <xdr:rowOff>9524</xdr:rowOff>
    </xdr:to>
    <xdr:sp macro="" textlink="">
      <xdr:nvSpPr>
        <xdr:cNvPr id="5" name="Rectángulo 4">
          <a:hlinkClick xmlns:r="http://schemas.openxmlformats.org/officeDocument/2006/relationships" r:id="rId4"/>
          <a:extLst>
            <a:ext uri="{FF2B5EF4-FFF2-40B4-BE49-F238E27FC236}">
              <a16:creationId xmlns:a16="http://schemas.microsoft.com/office/drawing/2014/main" id="{6EDB748D-CF0B-4497-83CC-6E463630C99F}"/>
            </a:ext>
          </a:extLst>
        </xdr:cNvPr>
        <xdr:cNvSpPr/>
      </xdr:nvSpPr>
      <xdr:spPr>
        <a:xfrm>
          <a:off x="6143624" y="2209799"/>
          <a:ext cx="2143125" cy="466725"/>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marL="0" indent="0" algn="ctr"/>
          <a:r>
            <a:rPr lang="es-CO" sz="1100">
              <a:solidFill>
                <a:sysClr val="windowText" lastClr="000000"/>
              </a:solidFill>
              <a:latin typeface="Arial" panose="020B0604020202020204" pitchFamily="34" charset="0"/>
              <a:ea typeface="+mn-ea"/>
              <a:cs typeface="Arial" panose="020B0604020202020204" pitchFamily="34" charset="0"/>
            </a:rPr>
            <a:t>Presupuesto </a:t>
          </a:r>
        </a:p>
      </xdr:txBody>
    </xdr:sp>
    <xdr:clientData/>
  </xdr:twoCellAnchor>
  <xdr:twoCellAnchor>
    <xdr:from>
      <xdr:col>4</xdr:col>
      <xdr:colOff>1562100</xdr:colOff>
      <xdr:row>5</xdr:row>
      <xdr:rowOff>95250</xdr:rowOff>
    </xdr:from>
    <xdr:to>
      <xdr:col>6</xdr:col>
      <xdr:colOff>561975</xdr:colOff>
      <xdr:row>7</xdr:row>
      <xdr:rowOff>9525</xdr:rowOff>
    </xdr:to>
    <xdr:sp macro="" textlink="">
      <xdr:nvSpPr>
        <xdr:cNvPr id="6" name="Rectángulo 5">
          <a:extLst>
            <a:ext uri="{FF2B5EF4-FFF2-40B4-BE49-F238E27FC236}">
              <a16:creationId xmlns:a16="http://schemas.microsoft.com/office/drawing/2014/main" id="{23FBD62B-AE33-4EE4-BD71-4B7436BCE3E9}"/>
            </a:ext>
          </a:extLst>
        </xdr:cNvPr>
        <xdr:cNvSpPr/>
      </xdr:nvSpPr>
      <xdr:spPr>
        <a:xfrm>
          <a:off x="4610100" y="1047750"/>
          <a:ext cx="2057400" cy="295275"/>
        </a:xfrm>
        <a:prstGeom prst="rect">
          <a:avLst/>
        </a:prstGeom>
        <a:solidFill>
          <a:schemeClr val="accent4">
            <a:lumMod val="75000"/>
          </a:schemeClr>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s-CO" sz="1100">
              <a:latin typeface="Arial" panose="020B0604020202020204" pitchFamily="34" charset="0"/>
              <a:cs typeface="Arial" panose="020B0604020202020204" pitchFamily="34" charset="0"/>
            </a:rPr>
            <a:t>Menú de opciones</a:t>
          </a:r>
          <a:endParaRPr lang="es-CO" sz="1100" baseline="0">
            <a:latin typeface="Arial" panose="020B0604020202020204" pitchFamily="34" charset="0"/>
            <a:cs typeface="Arial" panose="020B0604020202020204" pitchFamily="34" charset="0"/>
          </a:endParaRPr>
        </a:p>
      </xdr:txBody>
    </xdr:sp>
    <xdr:clientData/>
  </xdr:twoCellAnchor>
  <xdr:twoCellAnchor editAs="oneCell">
    <xdr:from>
      <xdr:col>2</xdr:col>
      <xdr:colOff>447675</xdr:colOff>
      <xdr:row>5</xdr:row>
      <xdr:rowOff>0</xdr:rowOff>
    </xdr:from>
    <xdr:to>
      <xdr:col>3</xdr:col>
      <xdr:colOff>625689</xdr:colOff>
      <xdr:row>13</xdr:row>
      <xdr:rowOff>25753</xdr:rowOff>
    </xdr:to>
    <xdr:pic>
      <xdr:nvPicPr>
        <xdr:cNvPr id="7" name="Imagen 6">
          <a:extLst>
            <a:ext uri="{FF2B5EF4-FFF2-40B4-BE49-F238E27FC236}">
              <a16:creationId xmlns:a16="http://schemas.microsoft.com/office/drawing/2014/main" id="{EFA005F5-8B0F-4E89-A68E-33EA615C1C4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71675" y="952500"/>
          <a:ext cx="940014" cy="1549753"/>
        </a:xfrm>
        <a:prstGeom prst="rect">
          <a:avLst/>
        </a:prstGeom>
      </xdr:spPr>
    </xdr:pic>
    <xdr:clientData/>
  </xdr:twoCellAnchor>
  <xdr:twoCellAnchor>
    <xdr:from>
      <xdr:col>4</xdr:col>
      <xdr:colOff>695325</xdr:colOff>
      <xdr:row>1</xdr:row>
      <xdr:rowOff>104775</xdr:rowOff>
    </xdr:from>
    <xdr:to>
      <xdr:col>7</xdr:col>
      <xdr:colOff>685800</xdr:colOff>
      <xdr:row>4</xdr:row>
      <xdr:rowOff>57151</xdr:rowOff>
    </xdr:to>
    <xdr:sp macro="" textlink="">
      <xdr:nvSpPr>
        <xdr:cNvPr id="8" name="Rectángulo 7">
          <a:extLst>
            <a:ext uri="{FF2B5EF4-FFF2-40B4-BE49-F238E27FC236}">
              <a16:creationId xmlns:a16="http://schemas.microsoft.com/office/drawing/2014/main" id="{EE2DFE38-031A-4751-9939-1C5C19DF1267}"/>
            </a:ext>
          </a:extLst>
        </xdr:cNvPr>
        <xdr:cNvSpPr/>
      </xdr:nvSpPr>
      <xdr:spPr>
        <a:xfrm>
          <a:off x="3743325" y="295275"/>
          <a:ext cx="3810000" cy="523876"/>
        </a:xfrm>
        <a:prstGeom prst="rect">
          <a:avLst/>
        </a:prstGeom>
        <a:solidFill>
          <a:srgbClr val="C0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s-CO" sz="2400" baseline="0">
              <a:solidFill>
                <a:schemeClr val="bg1"/>
              </a:solidFill>
              <a:latin typeface="Arial" panose="020B0604020202020204" pitchFamily="34" charset="0"/>
              <a:cs typeface="Arial" panose="020B0604020202020204" pitchFamily="34" charset="0"/>
            </a:rPr>
            <a:t>PROGRAMACIÓN 2022</a:t>
          </a:r>
        </a:p>
      </xdr:txBody>
    </xdr:sp>
    <xdr:clientData/>
  </xdr:twoCellAnchor>
  <xdr:twoCellAnchor>
    <xdr:from>
      <xdr:col>6</xdr:col>
      <xdr:colOff>47624</xdr:colOff>
      <xdr:row>15</xdr:row>
      <xdr:rowOff>38099</xdr:rowOff>
    </xdr:from>
    <xdr:to>
      <xdr:col>8</xdr:col>
      <xdr:colOff>685799</xdr:colOff>
      <xdr:row>17</xdr:row>
      <xdr:rowOff>161924</xdr:rowOff>
    </xdr:to>
    <xdr:sp macro="" textlink="">
      <xdr:nvSpPr>
        <xdr:cNvPr id="9" name="Rectángulo 8">
          <a:hlinkClick xmlns:r="http://schemas.openxmlformats.org/officeDocument/2006/relationships" r:id="rId6"/>
          <a:extLst>
            <a:ext uri="{FF2B5EF4-FFF2-40B4-BE49-F238E27FC236}">
              <a16:creationId xmlns:a16="http://schemas.microsoft.com/office/drawing/2014/main" id="{7FFD3359-5A39-4F21-8E32-F5DE17A065B7}"/>
            </a:ext>
          </a:extLst>
        </xdr:cNvPr>
        <xdr:cNvSpPr/>
      </xdr:nvSpPr>
      <xdr:spPr>
        <a:xfrm>
          <a:off x="6153149" y="2895599"/>
          <a:ext cx="2162175" cy="504825"/>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a:solidFill>
                <a:sysClr val="windowText" lastClr="000000"/>
              </a:solidFill>
              <a:latin typeface="Arial" panose="020B0604020202020204" pitchFamily="34" charset="0"/>
              <a:cs typeface="Arial" panose="020B0604020202020204" pitchFamily="34" charset="0"/>
            </a:rPr>
            <a:t>Mapa y plan de tratamiento</a:t>
          </a:r>
          <a:r>
            <a:rPr lang="es-CO" sz="1100" baseline="0">
              <a:solidFill>
                <a:sysClr val="windowText" lastClr="000000"/>
              </a:solidFill>
              <a:latin typeface="Arial" panose="020B0604020202020204" pitchFamily="34" charset="0"/>
              <a:cs typeface="Arial" panose="020B0604020202020204" pitchFamily="34" charset="0"/>
            </a:rPr>
            <a:t> de</a:t>
          </a:r>
          <a:r>
            <a:rPr lang="es-CO" sz="1100">
              <a:solidFill>
                <a:sysClr val="windowText" lastClr="000000"/>
              </a:solidFill>
              <a:latin typeface="Arial" panose="020B0604020202020204" pitchFamily="34" charset="0"/>
              <a:cs typeface="Arial" panose="020B0604020202020204" pitchFamily="34" charset="0"/>
            </a:rPr>
            <a:t> riesgos</a:t>
          </a:r>
          <a:endParaRPr lang="es-CO" sz="1100"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4</xdr:col>
      <xdr:colOff>123825</xdr:colOff>
      <xdr:row>15</xdr:row>
      <xdr:rowOff>47625</xdr:rowOff>
    </xdr:from>
    <xdr:to>
      <xdr:col>4</xdr:col>
      <xdr:colOff>2219325</xdr:colOff>
      <xdr:row>17</xdr:row>
      <xdr:rowOff>161925</xdr:rowOff>
    </xdr:to>
    <xdr:sp macro="" textlink="">
      <xdr:nvSpPr>
        <xdr:cNvPr id="10" name="Rectángulo 9">
          <a:hlinkClick xmlns:r="http://schemas.openxmlformats.org/officeDocument/2006/relationships" r:id="rId7"/>
          <a:extLst>
            <a:ext uri="{FF2B5EF4-FFF2-40B4-BE49-F238E27FC236}">
              <a16:creationId xmlns:a16="http://schemas.microsoft.com/office/drawing/2014/main" id="{2967EF03-58BC-47A1-A19F-4B86CF1A2422}"/>
            </a:ext>
          </a:extLst>
        </xdr:cNvPr>
        <xdr:cNvSpPr/>
      </xdr:nvSpPr>
      <xdr:spPr>
        <a:xfrm>
          <a:off x="3171825" y="2905125"/>
          <a:ext cx="2095500" cy="49530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marL="0" indent="0" algn="ctr"/>
          <a:r>
            <a:rPr lang="es-CO" sz="1100">
              <a:solidFill>
                <a:sysClr val="windowText" lastClr="000000"/>
              </a:solidFill>
              <a:latin typeface="Arial" panose="020B0604020202020204" pitchFamily="34" charset="0"/>
              <a:ea typeface="+mn-ea"/>
              <a:cs typeface="Arial" panose="020B0604020202020204" pitchFamily="34" charset="0"/>
            </a:rPr>
            <a:t>Indicadores de Gestión</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1279072</xdr:colOff>
      <xdr:row>1</xdr:row>
      <xdr:rowOff>27214</xdr:rowOff>
    </xdr:from>
    <xdr:to>
      <xdr:col>2</xdr:col>
      <xdr:colOff>612322</xdr:colOff>
      <xdr:row>5</xdr:row>
      <xdr:rowOff>1067</xdr:rowOff>
    </xdr:to>
    <xdr:pic>
      <xdr:nvPicPr>
        <xdr:cNvPr id="2" name="Imagen 1" descr="escudo-alc">
          <a:extLst>
            <a:ext uri="{FF2B5EF4-FFF2-40B4-BE49-F238E27FC236}">
              <a16:creationId xmlns:a16="http://schemas.microsoft.com/office/drawing/2014/main" id="{AE6AE862-E9E0-45E3-9702-43743E43A3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1" y="204107"/>
          <a:ext cx="1292678" cy="681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89806</xdr:colOff>
      <xdr:row>1</xdr:row>
      <xdr:rowOff>68036</xdr:rowOff>
    </xdr:from>
    <xdr:to>
      <xdr:col>2</xdr:col>
      <xdr:colOff>536195</xdr:colOff>
      <xdr:row>4</xdr:row>
      <xdr:rowOff>312963</xdr:rowOff>
    </xdr:to>
    <xdr:pic>
      <xdr:nvPicPr>
        <xdr:cNvPr id="2" name="Picture 1" descr="escudo-alc">
          <a:extLst>
            <a:ext uri="{FF2B5EF4-FFF2-40B4-BE49-F238E27FC236}">
              <a16:creationId xmlns:a16="http://schemas.microsoft.com/office/drawing/2014/main" id="{FED50D29-AB7A-4B26-8C4B-690A0CE875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9356" y="572861"/>
          <a:ext cx="1589389" cy="12736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47625</xdr:rowOff>
    </xdr:from>
    <xdr:to>
      <xdr:col>1</xdr:col>
      <xdr:colOff>889000</xdr:colOff>
      <xdr:row>0</xdr:row>
      <xdr:rowOff>444500</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774AF804-987F-46FA-8348-B4511E140B4F}"/>
            </a:ext>
          </a:extLst>
        </xdr:cNvPr>
        <xdr:cNvSpPr/>
      </xdr:nvSpPr>
      <xdr:spPr>
        <a:xfrm>
          <a:off x="209550" y="47625"/>
          <a:ext cx="889000" cy="39687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s-CO" sz="1100" b="1">
              <a:solidFill>
                <a:srgbClr val="6A310A"/>
              </a:solidFill>
            </a:rPr>
            <a:t>MENÚ</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457200</xdr:colOff>
      <xdr:row>1</xdr:row>
      <xdr:rowOff>110219</xdr:rowOff>
    </xdr:from>
    <xdr:to>
      <xdr:col>1</xdr:col>
      <xdr:colOff>2558142</xdr:colOff>
      <xdr:row>4</xdr:row>
      <xdr:rowOff>293806</xdr:rowOff>
    </xdr:to>
    <xdr:pic>
      <xdr:nvPicPr>
        <xdr:cNvPr id="2" name="Picture 1" descr="escudo-alc">
          <a:extLst>
            <a:ext uri="{FF2B5EF4-FFF2-40B4-BE49-F238E27FC236}">
              <a16:creationId xmlns:a16="http://schemas.microsoft.com/office/drawing/2014/main" id="{B49B9213-4771-4CFF-8387-6975E6B574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5825" y="615044"/>
          <a:ext cx="2100942" cy="12122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40821</xdr:rowOff>
    </xdr:from>
    <xdr:to>
      <xdr:col>1</xdr:col>
      <xdr:colOff>762000</xdr:colOff>
      <xdr:row>0</xdr:row>
      <xdr:rowOff>449035</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14A4F3CB-C419-458D-801C-2A3B6D4AF305}"/>
            </a:ext>
          </a:extLst>
        </xdr:cNvPr>
        <xdr:cNvSpPr/>
      </xdr:nvSpPr>
      <xdr:spPr>
        <a:xfrm>
          <a:off x="428625" y="40821"/>
          <a:ext cx="762000" cy="408214"/>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s-CO" sz="1200" b="1">
              <a:solidFill>
                <a:srgbClr val="6A310A"/>
              </a:solidFill>
            </a:rPr>
            <a:t>MENÚ</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247650</xdr:colOff>
      <xdr:row>1</xdr:row>
      <xdr:rowOff>101601</xdr:rowOff>
    </xdr:from>
    <xdr:to>
      <xdr:col>1</xdr:col>
      <xdr:colOff>1476375</xdr:colOff>
      <xdr:row>4</xdr:row>
      <xdr:rowOff>158750</xdr:rowOff>
    </xdr:to>
    <xdr:pic>
      <xdr:nvPicPr>
        <xdr:cNvPr id="2" name="Picture 1" descr="escudo-alc">
          <a:extLst>
            <a:ext uri="{FF2B5EF4-FFF2-40B4-BE49-F238E27FC236}">
              <a16:creationId xmlns:a16="http://schemas.microsoft.com/office/drawing/2014/main" id="{E06C4AB2-EB46-43AA-AA51-AEED5ED4F1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0075" y="558801"/>
          <a:ext cx="1228725" cy="742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202405</xdr:colOff>
      <xdr:row>0</xdr:row>
      <xdr:rowOff>54767</xdr:rowOff>
    </xdr:from>
    <xdr:to>
      <xdr:col>1</xdr:col>
      <xdr:colOff>857249</xdr:colOff>
      <xdr:row>0</xdr:row>
      <xdr:rowOff>376236</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C65A2ABC-D986-484B-8914-D3B909A24BFD}"/>
            </a:ext>
          </a:extLst>
        </xdr:cNvPr>
        <xdr:cNvSpPr/>
      </xdr:nvSpPr>
      <xdr:spPr>
        <a:xfrm>
          <a:off x="554830" y="54767"/>
          <a:ext cx="654844" cy="321469"/>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s-CO" sz="1100" b="1">
              <a:solidFill>
                <a:srgbClr val="6A310A"/>
              </a:solidFill>
            </a:rPr>
            <a:t>MENÚ</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xdr:row>
      <xdr:rowOff>47625</xdr:rowOff>
    </xdr:from>
    <xdr:to>
      <xdr:col>1</xdr:col>
      <xdr:colOff>0</xdr:colOff>
      <xdr:row>1</xdr:row>
      <xdr:rowOff>609600</xdr:rowOff>
    </xdr:to>
    <xdr:pic>
      <xdr:nvPicPr>
        <xdr:cNvPr id="2" name="Picture 1" descr="escudo-alc">
          <a:extLst>
            <a:ext uri="{FF2B5EF4-FFF2-40B4-BE49-F238E27FC236}">
              <a16:creationId xmlns:a16="http://schemas.microsoft.com/office/drawing/2014/main" id="{505E91D6-9AA9-4FC6-9A6B-58AECE38FF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23812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271517</xdr:colOff>
      <xdr:row>1</xdr:row>
      <xdr:rowOff>280009</xdr:rowOff>
    </xdr:from>
    <xdr:ext cx="1941570" cy="1049570"/>
    <xdr:pic>
      <xdr:nvPicPr>
        <xdr:cNvPr id="3" name="Imagen 2" descr="escudo-alc">
          <a:extLst>
            <a:ext uri="{FF2B5EF4-FFF2-40B4-BE49-F238E27FC236}">
              <a16:creationId xmlns:a16="http://schemas.microsoft.com/office/drawing/2014/main" id="{B63E1865-C21E-4111-815C-390D136BF0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342" y="384784"/>
          <a:ext cx="1941570" cy="1049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666750</xdr:colOff>
      <xdr:row>26</xdr:row>
      <xdr:rowOff>0</xdr:rowOff>
    </xdr:from>
    <xdr:ext cx="7030" cy="352128"/>
    <xdr:pic>
      <xdr:nvPicPr>
        <xdr:cNvPr id="4" name="Imagen 4">
          <a:extLst>
            <a:ext uri="{FF2B5EF4-FFF2-40B4-BE49-F238E27FC236}">
              <a16:creationId xmlns:a16="http://schemas.microsoft.com/office/drawing/2014/main" id="{7D3D7F4F-84C7-4B54-A809-EF266BEEB86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726525" y="4953000"/>
          <a:ext cx="7030" cy="352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666750</xdr:colOff>
      <xdr:row>26</xdr:row>
      <xdr:rowOff>0</xdr:rowOff>
    </xdr:from>
    <xdr:ext cx="0" cy="355244"/>
    <xdr:pic>
      <xdr:nvPicPr>
        <xdr:cNvPr id="5" name="Imagen 4">
          <a:extLst>
            <a:ext uri="{FF2B5EF4-FFF2-40B4-BE49-F238E27FC236}">
              <a16:creationId xmlns:a16="http://schemas.microsoft.com/office/drawing/2014/main" id="{FAF23A44-05ED-45A3-A71C-F2BD732E7B6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506825" y="4953000"/>
          <a:ext cx="0" cy="3552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666750</xdr:colOff>
      <xdr:row>28</xdr:row>
      <xdr:rowOff>0</xdr:rowOff>
    </xdr:from>
    <xdr:ext cx="7030" cy="352128"/>
    <xdr:pic>
      <xdr:nvPicPr>
        <xdr:cNvPr id="6" name="Imagen 4">
          <a:extLst>
            <a:ext uri="{FF2B5EF4-FFF2-40B4-BE49-F238E27FC236}">
              <a16:creationId xmlns:a16="http://schemas.microsoft.com/office/drawing/2014/main" id="{80944732-3ADD-4E5D-8645-558EBD17889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726525" y="5334000"/>
          <a:ext cx="7030" cy="352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666750</xdr:colOff>
      <xdr:row>28</xdr:row>
      <xdr:rowOff>0</xdr:rowOff>
    </xdr:from>
    <xdr:ext cx="0" cy="355244"/>
    <xdr:pic>
      <xdr:nvPicPr>
        <xdr:cNvPr id="7" name="Imagen 6">
          <a:extLst>
            <a:ext uri="{FF2B5EF4-FFF2-40B4-BE49-F238E27FC236}">
              <a16:creationId xmlns:a16="http://schemas.microsoft.com/office/drawing/2014/main" id="{4A421A22-2452-4632-904E-0E6578D7B92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506825" y="5334000"/>
          <a:ext cx="0" cy="3552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88</xdr:col>
      <xdr:colOff>475680</xdr:colOff>
      <xdr:row>26</xdr:row>
      <xdr:rowOff>723564</xdr:rowOff>
    </xdr:from>
    <xdr:ext cx="4039170" cy="2570966"/>
    <xdr:pic>
      <xdr:nvPicPr>
        <xdr:cNvPr id="8" name="Imagen 7">
          <a:extLst>
            <a:ext uri="{FF2B5EF4-FFF2-40B4-BE49-F238E27FC236}">
              <a16:creationId xmlns:a16="http://schemas.microsoft.com/office/drawing/2014/main" id="{C0135587-BCB2-4B07-882C-CACC66F522C8}"/>
            </a:ext>
          </a:extLst>
        </xdr:cNvPr>
        <xdr:cNvPicPr>
          <a:picLocks noChangeAspect="1"/>
        </xdr:cNvPicPr>
      </xdr:nvPicPr>
      <xdr:blipFill>
        <a:blip xmlns:r="http://schemas.openxmlformats.org/officeDocument/2006/relationships" r:embed="rId5"/>
        <a:stretch>
          <a:fillRect/>
        </a:stretch>
      </xdr:blipFill>
      <xdr:spPr>
        <a:xfrm>
          <a:off x="215350155" y="5143164"/>
          <a:ext cx="4039170" cy="2570966"/>
        </a:xfrm>
        <a:prstGeom prst="rect">
          <a:avLst/>
        </a:prstGeom>
      </xdr:spPr>
    </xdr:pic>
    <xdr:clientData/>
  </xdr:oneCellAnchor>
  <xdr:oneCellAnchor>
    <xdr:from>
      <xdr:col>88</xdr:col>
      <xdr:colOff>584228</xdr:colOff>
      <xdr:row>27</xdr:row>
      <xdr:rowOff>247314</xdr:rowOff>
    </xdr:from>
    <xdr:ext cx="4041720" cy="2105922"/>
    <xdr:pic>
      <xdr:nvPicPr>
        <xdr:cNvPr id="9" name="Imagen 8">
          <a:extLst>
            <a:ext uri="{FF2B5EF4-FFF2-40B4-BE49-F238E27FC236}">
              <a16:creationId xmlns:a16="http://schemas.microsoft.com/office/drawing/2014/main" id="{84D13A80-9ACE-42ED-AFA9-D289C23533AE}"/>
            </a:ext>
          </a:extLst>
        </xdr:cNvPr>
        <xdr:cNvPicPr>
          <a:picLocks noChangeAspect="1"/>
        </xdr:cNvPicPr>
      </xdr:nvPicPr>
      <xdr:blipFill>
        <a:blip xmlns:r="http://schemas.openxmlformats.org/officeDocument/2006/relationships" r:embed="rId6"/>
        <a:stretch>
          <a:fillRect/>
        </a:stretch>
      </xdr:blipFill>
      <xdr:spPr>
        <a:xfrm>
          <a:off x="215458703" y="5333664"/>
          <a:ext cx="4041720" cy="2105922"/>
        </a:xfrm>
        <a:prstGeom prst="rect">
          <a:avLst/>
        </a:prstGeom>
      </xdr:spPr>
    </xdr:pic>
    <xdr:clientData/>
  </xdr:oneCellAnchor>
  <xdr:oneCellAnchor>
    <xdr:from>
      <xdr:col>88</xdr:col>
      <xdr:colOff>619125</xdr:colOff>
      <xdr:row>28</xdr:row>
      <xdr:rowOff>390189</xdr:rowOff>
    </xdr:from>
    <xdr:ext cx="3980880" cy="1963046"/>
    <xdr:pic>
      <xdr:nvPicPr>
        <xdr:cNvPr id="10" name="Imagen 9">
          <a:extLst>
            <a:ext uri="{FF2B5EF4-FFF2-40B4-BE49-F238E27FC236}">
              <a16:creationId xmlns:a16="http://schemas.microsoft.com/office/drawing/2014/main" id="{E88881FC-637E-416F-8AA2-11A9E7FDAC99}"/>
            </a:ext>
          </a:extLst>
        </xdr:cNvPr>
        <xdr:cNvPicPr>
          <a:picLocks noChangeAspect="1"/>
        </xdr:cNvPicPr>
      </xdr:nvPicPr>
      <xdr:blipFill>
        <a:blip xmlns:r="http://schemas.openxmlformats.org/officeDocument/2006/relationships" r:embed="rId7"/>
        <a:stretch>
          <a:fillRect/>
        </a:stretch>
      </xdr:blipFill>
      <xdr:spPr>
        <a:xfrm>
          <a:off x="215493600" y="5524164"/>
          <a:ext cx="3980880" cy="1963046"/>
        </a:xfrm>
        <a:prstGeom prst="rect">
          <a:avLst/>
        </a:prstGeom>
      </xdr:spPr>
    </xdr:pic>
    <xdr:clientData/>
  </xdr:oneCellAnchor>
  <xdr:oneCellAnchor>
    <xdr:from>
      <xdr:col>88</xdr:col>
      <xdr:colOff>533081</xdr:colOff>
      <xdr:row>29</xdr:row>
      <xdr:rowOff>676062</xdr:rowOff>
    </xdr:from>
    <xdr:ext cx="4000660" cy="2203850"/>
    <xdr:pic>
      <xdr:nvPicPr>
        <xdr:cNvPr id="11" name="Imagen 10">
          <a:extLst>
            <a:ext uri="{FF2B5EF4-FFF2-40B4-BE49-F238E27FC236}">
              <a16:creationId xmlns:a16="http://schemas.microsoft.com/office/drawing/2014/main" id="{3813375D-CF29-4F34-BF35-9221E384DFFE}"/>
            </a:ext>
          </a:extLst>
        </xdr:cNvPr>
        <xdr:cNvPicPr>
          <a:picLocks noChangeAspect="1"/>
        </xdr:cNvPicPr>
      </xdr:nvPicPr>
      <xdr:blipFill>
        <a:blip xmlns:r="http://schemas.openxmlformats.org/officeDocument/2006/relationships" r:embed="rId8"/>
        <a:stretch>
          <a:fillRect/>
        </a:stretch>
      </xdr:blipFill>
      <xdr:spPr>
        <a:xfrm>
          <a:off x="215407556" y="5714787"/>
          <a:ext cx="4000660" cy="2203850"/>
        </a:xfrm>
        <a:prstGeom prst="rect">
          <a:avLst/>
        </a:prstGeom>
      </xdr:spPr>
    </xdr:pic>
    <xdr:clientData/>
  </xdr:oneCellAnchor>
  <xdr:oneCellAnchor>
    <xdr:from>
      <xdr:col>88</xdr:col>
      <xdr:colOff>590231</xdr:colOff>
      <xdr:row>30</xdr:row>
      <xdr:rowOff>704850</xdr:rowOff>
    </xdr:from>
    <xdr:ext cx="4000660" cy="1984561"/>
    <xdr:pic>
      <xdr:nvPicPr>
        <xdr:cNvPr id="12" name="Imagen 11">
          <a:extLst>
            <a:ext uri="{FF2B5EF4-FFF2-40B4-BE49-F238E27FC236}">
              <a16:creationId xmlns:a16="http://schemas.microsoft.com/office/drawing/2014/main" id="{5E304251-110D-4A41-A7CD-5860B13CE1E4}"/>
            </a:ext>
          </a:extLst>
        </xdr:cNvPr>
        <xdr:cNvPicPr>
          <a:picLocks noChangeAspect="1"/>
        </xdr:cNvPicPr>
      </xdr:nvPicPr>
      <xdr:blipFill>
        <a:blip xmlns:r="http://schemas.openxmlformats.org/officeDocument/2006/relationships" r:embed="rId9"/>
        <a:stretch>
          <a:fillRect/>
        </a:stretch>
      </xdr:blipFill>
      <xdr:spPr>
        <a:xfrm>
          <a:off x="215464706" y="5905500"/>
          <a:ext cx="4000660" cy="1984561"/>
        </a:xfrm>
        <a:prstGeom prst="rect">
          <a:avLst/>
        </a:prstGeom>
      </xdr:spPr>
    </xdr:pic>
    <xdr:clientData/>
  </xdr:oneCellAnchor>
  <xdr:oneCellAnchor>
    <xdr:from>
      <xdr:col>88</xdr:col>
      <xdr:colOff>630893</xdr:colOff>
      <xdr:row>104</xdr:row>
      <xdr:rowOff>944656</xdr:rowOff>
    </xdr:from>
    <xdr:ext cx="3918324" cy="2966198"/>
    <xdr:pic>
      <xdr:nvPicPr>
        <xdr:cNvPr id="13" name="Imagen 12">
          <a:extLst>
            <a:ext uri="{FF2B5EF4-FFF2-40B4-BE49-F238E27FC236}">
              <a16:creationId xmlns:a16="http://schemas.microsoft.com/office/drawing/2014/main" id="{624AEA11-4B9D-4A6C-8EB7-FDDB1E6BB4B6}"/>
            </a:ext>
          </a:extLst>
        </xdr:cNvPr>
        <xdr:cNvPicPr>
          <a:picLocks noChangeAspect="1"/>
        </xdr:cNvPicPr>
      </xdr:nvPicPr>
      <xdr:blipFill>
        <a:blip xmlns:r="http://schemas.openxmlformats.org/officeDocument/2006/relationships" r:embed="rId10"/>
        <a:stretch>
          <a:fillRect/>
        </a:stretch>
      </xdr:blipFill>
      <xdr:spPr>
        <a:xfrm>
          <a:off x="215505368" y="20004181"/>
          <a:ext cx="3918324" cy="2966198"/>
        </a:xfrm>
        <a:prstGeom prst="rect">
          <a:avLst/>
        </a:prstGeom>
      </xdr:spPr>
    </xdr:pic>
    <xdr:clientData/>
  </xdr:oneCellAnchor>
  <xdr:oneCellAnchor>
    <xdr:from>
      <xdr:col>88</xdr:col>
      <xdr:colOff>85725</xdr:colOff>
      <xdr:row>33</xdr:row>
      <xdr:rowOff>838200</xdr:rowOff>
    </xdr:from>
    <xdr:ext cx="4571429" cy="2647619"/>
    <xdr:pic>
      <xdr:nvPicPr>
        <xdr:cNvPr id="14" name="Imagen 13">
          <a:extLst>
            <a:ext uri="{FF2B5EF4-FFF2-40B4-BE49-F238E27FC236}">
              <a16:creationId xmlns:a16="http://schemas.microsoft.com/office/drawing/2014/main" id="{14387721-3ABD-482E-B7B4-657DB82527FF}"/>
            </a:ext>
          </a:extLst>
        </xdr:cNvPr>
        <xdr:cNvPicPr>
          <a:picLocks noChangeAspect="1"/>
        </xdr:cNvPicPr>
      </xdr:nvPicPr>
      <xdr:blipFill>
        <a:blip xmlns:r="http://schemas.openxmlformats.org/officeDocument/2006/relationships" r:embed="rId11"/>
        <a:stretch>
          <a:fillRect/>
        </a:stretch>
      </xdr:blipFill>
      <xdr:spPr>
        <a:xfrm>
          <a:off x="214960200" y="6477000"/>
          <a:ext cx="4571429" cy="2647619"/>
        </a:xfrm>
        <a:prstGeom prst="rect">
          <a:avLst/>
        </a:prstGeom>
      </xdr:spPr>
    </xdr:pic>
    <xdr:clientData/>
  </xdr:oneCellAnchor>
  <xdr:oneCellAnchor>
    <xdr:from>
      <xdr:col>13</xdr:col>
      <xdr:colOff>666750</xdr:colOff>
      <xdr:row>63</xdr:row>
      <xdr:rowOff>0</xdr:rowOff>
    </xdr:from>
    <xdr:ext cx="5603" cy="349038"/>
    <xdr:pic>
      <xdr:nvPicPr>
        <xdr:cNvPr id="15" name="Imagen 14">
          <a:extLst>
            <a:ext uri="{FF2B5EF4-FFF2-40B4-BE49-F238E27FC236}">
              <a16:creationId xmlns:a16="http://schemas.microsoft.com/office/drawing/2014/main" id="{3FD48930-E434-4037-8BB3-65B708ADD0B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726525" y="12001500"/>
          <a:ext cx="5603" cy="349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88</xdr:col>
      <xdr:colOff>332707</xdr:colOff>
      <xdr:row>64</xdr:row>
      <xdr:rowOff>400050</xdr:rowOff>
    </xdr:from>
    <xdr:ext cx="4429793" cy="2625537"/>
    <xdr:pic>
      <xdr:nvPicPr>
        <xdr:cNvPr id="16" name="Imagen 15">
          <a:extLst>
            <a:ext uri="{FF2B5EF4-FFF2-40B4-BE49-F238E27FC236}">
              <a16:creationId xmlns:a16="http://schemas.microsoft.com/office/drawing/2014/main" id="{07A10FE4-45C0-458E-A80C-0646CEEACD5B}"/>
            </a:ext>
          </a:extLst>
        </xdr:cNvPr>
        <xdr:cNvPicPr>
          <a:picLocks noChangeAspect="1"/>
        </xdr:cNvPicPr>
      </xdr:nvPicPr>
      <xdr:blipFill>
        <a:blip xmlns:r="http://schemas.openxmlformats.org/officeDocument/2006/relationships" r:embed="rId12"/>
        <a:stretch>
          <a:fillRect/>
        </a:stretch>
      </xdr:blipFill>
      <xdr:spPr>
        <a:xfrm>
          <a:off x="215207182" y="12382500"/>
          <a:ext cx="4429793" cy="2625537"/>
        </a:xfrm>
        <a:prstGeom prst="rect">
          <a:avLst/>
        </a:prstGeom>
      </xdr:spPr>
    </xdr:pic>
    <xdr:clientData/>
  </xdr:oneCellAnchor>
  <xdr:oneCellAnchor>
    <xdr:from>
      <xdr:col>88</xdr:col>
      <xdr:colOff>638735</xdr:colOff>
      <xdr:row>63</xdr:row>
      <xdr:rowOff>237130</xdr:rowOff>
    </xdr:from>
    <xdr:ext cx="3781425" cy="1735105"/>
    <xdr:pic>
      <xdr:nvPicPr>
        <xdr:cNvPr id="17" name="Imagen 16">
          <a:extLst>
            <a:ext uri="{FF2B5EF4-FFF2-40B4-BE49-F238E27FC236}">
              <a16:creationId xmlns:a16="http://schemas.microsoft.com/office/drawing/2014/main" id="{90382182-744B-43AD-AAF9-0691253FD081}"/>
            </a:ext>
          </a:extLst>
        </xdr:cNvPr>
        <xdr:cNvPicPr>
          <a:picLocks noChangeAspect="1"/>
        </xdr:cNvPicPr>
      </xdr:nvPicPr>
      <xdr:blipFill>
        <a:blip xmlns:r="http://schemas.openxmlformats.org/officeDocument/2006/relationships" r:embed="rId13"/>
        <a:stretch>
          <a:fillRect/>
        </a:stretch>
      </xdr:blipFill>
      <xdr:spPr>
        <a:xfrm>
          <a:off x="215513210" y="12191005"/>
          <a:ext cx="3781425" cy="1735105"/>
        </a:xfrm>
        <a:prstGeom prst="rect">
          <a:avLst/>
        </a:prstGeom>
      </xdr:spPr>
    </xdr:pic>
    <xdr:clientData/>
  </xdr:oneCellAnchor>
  <xdr:oneCellAnchor>
    <xdr:from>
      <xdr:col>88</xdr:col>
      <xdr:colOff>592316</xdr:colOff>
      <xdr:row>65</xdr:row>
      <xdr:rowOff>409575</xdr:rowOff>
    </xdr:from>
    <xdr:ext cx="4010500" cy="2235013"/>
    <xdr:pic>
      <xdr:nvPicPr>
        <xdr:cNvPr id="18" name="Imagen 17">
          <a:extLst>
            <a:ext uri="{FF2B5EF4-FFF2-40B4-BE49-F238E27FC236}">
              <a16:creationId xmlns:a16="http://schemas.microsoft.com/office/drawing/2014/main" id="{89F6F651-253D-40BF-8F99-2CB740B7E9D7}"/>
            </a:ext>
          </a:extLst>
        </xdr:cNvPr>
        <xdr:cNvPicPr>
          <a:picLocks noChangeAspect="1"/>
        </xdr:cNvPicPr>
      </xdr:nvPicPr>
      <xdr:blipFill>
        <a:blip xmlns:r="http://schemas.openxmlformats.org/officeDocument/2006/relationships" r:embed="rId14"/>
        <a:stretch>
          <a:fillRect/>
        </a:stretch>
      </xdr:blipFill>
      <xdr:spPr>
        <a:xfrm>
          <a:off x="215466791" y="12573000"/>
          <a:ext cx="4010500" cy="2235013"/>
        </a:xfrm>
        <a:prstGeom prst="rect">
          <a:avLst/>
        </a:prstGeom>
      </xdr:spPr>
    </xdr:pic>
    <xdr:clientData/>
  </xdr:oneCellAnchor>
  <xdr:oneCellAnchor>
    <xdr:from>
      <xdr:col>88</xdr:col>
      <xdr:colOff>419101</xdr:colOff>
      <xdr:row>66</xdr:row>
      <xdr:rowOff>485587</xdr:rowOff>
    </xdr:from>
    <xdr:ext cx="4305300" cy="2394324"/>
    <xdr:pic>
      <xdr:nvPicPr>
        <xdr:cNvPr id="19" name="Imagen 18">
          <a:extLst>
            <a:ext uri="{FF2B5EF4-FFF2-40B4-BE49-F238E27FC236}">
              <a16:creationId xmlns:a16="http://schemas.microsoft.com/office/drawing/2014/main" id="{0D91DF56-6252-41E7-9CF4-7F11A69B87F6}"/>
            </a:ext>
          </a:extLst>
        </xdr:cNvPr>
        <xdr:cNvPicPr>
          <a:picLocks noChangeAspect="1"/>
        </xdr:cNvPicPr>
      </xdr:nvPicPr>
      <xdr:blipFill>
        <a:blip xmlns:r="http://schemas.openxmlformats.org/officeDocument/2006/relationships" r:embed="rId15"/>
        <a:stretch>
          <a:fillRect/>
        </a:stretch>
      </xdr:blipFill>
      <xdr:spPr>
        <a:xfrm>
          <a:off x="215293576" y="12763312"/>
          <a:ext cx="4305300" cy="2394324"/>
        </a:xfrm>
        <a:prstGeom prst="rect">
          <a:avLst/>
        </a:prstGeom>
      </xdr:spPr>
    </xdr:pic>
    <xdr:clientData/>
  </xdr:oneCellAnchor>
  <xdr:oneCellAnchor>
    <xdr:from>
      <xdr:col>88</xdr:col>
      <xdr:colOff>186480</xdr:colOff>
      <xdr:row>34</xdr:row>
      <xdr:rowOff>373715</xdr:rowOff>
    </xdr:from>
    <xdr:ext cx="4725058" cy="2024343"/>
    <xdr:pic>
      <xdr:nvPicPr>
        <xdr:cNvPr id="20" name="Imagen 19">
          <a:extLst>
            <a:ext uri="{FF2B5EF4-FFF2-40B4-BE49-F238E27FC236}">
              <a16:creationId xmlns:a16="http://schemas.microsoft.com/office/drawing/2014/main" id="{23CD2C52-32FB-4F1C-A48B-50360105AC74}"/>
            </a:ext>
          </a:extLst>
        </xdr:cNvPr>
        <xdr:cNvPicPr>
          <a:picLocks noChangeAspect="1"/>
        </xdr:cNvPicPr>
      </xdr:nvPicPr>
      <xdr:blipFill>
        <a:blip xmlns:r="http://schemas.openxmlformats.org/officeDocument/2006/relationships" r:embed="rId16"/>
        <a:stretch>
          <a:fillRect/>
        </a:stretch>
      </xdr:blipFill>
      <xdr:spPr>
        <a:xfrm>
          <a:off x="215060955" y="6669740"/>
          <a:ext cx="4725058" cy="2024343"/>
        </a:xfrm>
        <a:prstGeom prst="rect">
          <a:avLst/>
        </a:prstGeom>
      </xdr:spPr>
    </xdr:pic>
    <xdr:clientData/>
  </xdr:oneCellAnchor>
  <xdr:oneCellAnchor>
    <xdr:from>
      <xdr:col>88</xdr:col>
      <xdr:colOff>626407</xdr:colOff>
      <xdr:row>59</xdr:row>
      <xdr:rowOff>169070</xdr:rowOff>
    </xdr:from>
    <xdr:ext cx="3838575" cy="1847989"/>
    <xdr:pic>
      <xdr:nvPicPr>
        <xdr:cNvPr id="21" name="Imagen 20">
          <a:extLst>
            <a:ext uri="{FF2B5EF4-FFF2-40B4-BE49-F238E27FC236}">
              <a16:creationId xmlns:a16="http://schemas.microsoft.com/office/drawing/2014/main" id="{113C3F53-4FD7-44D7-9102-BB73F89E7918}"/>
            </a:ext>
          </a:extLst>
        </xdr:cNvPr>
        <xdr:cNvPicPr>
          <a:picLocks noChangeAspect="1"/>
        </xdr:cNvPicPr>
      </xdr:nvPicPr>
      <xdr:blipFill>
        <a:blip xmlns:r="http://schemas.openxmlformats.org/officeDocument/2006/relationships" r:embed="rId17"/>
        <a:stretch>
          <a:fillRect/>
        </a:stretch>
      </xdr:blipFill>
      <xdr:spPr>
        <a:xfrm>
          <a:off x="215500882" y="11408570"/>
          <a:ext cx="3838575" cy="1847989"/>
        </a:xfrm>
        <a:prstGeom prst="rect">
          <a:avLst/>
        </a:prstGeom>
      </xdr:spPr>
    </xdr:pic>
    <xdr:clientData/>
  </xdr:oneCellAnchor>
  <xdr:oneCellAnchor>
    <xdr:from>
      <xdr:col>13</xdr:col>
      <xdr:colOff>666750</xdr:colOff>
      <xdr:row>60</xdr:row>
      <xdr:rowOff>0</xdr:rowOff>
    </xdr:from>
    <xdr:ext cx="5603" cy="354387"/>
    <xdr:pic>
      <xdr:nvPicPr>
        <xdr:cNvPr id="22" name="Imagen 4">
          <a:extLst>
            <a:ext uri="{FF2B5EF4-FFF2-40B4-BE49-F238E27FC236}">
              <a16:creationId xmlns:a16="http://schemas.microsoft.com/office/drawing/2014/main" id="{B8C0895D-F494-4C18-930C-68A09B809F5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726525" y="11430000"/>
          <a:ext cx="5603" cy="354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666750</xdr:colOff>
      <xdr:row>60</xdr:row>
      <xdr:rowOff>0</xdr:rowOff>
    </xdr:from>
    <xdr:ext cx="5603" cy="354387"/>
    <xdr:pic>
      <xdr:nvPicPr>
        <xdr:cNvPr id="23" name="Imagen 4">
          <a:extLst>
            <a:ext uri="{FF2B5EF4-FFF2-40B4-BE49-F238E27FC236}">
              <a16:creationId xmlns:a16="http://schemas.microsoft.com/office/drawing/2014/main" id="{471B4746-2F17-4DB6-9802-C7C250EBA71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726525" y="11430000"/>
          <a:ext cx="5603" cy="354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666750</xdr:colOff>
      <xdr:row>60</xdr:row>
      <xdr:rowOff>0</xdr:rowOff>
    </xdr:from>
    <xdr:ext cx="5603" cy="354387"/>
    <xdr:pic>
      <xdr:nvPicPr>
        <xdr:cNvPr id="24" name="Imagen 4">
          <a:extLst>
            <a:ext uri="{FF2B5EF4-FFF2-40B4-BE49-F238E27FC236}">
              <a16:creationId xmlns:a16="http://schemas.microsoft.com/office/drawing/2014/main" id="{A519CF92-1007-402F-A126-91C89EE1E80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726525" y="11430000"/>
          <a:ext cx="5603" cy="354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666750</xdr:colOff>
      <xdr:row>60</xdr:row>
      <xdr:rowOff>0</xdr:rowOff>
    </xdr:from>
    <xdr:ext cx="5603" cy="354387"/>
    <xdr:pic>
      <xdr:nvPicPr>
        <xdr:cNvPr id="25" name="Imagen 4">
          <a:extLst>
            <a:ext uri="{FF2B5EF4-FFF2-40B4-BE49-F238E27FC236}">
              <a16:creationId xmlns:a16="http://schemas.microsoft.com/office/drawing/2014/main" id="{78AD5148-CF60-4D90-A7E0-F1B0092B3DF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726525" y="11430000"/>
          <a:ext cx="5603" cy="354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666750</xdr:colOff>
      <xdr:row>60</xdr:row>
      <xdr:rowOff>0</xdr:rowOff>
    </xdr:from>
    <xdr:ext cx="5603" cy="354387"/>
    <xdr:pic>
      <xdr:nvPicPr>
        <xdr:cNvPr id="26" name="Imagen 4">
          <a:extLst>
            <a:ext uri="{FF2B5EF4-FFF2-40B4-BE49-F238E27FC236}">
              <a16:creationId xmlns:a16="http://schemas.microsoft.com/office/drawing/2014/main" id="{99D06160-2DA6-4FED-ACFC-E94E13565C7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726525" y="11430000"/>
          <a:ext cx="5603" cy="354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666750</xdr:colOff>
      <xdr:row>60</xdr:row>
      <xdr:rowOff>0</xdr:rowOff>
    </xdr:from>
    <xdr:ext cx="5603" cy="354387"/>
    <xdr:pic>
      <xdr:nvPicPr>
        <xdr:cNvPr id="27" name="Imagen 4">
          <a:extLst>
            <a:ext uri="{FF2B5EF4-FFF2-40B4-BE49-F238E27FC236}">
              <a16:creationId xmlns:a16="http://schemas.microsoft.com/office/drawing/2014/main" id="{9BAF0047-4E7D-4794-95B9-94EC987A5E8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726525" y="11430000"/>
          <a:ext cx="5603" cy="354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666750</xdr:colOff>
      <xdr:row>60</xdr:row>
      <xdr:rowOff>0</xdr:rowOff>
    </xdr:from>
    <xdr:ext cx="5603" cy="354387"/>
    <xdr:pic>
      <xdr:nvPicPr>
        <xdr:cNvPr id="28" name="Imagen 4">
          <a:extLst>
            <a:ext uri="{FF2B5EF4-FFF2-40B4-BE49-F238E27FC236}">
              <a16:creationId xmlns:a16="http://schemas.microsoft.com/office/drawing/2014/main" id="{2014C178-7C44-45E0-A5FD-F1B3C2EB8FD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726525" y="11430000"/>
          <a:ext cx="5603" cy="354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666750</xdr:colOff>
      <xdr:row>60</xdr:row>
      <xdr:rowOff>0</xdr:rowOff>
    </xdr:from>
    <xdr:ext cx="5603" cy="354387"/>
    <xdr:pic>
      <xdr:nvPicPr>
        <xdr:cNvPr id="29" name="Imagen 4">
          <a:extLst>
            <a:ext uri="{FF2B5EF4-FFF2-40B4-BE49-F238E27FC236}">
              <a16:creationId xmlns:a16="http://schemas.microsoft.com/office/drawing/2014/main" id="{78FDA558-71FC-440C-BD56-30F4227DF95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726525" y="11430000"/>
          <a:ext cx="5603" cy="354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666750</xdr:colOff>
      <xdr:row>60</xdr:row>
      <xdr:rowOff>0</xdr:rowOff>
    </xdr:from>
    <xdr:ext cx="5603" cy="354387"/>
    <xdr:pic>
      <xdr:nvPicPr>
        <xdr:cNvPr id="30" name="Imagen 4">
          <a:extLst>
            <a:ext uri="{FF2B5EF4-FFF2-40B4-BE49-F238E27FC236}">
              <a16:creationId xmlns:a16="http://schemas.microsoft.com/office/drawing/2014/main" id="{3798748E-8119-44ED-9520-9BFDB3F5E54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726525" y="11430000"/>
          <a:ext cx="5603" cy="354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666750</xdr:colOff>
      <xdr:row>60</xdr:row>
      <xdr:rowOff>0</xdr:rowOff>
    </xdr:from>
    <xdr:ext cx="5603" cy="354387"/>
    <xdr:pic>
      <xdr:nvPicPr>
        <xdr:cNvPr id="31" name="Imagen 4">
          <a:extLst>
            <a:ext uri="{FF2B5EF4-FFF2-40B4-BE49-F238E27FC236}">
              <a16:creationId xmlns:a16="http://schemas.microsoft.com/office/drawing/2014/main" id="{9310EF75-B6F6-4689-9B12-31B7727066B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726525" y="11430000"/>
          <a:ext cx="5603" cy="354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666750</xdr:colOff>
      <xdr:row>60</xdr:row>
      <xdr:rowOff>0</xdr:rowOff>
    </xdr:from>
    <xdr:ext cx="5603" cy="354387"/>
    <xdr:pic>
      <xdr:nvPicPr>
        <xdr:cNvPr id="32" name="Imagen 4">
          <a:extLst>
            <a:ext uri="{FF2B5EF4-FFF2-40B4-BE49-F238E27FC236}">
              <a16:creationId xmlns:a16="http://schemas.microsoft.com/office/drawing/2014/main" id="{585E2111-3E0C-498C-9546-D5048C0D82C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726525" y="11430000"/>
          <a:ext cx="5603" cy="354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666750</xdr:colOff>
      <xdr:row>60</xdr:row>
      <xdr:rowOff>0</xdr:rowOff>
    </xdr:from>
    <xdr:ext cx="5603" cy="354387"/>
    <xdr:pic>
      <xdr:nvPicPr>
        <xdr:cNvPr id="33" name="Imagen 4">
          <a:extLst>
            <a:ext uri="{FF2B5EF4-FFF2-40B4-BE49-F238E27FC236}">
              <a16:creationId xmlns:a16="http://schemas.microsoft.com/office/drawing/2014/main" id="{C4FEEA9C-F978-402C-9CA3-BCF7D1C6360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726525" y="11430000"/>
          <a:ext cx="5603" cy="354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88</xdr:col>
      <xdr:colOff>630892</xdr:colOff>
      <xdr:row>60</xdr:row>
      <xdr:rowOff>196963</xdr:rowOff>
    </xdr:from>
    <xdr:ext cx="3828571" cy="2346772"/>
    <xdr:pic>
      <xdr:nvPicPr>
        <xdr:cNvPr id="34" name="Imagen 33">
          <a:extLst>
            <a:ext uri="{FF2B5EF4-FFF2-40B4-BE49-F238E27FC236}">
              <a16:creationId xmlns:a16="http://schemas.microsoft.com/office/drawing/2014/main" id="{86301127-54B8-4D1D-953C-82EB0A23A7AE}"/>
            </a:ext>
          </a:extLst>
        </xdr:cNvPr>
        <xdr:cNvPicPr>
          <a:picLocks noChangeAspect="1"/>
        </xdr:cNvPicPr>
      </xdr:nvPicPr>
      <xdr:blipFill>
        <a:blip xmlns:r="http://schemas.openxmlformats.org/officeDocument/2006/relationships" r:embed="rId18"/>
        <a:stretch>
          <a:fillRect/>
        </a:stretch>
      </xdr:blipFill>
      <xdr:spPr>
        <a:xfrm>
          <a:off x="215505367" y="11617438"/>
          <a:ext cx="3828571" cy="2346772"/>
        </a:xfrm>
        <a:prstGeom prst="rect">
          <a:avLst/>
        </a:prstGeom>
      </xdr:spPr>
    </xdr:pic>
    <xdr:clientData/>
  </xdr:oneCellAnchor>
  <xdr:oneCellAnchor>
    <xdr:from>
      <xdr:col>12</xdr:col>
      <xdr:colOff>175565</xdr:colOff>
      <xdr:row>13</xdr:row>
      <xdr:rowOff>2986139</xdr:rowOff>
    </xdr:from>
    <xdr:ext cx="2868706" cy="569094"/>
    <xdr:pic>
      <xdr:nvPicPr>
        <xdr:cNvPr id="35" name="Imagen 4">
          <a:extLst>
            <a:ext uri="{FF2B5EF4-FFF2-40B4-BE49-F238E27FC236}">
              <a16:creationId xmlns:a16="http://schemas.microsoft.com/office/drawing/2014/main" id="{74C9416C-F14A-4572-8A27-AAA327FFED3C}"/>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015640" y="2662289"/>
          <a:ext cx="2868706" cy="569094"/>
        </a:xfrm>
        <a:prstGeom prst="rect">
          <a:avLst/>
        </a:prstGeom>
        <a:noFill/>
        <a:ln>
          <a:noFill/>
        </a:ln>
      </xdr:spPr>
    </xdr:pic>
    <xdr:clientData/>
  </xdr:oneCellAnchor>
  <xdr:oneCellAnchor>
    <xdr:from>
      <xdr:col>88</xdr:col>
      <xdr:colOff>201084</xdr:colOff>
      <xdr:row>12</xdr:row>
      <xdr:rowOff>507999</xdr:rowOff>
    </xdr:from>
    <xdr:ext cx="4699000" cy="2365376"/>
    <xdr:pic>
      <xdr:nvPicPr>
        <xdr:cNvPr id="36" name="Imagen 35">
          <a:extLst>
            <a:ext uri="{FF2B5EF4-FFF2-40B4-BE49-F238E27FC236}">
              <a16:creationId xmlns:a16="http://schemas.microsoft.com/office/drawing/2014/main" id="{C33FA5CF-0C71-4641-BC8F-42370B438DE1}"/>
            </a:ext>
          </a:extLst>
        </xdr:cNvPr>
        <xdr:cNvPicPr>
          <a:picLocks noChangeAspect="1"/>
        </xdr:cNvPicPr>
      </xdr:nvPicPr>
      <xdr:blipFill>
        <a:blip xmlns:r="http://schemas.openxmlformats.org/officeDocument/2006/relationships" r:embed="rId19"/>
        <a:stretch>
          <a:fillRect/>
        </a:stretch>
      </xdr:blipFill>
      <xdr:spPr>
        <a:xfrm>
          <a:off x="215075559" y="2479674"/>
          <a:ext cx="4699000" cy="2365376"/>
        </a:xfrm>
        <a:prstGeom prst="rect">
          <a:avLst/>
        </a:prstGeom>
      </xdr:spPr>
    </xdr:pic>
    <xdr:clientData/>
  </xdr:oneCellAnchor>
  <xdr:oneCellAnchor>
    <xdr:from>
      <xdr:col>88</xdr:col>
      <xdr:colOff>252756</xdr:colOff>
      <xdr:row>13</xdr:row>
      <xdr:rowOff>752661</xdr:rowOff>
    </xdr:from>
    <xdr:ext cx="4562661" cy="2372598"/>
    <xdr:pic>
      <xdr:nvPicPr>
        <xdr:cNvPr id="37" name="Imagen 36">
          <a:extLst>
            <a:ext uri="{FF2B5EF4-FFF2-40B4-BE49-F238E27FC236}">
              <a16:creationId xmlns:a16="http://schemas.microsoft.com/office/drawing/2014/main" id="{7EBE1796-2E62-4DEE-BE7F-685D08B0F2E7}"/>
            </a:ext>
          </a:extLst>
        </xdr:cNvPr>
        <xdr:cNvPicPr>
          <a:picLocks noChangeAspect="1"/>
        </xdr:cNvPicPr>
      </xdr:nvPicPr>
      <xdr:blipFill>
        <a:blip xmlns:r="http://schemas.openxmlformats.org/officeDocument/2006/relationships" r:embed="rId20"/>
        <a:stretch>
          <a:fillRect/>
        </a:stretch>
      </xdr:blipFill>
      <xdr:spPr>
        <a:xfrm>
          <a:off x="215127231" y="2667186"/>
          <a:ext cx="4562661" cy="2372598"/>
        </a:xfrm>
        <a:prstGeom prst="rect">
          <a:avLst/>
        </a:prstGeom>
      </xdr:spPr>
    </xdr:pic>
    <xdr:clientData/>
  </xdr:oneCellAnchor>
  <xdr:oneCellAnchor>
    <xdr:from>
      <xdr:col>88</xdr:col>
      <xdr:colOff>485588</xdr:colOff>
      <xdr:row>91</xdr:row>
      <xdr:rowOff>273608</xdr:rowOff>
    </xdr:from>
    <xdr:ext cx="4127498" cy="2225303"/>
    <xdr:pic>
      <xdr:nvPicPr>
        <xdr:cNvPr id="38" name="Imagen 37">
          <a:extLst>
            <a:ext uri="{FF2B5EF4-FFF2-40B4-BE49-F238E27FC236}">
              <a16:creationId xmlns:a16="http://schemas.microsoft.com/office/drawing/2014/main" id="{1215E576-C867-4E9D-A98C-42A870A9F915}"/>
            </a:ext>
          </a:extLst>
        </xdr:cNvPr>
        <xdr:cNvPicPr>
          <a:picLocks noChangeAspect="1"/>
        </xdr:cNvPicPr>
      </xdr:nvPicPr>
      <xdr:blipFill>
        <a:blip xmlns:r="http://schemas.openxmlformats.org/officeDocument/2006/relationships" r:embed="rId21"/>
        <a:stretch>
          <a:fillRect/>
        </a:stretch>
      </xdr:blipFill>
      <xdr:spPr>
        <a:xfrm>
          <a:off x="215360063" y="17523383"/>
          <a:ext cx="4127498" cy="2225303"/>
        </a:xfrm>
        <a:prstGeom prst="rect">
          <a:avLst/>
        </a:prstGeom>
      </xdr:spPr>
    </xdr:pic>
    <xdr:clientData/>
  </xdr:oneCellAnchor>
  <xdr:oneCellAnchor>
    <xdr:from>
      <xdr:col>88</xdr:col>
      <xdr:colOff>328082</xdr:colOff>
      <xdr:row>92</xdr:row>
      <xdr:rowOff>331818</xdr:rowOff>
    </xdr:from>
    <xdr:ext cx="4476750" cy="2514475"/>
    <xdr:pic>
      <xdr:nvPicPr>
        <xdr:cNvPr id="39" name="Imagen 38">
          <a:extLst>
            <a:ext uri="{FF2B5EF4-FFF2-40B4-BE49-F238E27FC236}">
              <a16:creationId xmlns:a16="http://schemas.microsoft.com/office/drawing/2014/main" id="{B36F1B44-1180-45E7-924C-740656631F9F}"/>
            </a:ext>
          </a:extLst>
        </xdr:cNvPr>
        <xdr:cNvPicPr>
          <a:picLocks noChangeAspect="1"/>
        </xdr:cNvPicPr>
      </xdr:nvPicPr>
      <xdr:blipFill>
        <a:blip xmlns:r="http://schemas.openxmlformats.org/officeDocument/2006/relationships" r:embed="rId22"/>
        <a:stretch>
          <a:fillRect/>
        </a:stretch>
      </xdr:blipFill>
      <xdr:spPr>
        <a:xfrm>
          <a:off x="215202557" y="17714943"/>
          <a:ext cx="4476750" cy="2514475"/>
        </a:xfrm>
        <a:prstGeom prst="rect">
          <a:avLst/>
        </a:prstGeom>
      </xdr:spPr>
    </xdr:pic>
    <xdr:clientData/>
  </xdr:oneCellAnchor>
  <xdr:oneCellAnchor>
    <xdr:from>
      <xdr:col>88</xdr:col>
      <xdr:colOff>352984</xdr:colOff>
      <xdr:row>95</xdr:row>
      <xdr:rowOff>323470</xdr:rowOff>
    </xdr:from>
    <xdr:ext cx="4550834" cy="2601265"/>
    <xdr:pic>
      <xdr:nvPicPr>
        <xdr:cNvPr id="40" name="Imagen 39">
          <a:extLst>
            <a:ext uri="{FF2B5EF4-FFF2-40B4-BE49-F238E27FC236}">
              <a16:creationId xmlns:a16="http://schemas.microsoft.com/office/drawing/2014/main" id="{04439889-C14A-45DB-ABAC-ADAA0DE3814B}"/>
            </a:ext>
          </a:extLst>
        </xdr:cNvPr>
        <xdr:cNvPicPr>
          <a:picLocks noChangeAspect="1"/>
        </xdr:cNvPicPr>
      </xdr:nvPicPr>
      <xdr:blipFill>
        <a:blip xmlns:r="http://schemas.openxmlformats.org/officeDocument/2006/relationships" r:embed="rId23"/>
        <a:stretch>
          <a:fillRect/>
        </a:stretch>
      </xdr:blipFill>
      <xdr:spPr>
        <a:xfrm>
          <a:off x="215227459" y="18287620"/>
          <a:ext cx="4550834" cy="2601265"/>
        </a:xfrm>
        <a:prstGeom prst="rect">
          <a:avLst/>
        </a:prstGeom>
      </xdr:spPr>
    </xdr:pic>
    <xdr:clientData/>
  </xdr:oneCellAnchor>
  <xdr:oneCellAnchor>
    <xdr:from>
      <xdr:col>88</xdr:col>
      <xdr:colOff>286372</xdr:colOff>
      <xdr:row>94</xdr:row>
      <xdr:rowOff>252319</xdr:rowOff>
    </xdr:from>
    <xdr:ext cx="4512833" cy="2089709"/>
    <xdr:pic>
      <xdr:nvPicPr>
        <xdr:cNvPr id="41" name="Imagen 40">
          <a:extLst>
            <a:ext uri="{FF2B5EF4-FFF2-40B4-BE49-F238E27FC236}">
              <a16:creationId xmlns:a16="http://schemas.microsoft.com/office/drawing/2014/main" id="{3B7CD391-E92D-49F4-82A6-604DD72050DA}"/>
            </a:ext>
          </a:extLst>
        </xdr:cNvPr>
        <xdr:cNvPicPr>
          <a:picLocks noChangeAspect="1"/>
        </xdr:cNvPicPr>
      </xdr:nvPicPr>
      <xdr:blipFill>
        <a:blip xmlns:r="http://schemas.openxmlformats.org/officeDocument/2006/relationships" r:embed="rId24"/>
        <a:stretch>
          <a:fillRect/>
        </a:stretch>
      </xdr:blipFill>
      <xdr:spPr>
        <a:xfrm>
          <a:off x="215160847" y="18102169"/>
          <a:ext cx="4512833" cy="2089709"/>
        </a:xfrm>
        <a:prstGeom prst="rect">
          <a:avLst/>
        </a:prstGeom>
      </xdr:spPr>
    </xdr:pic>
    <xdr:clientData/>
  </xdr:oneCellAnchor>
  <xdr:oneCellAnchor>
    <xdr:from>
      <xdr:col>88</xdr:col>
      <xdr:colOff>775698</xdr:colOff>
      <xdr:row>97</xdr:row>
      <xdr:rowOff>115171</xdr:rowOff>
    </xdr:from>
    <xdr:ext cx="3595220" cy="2036358"/>
    <xdr:pic>
      <xdr:nvPicPr>
        <xdr:cNvPr id="42" name="Imagen 41">
          <a:extLst>
            <a:ext uri="{FF2B5EF4-FFF2-40B4-BE49-F238E27FC236}">
              <a16:creationId xmlns:a16="http://schemas.microsoft.com/office/drawing/2014/main" id="{850EAA1C-F62C-46C7-B2AF-0D4D14D71442}"/>
            </a:ext>
          </a:extLst>
        </xdr:cNvPr>
        <xdr:cNvPicPr>
          <a:picLocks noChangeAspect="1"/>
        </xdr:cNvPicPr>
      </xdr:nvPicPr>
      <xdr:blipFill>
        <a:blip xmlns:r="http://schemas.openxmlformats.org/officeDocument/2006/relationships" r:embed="rId25"/>
        <a:stretch>
          <a:fillRect/>
        </a:stretch>
      </xdr:blipFill>
      <xdr:spPr>
        <a:xfrm>
          <a:off x="215650173" y="18593671"/>
          <a:ext cx="3595220" cy="2036358"/>
        </a:xfrm>
        <a:prstGeom prst="rect">
          <a:avLst/>
        </a:prstGeom>
      </xdr:spPr>
    </xdr:pic>
    <xdr:clientData/>
  </xdr:oneCellAnchor>
  <xdr:oneCellAnchor>
    <xdr:from>
      <xdr:col>88</xdr:col>
      <xdr:colOff>456952</xdr:colOff>
      <xdr:row>93</xdr:row>
      <xdr:rowOff>450724</xdr:rowOff>
    </xdr:from>
    <xdr:ext cx="4383657" cy="2160247"/>
    <xdr:pic>
      <xdr:nvPicPr>
        <xdr:cNvPr id="43" name="Imagen 42">
          <a:extLst>
            <a:ext uri="{FF2B5EF4-FFF2-40B4-BE49-F238E27FC236}">
              <a16:creationId xmlns:a16="http://schemas.microsoft.com/office/drawing/2014/main" id="{CACC3ABC-D764-4B63-A0DF-AD6FB0C0E1B5}"/>
            </a:ext>
          </a:extLst>
        </xdr:cNvPr>
        <xdr:cNvPicPr>
          <a:picLocks noChangeAspect="1"/>
        </xdr:cNvPicPr>
      </xdr:nvPicPr>
      <xdr:blipFill>
        <a:blip xmlns:r="http://schemas.openxmlformats.org/officeDocument/2006/relationships" r:embed="rId26"/>
        <a:stretch>
          <a:fillRect/>
        </a:stretch>
      </xdr:blipFill>
      <xdr:spPr>
        <a:xfrm>
          <a:off x="215331427" y="17910049"/>
          <a:ext cx="4383657" cy="2160247"/>
        </a:xfrm>
        <a:prstGeom prst="rect">
          <a:avLst/>
        </a:prstGeom>
      </xdr:spPr>
    </xdr:pic>
    <xdr:clientData/>
  </xdr:oneCellAnchor>
  <xdr:oneCellAnchor>
    <xdr:from>
      <xdr:col>88</xdr:col>
      <xdr:colOff>364066</xdr:colOff>
      <xdr:row>96</xdr:row>
      <xdr:rowOff>461931</xdr:rowOff>
    </xdr:from>
    <xdr:ext cx="4430183" cy="2742951"/>
    <xdr:pic>
      <xdr:nvPicPr>
        <xdr:cNvPr id="44" name="Imagen 43">
          <a:extLst>
            <a:ext uri="{FF2B5EF4-FFF2-40B4-BE49-F238E27FC236}">
              <a16:creationId xmlns:a16="http://schemas.microsoft.com/office/drawing/2014/main" id="{1CB7B696-BE74-4A92-9FB7-D86640DD35BA}"/>
            </a:ext>
          </a:extLst>
        </xdr:cNvPr>
        <xdr:cNvPicPr>
          <a:picLocks noChangeAspect="1"/>
        </xdr:cNvPicPr>
      </xdr:nvPicPr>
      <xdr:blipFill>
        <a:blip xmlns:r="http://schemas.openxmlformats.org/officeDocument/2006/relationships" r:embed="rId27"/>
        <a:stretch>
          <a:fillRect/>
        </a:stretch>
      </xdr:blipFill>
      <xdr:spPr>
        <a:xfrm>
          <a:off x="215238541" y="18483231"/>
          <a:ext cx="4430183" cy="2742951"/>
        </a:xfrm>
        <a:prstGeom prst="rect">
          <a:avLst/>
        </a:prstGeom>
      </xdr:spPr>
    </xdr:pic>
    <xdr:clientData/>
  </xdr:oneCellAnchor>
  <xdr:oneCellAnchor>
    <xdr:from>
      <xdr:col>88</xdr:col>
      <xdr:colOff>402169</xdr:colOff>
      <xdr:row>90</xdr:row>
      <xdr:rowOff>541244</xdr:rowOff>
    </xdr:from>
    <xdr:ext cx="4282118" cy="2226607"/>
    <xdr:pic>
      <xdr:nvPicPr>
        <xdr:cNvPr id="45" name="Imagen 44">
          <a:extLst>
            <a:ext uri="{FF2B5EF4-FFF2-40B4-BE49-F238E27FC236}">
              <a16:creationId xmlns:a16="http://schemas.microsoft.com/office/drawing/2014/main" id="{6CC2C60D-5D06-45A9-8A84-C7C3B9FBF79E}"/>
            </a:ext>
          </a:extLst>
        </xdr:cNvPr>
        <xdr:cNvPicPr>
          <a:picLocks noChangeAspect="1"/>
        </xdr:cNvPicPr>
      </xdr:nvPicPr>
      <xdr:blipFill>
        <a:blip xmlns:r="http://schemas.openxmlformats.org/officeDocument/2006/relationships" r:embed="rId28"/>
        <a:stretch>
          <a:fillRect/>
        </a:stretch>
      </xdr:blipFill>
      <xdr:spPr>
        <a:xfrm>
          <a:off x="215276644" y="17333819"/>
          <a:ext cx="4282118" cy="2226607"/>
        </a:xfrm>
        <a:prstGeom prst="rect">
          <a:avLst/>
        </a:prstGeom>
      </xdr:spPr>
    </xdr:pic>
    <xdr:clientData/>
  </xdr:oneCellAnchor>
  <xdr:oneCellAnchor>
    <xdr:from>
      <xdr:col>88</xdr:col>
      <xdr:colOff>571690</xdr:colOff>
      <xdr:row>17</xdr:row>
      <xdr:rowOff>96573</xdr:rowOff>
    </xdr:from>
    <xdr:ext cx="4071748" cy="1741191"/>
    <xdr:pic>
      <xdr:nvPicPr>
        <xdr:cNvPr id="46" name="Imagen 45">
          <a:extLst>
            <a:ext uri="{FF2B5EF4-FFF2-40B4-BE49-F238E27FC236}">
              <a16:creationId xmlns:a16="http://schemas.microsoft.com/office/drawing/2014/main" id="{999EFC37-4DDC-4EF6-82AE-8D37796B1593}"/>
            </a:ext>
          </a:extLst>
        </xdr:cNvPr>
        <xdr:cNvPicPr>
          <a:picLocks noChangeAspect="1"/>
        </xdr:cNvPicPr>
      </xdr:nvPicPr>
      <xdr:blipFill>
        <a:blip xmlns:r="http://schemas.openxmlformats.org/officeDocument/2006/relationships" r:embed="rId29"/>
        <a:stretch>
          <a:fillRect/>
        </a:stretch>
      </xdr:blipFill>
      <xdr:spPr>
        <a:xfrm>
          <a:off x="215446165" y="3335073"/>
          <a:ext cx="4071748" cy="1741191"/>
        </a:xfrm>
        <a:prstGeom prst="rect">
          <a:avLst/>
        </a:prstGeom>
      </xdr:spPr>
    </xdr:pic>
    <xdr:clientData/>
  </xdr:oneCellAnchor>
  <xdr:oneCellAnchor>
    <xdr:from>
      <xdr:col>88</xdr:col>
      <xdr:colOff>488156</xdr:colOff>
      <xdr:row>16</xdr:row>
      <xdr:rowOff>148168</xdr:rowOff>
    </xdr:from>
    <xdr:ext cx="4250531" cy="1756832"/>
    <xdr:pic>
      <xdr:nvPicPr>
        <xdr:cNvPr id="47" name="Imagen 46">
          <a:extLst>
            <a:ext uri="{FF2B5EF4-FFF2-40B4-BE49-F238E27FC236}">
              <a16:creationId xmlns:a16="http://schemas.microsoft.com/office/drawing/2014/main" id="{75FAA047-E9CF-468B-8E79-A7405CC27218}"/>
            </a:ext>
          </a:extLst>
        </xdr:cNvPr>
        <xdr:cNvPicPr>
          <a:picLocks noChangeAspect="1"/>
        </xdr:cNvPicPr>
      </xdr:nvPicPr>
      <xdr:blipFill>
        <a:blip xmlns:r="http://schemas.openxmlformats.org/officeDocument/2006/relationships" r:embed="rId29"/>
        <a:stretch>
          <a:fillRect/>
        </a:stretch>
      </xdr:blipFill>
      <xdr:spPr>
        <a:xfrm>
          <a:off x="215362631" y="3196168"/>
          <a:ext cx="4250531" cy="1756832"/>
        </a:xfrm>
        <a:prstGeom prst="rect">
          <a:avLst/>
        </a:prstGeom>
      </xdr:spPr>
    </xdr:pic>
    <xdr:clientData/>
  </xdr:oneCellAnchor>
  <xdr:oneCellAnchor>
    <xdr:from>
      <xdr:col>88</xdr:col>
      <xdr:colOff>553448</xdr:colOff>
      <xdr:row>18</xdr:row>
      <xdr:rowOff>256493</xdr:rowOff>
    </xdr:from>
    <xdr:ext cx="4106333" cy="1917448"/>
    <xdr:pic>
      <xdr:nvPicPr>
        <xdr:cNvPr id="48" name="Imagen 47">
          <a:extLst>
            <a:ext uri="{FF2B5EF4-FFF2-40B4-BE49-F238E27FC236}">
              <a16:creationId xmlns:a16="http://schemas.microsoft.com/office/drawing/2014/main" id="{1C296168-2C67-4793-831A-6CA1FF778EAE}"/>
            </a:ext>
          </a:extLst>
        </xdr:cNvPr>
        <xdr:cNvPicPr>
          <a:picLocks noChangeAspect="1"/>
        </xdr:cNvPicPr>
      </xdr:nvPicPr>
      <xdr:blipFill>
        <a:blip xmlns:r="http://schemas.openxmlformats.org/officeDocument/2006/relationships" r:embed="rId30"/>
        <a:stretch>
          <a:fillRect/>
        </a:stretch>
      </xdr:blipFill>
      <xdr:spPr>
        <a:xfrm>
          <a:off x="215427923" y="3618818"/>
          <a:ext cx="4106333" cy="1917448"/>
        </a:xfrm>
        <a:prstGeom prst="rect">
          <a:avLst/>
        </a:prstGeom>
      </xdr:spPr>
    </xdr:pic>
    <xdr:clientData/>
  </xdr:oneCellAnchor>
  <xdr:oneCellAnchor>
    <xdr:from>
      <xdr:col>88</xdr:col>
      <xdr:colOff>661146</xdr:colOff>
      <xdr:row>20</xdr:row>
      <xdr:rowOff>203106</xdr:rowOff>
    </xdr:from>
    <xdr:ext cx="3922059" cy="1948424"/>
    <xdr:pic>
      <xdr:nvPicPr>
        <xdr:cNvPr id="49" name="Imagen 48">
          <a:extLst>
            <a:ext uri="{FF2B5EF4-FFF2-40B4-BE49-F238E27FC236}">
              <a16:creationId xmlns:a16="http://schemas.microsoft.com/office/drawing/2014/main" id="{C2230CFB-0475-4221-A4D2-A67FD9DA9D71}"/>
            </a:ext>
          </a:extLst>
        </xdr:cNvPr>
        <xdr:cNvPicPr>
          <a:picLocks noChangeAspect="1"/>
        </xdr:cNvPicPr>
      </xdr:nvPicPr>
      <xdr:blipFill>
        <a:blip xmlns:r="http://schemas.openxmlformats.org/officeDocument/2006/relationships" r:embed="rId29"/>
        <a:stretch>
          <a:fillRect/>
        </a:stretch>
      </xdr:blipFill>
      <xdr:spPr>
        <a:xfrm>
          <a:off x="215535621" y="4003581"/>
          <a:ext cx="3922059" cy="1948424"/>
        </a:xfrm>
        <a:prstGeom prst="rect">
          <a:avLst/>
        </a:prstGeom>
      </xdr:spPr>
    </xdr:pic>
    <xdr:clientData/>
  </xdr:oneCellAnchor>
  <xdr:oneCellAnchor>
    <xdr:from>
      <xdr:col>88</xdr:col>
      <xdr:colOff>741688</xdr:colOff>
      <xdr:row>19</xdr:row>
      <xdr:rowOff>181164</xdr:rowOff>
    </xdr:from>
    <xdr:ext cx="3690938" cy="1712630"/>
    <xdr:pic>
      <xdr:nvPicPr>
        <xdr:cNvPr id="50" name="Imagen 49">
          <a:extLst>
            <a:ext uri="{FF2B5EF4-FFF2-40B4-BE49-F238E27FC236}">
              <a16:creationId xmlns:a16="http://schemas.microsoft.com/office/drawing/2014/main" id="{13478DE6-F8D5-4312-9ADE-A6ACEB92241C}"/>
            </a:ext>
          </a:extLst>
        </xdr:cNvPr>
        <xdr:cNvPicPr>
          <a:picLocks noChangeAspect="1"/>
        </xdr:cNvPicPr>
      </xdr:nvPicPr>
      <xdr:blipFill>
        <a:blip xmlns:r="http://schemas.openxmlformats.org/officeDocument/2006/relationships" r:embed="rId29"/>
        <a:stretch>
          <a:fillRect/>
        </a:stretch>
      </xdr:blipFill>
      <xdr:spPr>
        <a:xfrm>
          <a:off x="215616163" y="3800664"/>
          <a:ext cx="3690938" cy="1712630"/>
        </a:xfrm>
        <a:prstGeom prst="rect">
          <a:avLst/>
        </a:prstGeom>
      </xdr:spPr>
    </xdr:pic>
    <xdr:clientData/>
  </xdr:oneCellAnchor>
  <xdr:oneCellAnchor>
    <xdr:from>
      <xdr:col>88</xdr:col>
      <xdr:colOff>662782</xdr:colOff>
      <xdr:row>24</xdr:row>
      <xdr:rowOff>236023</xdr:rowOff>
    </xdr:from>
    <xdr:ext cx="3735916" cy="1590535"/>
    <xdr:pic>
      <xdr:nvPicPr>
        <xdr:cNvPr id="51" name="Imagen 50">
          <a:extLst>
            <a:ext uri="{FF2B5EF4-FFF2-40B4-BE49-F238E27FC236}">
              <a16:creationId xmlns:a16="http://schemas.microsoft.com/office/drawing/2014/main" id="{133F2562-0F70-4608-B3A5-50A1AF393D80}"/>
            </a:ext>
          </a:extLst>
        </xdr:cNvPr>
        <xdr:cNvPicPr>
          <a:picLocks noChangeAspect="1"/>
        </xdr:cNvPicPr>
      </xdr:nvPicPr>
      <xdr:blipFill>
        <a:blip xmlns:r="http://schemas.openxmlformats.org/officeDocument/2006/relationships" r:embed="rId31"/>
        <a:stretch>
          <a:fillRect/>
        </a:stretch>
      </xdr:blipFill>
      <xdr:spPr>
        <a:xfrm>
          <a:off x="215537257" y="4760398"/>
          <a:ext cx="3735916" cy="1590535"/>
        </a:xfrm>
        <a:prstGeom prst="rect">
          <a:avLst/>
        </a:prstGeom>
      </xdr:spPr>
    </xdr:pic>
    <xdr:clientData/>
  </xdr:oneCellAnchor>
  <xdr:oneCellAnchor>
    <xdr:from>
      <xdr:col>88</xdr:col>
      <xdr:colOff>500061</xdr:colOff>
      <xdr:row>46</xdr:row>
      <xdr:rowOff>196259</xdr:rowOff>
    </xdr:from>
    <xdr:ext cx="3976689" cy="1675123"/>
    <xdr:pic>
      <xdr:nvPicPr>
        <xdr:cNvPr id="52" name="Imagen 51">
          <a:extLst>
            <a:ext uri="{FF2B5EF4-FFF2-40B4-BE49-F238E27FC236}">
              <a16:creationId xmlns:a16="http://schemas.microsoft.com/office/drawing/2014/main" id="{76613B65-1777-4CFB-8C08-721D98134CC1}"/>
            </a:ext>
          </a:extLst>
        </xdr:cNvPr>
        <xdr:cNvPicPr>
          <a:picLocks noChangeAspect="1"/>
        </xdr:cNvPicPr>
      </xdr:nvPicPr>
      <xdr:blipFill>
        <a:blip xmlns:r="http://schemas.openxmlformats.org/officeDocument/2006/relationships" r:embed="rId32"/>
        <a:stretch>
          <a:fillRect/>
        </a:stretch>
      </xdr:blipFill>
      <xdr:spPr>
        <a:xfrm>
          <a:off x="215374536" y="8949734"/>
          <a:ext cx="3976689" cy="1675123"/>
        </a:xfrm>
        <a:prstGeom prst="rect">
          <a:avLst/>
        </a:prstGeom>
      </xdr:spPr>
    </xdr:pic>
    <xdr:clientData/>
  </xdr:oneCellAnchor>
  <xdr:oneCellAnchor>
    <xdr:from>
      <xdr:col>88</xdr:col>
      <xdr:colOff>349248</xdr:colOff>
      <xdr:row>47</xdr:row>
      <xdr:rowOff>227231</xdr:rowOff>
    </xdr:from>
    <xdr:ext cx="4353722" cy="1946711"/>
    <xdr:pic>
      <xdr:nvPicPr>
        <xdr:cNvPr id="53" name="Imagen 52">
          <a:extLst>
            <a:ext uri="{FF2B5EF4-FFF2-40B4-BE49-F238E27FC236}">
              <a16:creationId xmlns:a16="http://schemas.microsoft.com/office/drawing/2014/main" id="{8508925E-97C5-43F7-B63C-44691A0CE08B}"/>
            </a:ext>
          </a:extLst>
        </xdr:cNvPr>
        <xdr:cNvPicPr>
          <a:picLocks noChangeAspect="1"/>
        </xdr:cNvPicPr>
      </xdr:nvPicPr>
      <xdr:blipFill>
        <a:blip xmlns:r="http://schemas.openxmlformats.org/officeDocument/2006/relationships" r:embed="rId33"/>
        <a:stretch>
          <a:fillRect/>
        </a:stretch>
      </xdr:blipFill>
      <xdr:spPr>
        <a:xfrm>
          <a:off x="215223723" y="9142631"/>
          <a:ext cx="4353722" cy="1946711"/>
        </a:xfrm>
        <a:prstGeom prst="rect">
          <a:avLst/>
        </a:prstGeom>
      </xdr:spPr>
    </xdr:pic>
    <xdr:clientData/>
  </xdr:oneCellAnchor>
  <xdr:oneCellAnchor>
    <xdr:from>
      <xdr:col>88</xdr:col>
      <xdr:colOff>357966</xdr:colOff>
      <xdr:row>52</xdr:row>
      <xdr:rowOff>169332</xdr:rowOff>
    </xdr:from>
    <xdr:ext cx="4478618" cy="2295961"/>
    <xdr:pic>
      <xdr:nvPicPr>
        <xdr:cNvPr id="54" name="Imagen 53">
          <a:extLst>
            <a:ext uri="{FF2B5EF4-FFF2-40B4-BE49-F238E27FC236}">
              <a16:creationId xmlns:a16="http://schemas.microsoft.com/office/drawing/2014/main" id="{95E70BF1-A78E-44E3-BE21-48003AB808B4}"/>
            </a:ext>
          </a:extLst>
        </xdr:cNvPr>
        <xdr:cNvPicPr>
          <a:picLocks noChangeAspect="1"/>
        </xdr:cNvPicPr>
      </xdr:nvPicPr>
      <xdr:blipFill>
        <a:blip xmlns:r="http://schemas.openxmlformats.org/officeDocument/2006/relationships" r:embed="rId34"/>
        <a:stretch>
          <a:fillRect/>
        </a:stretch>
      </xdr:blipFill>
      <xdr:spPr>
        <a:xfrm>
          <a:off x="215232441" y="10075332"/>
          <a:ext cx="4478618" cy="2295961"/>
        </a:xfrm>
        <a:prstGeom prst="rect">
          <a:avLst/>
        </a:prstGeom>
      </xdr:spPr>
    </xdr:pic>
    <xdr:clientData/>
  </xdr:oneCellAnchor>
  <xdr:oneCellAnchor>
    <xdr:from>
      <xdr:col>88</xdr:col>
      <xdr:colOff>558870</xdr:colOff>
      <xdr:row>53</xdr:row>
      <xdr:rowOff>102721</xdr:rowOff>
    </xdr:from>
    <xdr:ext cx="3901071" cy="1667808"/>
    <xdr:pic>
      <xdr:nvPicPr>
        <xdr:cNvPr id="55" name="Imagen 54">
          <a:extLst>
            <a:ext uri="{FF2B5EF4-FFF2-40B4-BE49-F238E27FC236}">
              <a16:creationId xmlns:a16="http://schemas.microsoft.com/office/drawing/2014/main" id="{7402C3E2-F95E-4655-8001-F71F2811B18B}"/>
            </a:ext>
          </a:extLst>
        </xdr:cNvPr>
        <xdr:cNvPicPr>
          <a:picLocks noChangeAspect="1"/>
        </xdr:cNvPicPr>
      </xdr:nvPicPr>
      <xdr:blipFill>
        <a:blip xmlns:r="http://schemas.openxmlformats.org/officeDocument/2006/relationships" r:embed="rId35"/>
        <a:stretch>
          <a:fillRect/>
        </a:stretch>
      </xdr:blipFill>
      <xdr:spPr>
        <a:xfrm>
          <a:off x="215433345" y="10199221"/>
          <a:ext cx="3901071" cy="1667808"/>
        </a:xfrm>
        <a:prstGeom prst="rect">
          <a:avLst/>
        </a:prstGeom>
      </xdr:spPr>
    </xdr:pic>
    <xdr:clientData/>
  </xdr:oneCellAnchor>
  <xdr:oneCellAnchor>
    <xdr:from>
      <xdr:col>88</xdr:col>
      <xdr:colOff>907677</xdr:colOff>
      <xdr:row>54</xdr:row>
      <xdr:rowOff>136338</xdr:rowOff>
    </xdr:from>
    <xdr:ext cx="3272738" cy="1723837"/>
    <xdr:pic>
      <xdr:nvPicPr>
        <xdr:cNvPr id="56" name="Imagen 55">
          <a:extLst>
            <a:ext uri="{FF2B5EF4-FFF2-40B4-BE49-F238E27FC236}">
              <a16:creationId xmlns:a16="http://schemas.microsoft.com/office/drawing/2014/main" id="{AD1F0295-D535-4B5F-BDA3-E2BD44E52361}"/>
            </a:ext>
          </a:extLst>
        </xdr:cNvPr>
        <xdr:cNvPicPr>
          <a:picLocks noChangeAspect="1"/>
        </xdr:cNvPicPr>
      </xdr:nvPicPr>
      <xdr:blipFill>
        <a:blip xmlns:r="http://schemas.openxmlformats.org/officeDocument/2006/relationships" r:embed="rId36"/>
        <a:stretch>
          <a:fillRect/>
        </a:stretch>
      </xdr:blipFill>
      <xdr:spPr>
        <a:xfrm>
          <a:off x="215782152" y="10423338"/>
          <a:ext cx="3272738" cy="1723837"/>
        </a:xfrm>
        <a:prstGeom prst="rect">
          <a:avLst/>
        </a:prstGeom>
      </xdr:spPr>
    </xdr:pic>
    <xdr:clientData/>
  </xdr:oneCellAnchor>
  <xdr:oneCellAnchor>
    <xdr:from>
      <xdr:col>88</xdr:col>
      <xdr:colOff>582705</xdr:colOff>
      <xdr:row>55</xdr:row>
      <xdr:rowOff>135194</xdr:rowOff>
    </xdr:from>
    <xdr:ext cx="3990540" cy="1724981"/>
    <xdr:pic>
      <xdr:nvPicPr>
        <xdr:cNvPr id="57" name="Imagen 56">
          <a:extLst>
            <a:ext uri="{FF2B5EF4-FFF2-40B4-BE49-F238E27FC236}">
              <a16:creationId xmlns:a16="http://schemas.microsoft.com/office/drawing/2014/main" id="{0ABE0818-3469-4D30-8863-CA8AD33C4109}"/>
            </a:ext>
          </a:extLst>
        </xdr:cNvPr>
        <xdr:cNvPicPr>
          <a:picLocks noChangeAspect="1"/>
        </xdr:cNvPicPr>
      </xdr:nvPicPr>
      <xdr:blipFill>
        <a:blip xmlns:r="http://schemas.openxmlformats.org/officeDocument/2006/relationships" r:embed="rId37"/>
        <a:stretch>
          <a:fillRect/>
        </a:stretch>
      </xdr:blipFill>
      <xdr:spPr>
        <a:xfrm>
          <a:off x="215457180" y="10612694"/>
          <a:ext cx="3990540" cy="1724981"/>
        </a:xfrm>
        <a:prstGeom prst="rect">
          <a:avLst/>
        </a:prstGeom>
      </xdr:spPr>
    </xdr:pic>
    <xdr:clientData/>
  </xdr:oneCellAnchor>
  <xdr:oneCellAnchor>
    <xdr:from>
      <xdr:col>88</xdr:col>
      <xdr:colOff>283332</xdr:colOff>
      <xdr:row>15</xdr:row>
      <xdr:rowOff>1206498</xdr:rowOff>
    </xdr:from>
    <xdr:ext cx="4532086" cy="2373843"/>
    <xdr:pic>
      <xdr:nvPicPr>
        <xdr:cNvPr id="58" name="Imagen 57">
          <a:extLst>
            <a:ext uri="{FF2B5EF4-FFF2-40B4-BE49-F238E27FC236}">
              <a16:creationId xmlns:a16="http://schemas.microsoft.com/office/drawing/2014/main" id="{5012A27A-EF79-49E3-A512-5644C8A0DF4B}"/>
            </a:ext>
          </a:extLst>
        </xdr:cNvPr>
        <xdr:cNvPicPr>
          <a:picLocks noChangeAspect="1"/>
        </xdr:cNvPicPr>
      </xdr:nvPicPr>
      <xdr:blipFill>
        <a:blip xmlns:r="http://schemas.openxmlformats.org/officeDocument/2006/relationships" r:embed="rId38"/>
        <a:stretch>
          <a:fillRect/>
        </a:stretch>
      </xdr:blipFill>
      <xdr:spPr>
        <a:xfrm>
          <a:off x="215157807" y="3044823"/>
          <a:ext cx="4532086" cy="2373843"/>
        </a:xfrm>
        <a:prstGeom prst="rect">
          <a:avLst/>
        </a:prstGeom>
      </xdr:spPr>
    </xdr:pic>
    <xdr:clientData/>
  </xdr:oneCellAnchor>
  <xdr:oneCellAnchor>
    <xdr:from>
      <xdr:col>88</xdr:col>
      <xdr:colOff>436563</xdr:colOff>
      <xdr:row>14</xdr:row>
      <xdr:rowOff>183885</xdr:rowOff>
    </xdr:from>
    <xdr:ext cx="4254499" cy="2364053"/>
    <xdr:pic>
      <xdr:nvPicPr>
        <xdr:cNvPr id="59" name="Imagen 58">
          <a:extLst>
            <a:ext uri="{FF2B5EF4-FFF2-40B4-BE49-F238E27FC236}">
              <a16:creationId xmlns:a16="http://schemas.microsoft.com/office/drawing/2014/main" id="{A4661E7F-1ECE-4CAC-86DD-DDC2B0914647}"/>
            </a:ext>
          </a:extLst>
        </xdr:cNvPr>
        <xdr:cNvPicPr>
          <a:picLocks noChangeAspect="1"/>
        </xdr:cNvPicPr>
      </xdr:nvPicPr>
      <xdr:blipFill>
        <a:blip xmlns:r="http://schemas.openxmlformats.org/officeDocument/2006/relationships" r:embed="rId39"/>
        <a:stretch>
          <a:fillRect/>
        </a:stretch>
      </xdr:blipFill>
      <xdr:spPr>
        <a:xfrm>
          <a:off x="215311038" y="2850885"/>
          <a:ext cx="4254499" cy="2364053"/>
        </a:xfrm>
        <a:prstGeom prst="rect">
          <a:avLst/>
        </a:prstGeom>
      </xdr:spPr>
    </xdr:pic>
    <xdr:clientData/>
  </xdr:oneCellAnchor>
  <xdr:oneCellAnchor>
    <xdr:from>
      <xdr:col>88</xdr:col>
      <xdr:colOff>309562</xdr:colOff>
      <xdr:row>62</xdr:row>
      <xdr:rowOff>208398</xdr:rowOff>
    </xdr:from>
    <xdr:ext cx="4491808" cy="2100013"/>
    <xdr:pic>
      <xdr:nvPicPr>
        <xdr:cNvPr id="60" name="Imagen 59">
          <a:extLst>
            <a:ext uri="{FF2B5EF4-FFF2-40B4-BE49-F238E27FC236}">
              <a16:creationId xmlns:a16="http://schemas.microsoft.com/office/drawing/2014/main" id="{AC3DF495-A3C3-4CB0-8267-563EF6DB615D}"/>
            </a:ext>
          </a:extLst>
        </xdr:cNvPr>
        <xdr:cNvPicPr>
          <a:picLocks noChangeAspect="1"/>
        </xdr:cNvPicPr>
      </xdr:nvPicPr>
      <xdr:blipFill>
        <a:blip xmlns:r="http://schemas.openxmlformats.org/officeDocument/2006/relationships" r:embed="rId40"/>
        <a:stretch>
          <a:fillRect/>
        </a:stretch>
      </xdr:blipFill>
      <xdr:spPr>
        <a:xfrm>
          <a:off x="215184037" y="12000348"/>
          <a:ext cx="4491808" cy="2100013"/>
        </a:xfrm>
        <a:prstGeom prst="rect">
          <a:avLst/>
        </a:prstGeom>
      </xdr:spPr>
    </xdr:pic>
    <xdr:clientData/>
  </xdr:oneCellAnchor>
  <xdr:oneCellAnchor>
    <xdr:from>
      <xdr:col>88</xdr:col>
      <xdr:colOff>440968</xdr:colOff>
      <xdr:row>82</xdr:row>
      <xdr:rowOff>291587</xdr:rowOff>
    </xdr:from>
    <xdr:ext cx="4433591" cy="2319384"/>
    <xdr:pic>
      <xdr:nvPicPr>
        <xdr:cNvPr id="61" name="Imagen 60">
          <a:extLst>
            <a:ext uri="{FF2B5EF4-FFF2-40B4-BE49-F238E27FC236}">
              <a16:creationId xmlns:a16="http://schemas.microsoft.com/office/drawing/2014/main" id="{7C0D9B62-BA49-4C7F-B774-56B3A183A357}"/>
            </a:ext>
          </a:extLst>
        </xdr:cNvPr>
        <xdr:cNvPicPr>
          <a:picLocks noChangeAspect="1"/>
        </xdr:cNvPicPr>
      </xdr:nvPicPr>
      <xdr:blipFill>
        <a:blip xmlns:r="http://schemas.openxmlformats.org/officeDocument/2006/relationships" r:embed="rId41"/>
        <a:stretch>
          <a:fillRect/>
        </a:stretch>
      </xdr:blipFill>
      <xdr:spPr>
        <a:xfrm>
          <a:off x="215315443" y="15807812"/>
          <a:ext cx="4433591" cy="2319384"/>
        </a:xfrm>
        <a:prstGeom prst="rect">
          <a:avLst/>
        </a:prstGeom>
      </xdr:spPr>
    </xdr:pic>
    <xdr:clientData/>
  </xdr:oneCellAnchor>
  <xdr:oneCellAnchor>
    <xdr:from>
      <xdr:col>88</xdr:col>
      <xdr:colOff>232209</xdr:colOff>
      <xdr:row>98</xdr:row>
      <xdr:rowOff>255245</xdr:rowOff>
    </xdr:from>
    <xdr:ext cx="4637897" cy="1907490"/>
    <xdr:pic>
      <xdr:nvPicPr>
        <xdr:cNvPr id="62" name="Imagen 61">
          <a:extLst>
            <a:ext uri="{FF2B5EF4-FFF2-40B4-BE49-F238E27FC236}">
              <a16:creationId xmlns:a16="http://schemas.microsoft.com/office/drawing/2014/main" id="{6D7AB176-8969-41F6-ACB8-000CFB0E717E}"/>
            </a:ext>
          </a:extLst>
        </xdr:cNvPr>
        <xdr:cNvPicPr>
          <a:picLocks noChangeAspect="1"/>
        </xdr:cNvPicPr>
      </xdr:nvPicPr>
      <xdr:blipFill>
        <a:blip xmlns:r="http://schemas.openxmlformats.org/officeDocument/2006/relationships" r:embed="rId42"/>
        <a:stretch>
          <a:fillRect/>
        </a:stretch>
      </xdr:blipFill>
      <xdr:spPr>
        <a:xfrm>
          <a:off x="215106684" y="18857570"/>
          <a:ext cx="4637897" cy="1907490"/>
        </a:xfrm>
        <a:prstGeom prst="rect">
          <a:avLst/>
        </a:prstGeom>
      </xdr:spPr>
    </xdr:pic>
    <xdr:clientData/>
  </xdr:oneCellAnchor>
  <xdr:oneCellAnchor>
    <xdr:from>
      <xdr:col>88</xdr:col>
      <xdr:colOff>289540</xdr:colOff>
      <xdr:row>100</xdr:row>
      <xdr:rowOff>1026582</xdr:rowOff>
    </xdr:from>
    <xdr:ext cx="4525877" cy="2783418"/>
    <xdr:pic>
      <xdr:nvPicPr>
        <xdr:cNvPr id="63" name="Imagen 62">
          <a:extLst>
            <a:ext uri="{FF2B5EF4-FFF2-40B4-BE49-F238E27FC236}">
              <a16:creationId xmlns:a16="http://schemas.microsoft.com/office/drawing/2014/main" id="{DDF4F4BE-6406-4183-98C6-70CB6B418E4F}"/>
            </a:ext>
          </a:extLst>
        </xdr:cNvPr>
        <xdr:cNvPicPr>
          <a:picLocks noChangeAspect="1"/>
        </xdr:cNvPicPr>
      </xdr:nvPicPr>
      <xdr:blipFill>
        <a:blip xmlns:r="http://schemas.openxmlformats.org/officeDocument/2006/relationships" r:embed="rId43"/>
        <a:stretch>
          <a:fillRect/>
        </a:stretch>
      </xdr:blipFill>
      <xdr:spPr>
        <a:xfrm>
          <a:off x="215164015" y="19238382"/>
          <a:ext cx="4525877" cy="2783418"/>
        </a:xfrm>
        <a:prstGeom prst="rect">
          <a:avLst/>
        </a:prstGeom>
      </xdr:spPr>
    </xdr:pic>
    <xdr:clientData/>
  </xdr:oneCellAnchor>
  <xdr:oneCellAnchor>
    <xdr:from>
      <xdr:col>88</xdr:col>
      <xdr:colOff>341031</xdr:colOff>
      <xdr:row>101</xdr:row>
      <xdr:rowOff>889000</xdr:rowOff>
    </xdr:from>
    <xdr:ext cx="4410885" cy="2977030"/>
    <xdr:pic>
      <xdr:nvPicPr>
        <xdr:cNvPr id="64" name="Imagen 63">
          <a:extLst>
            <a:ext uri="{FF2B5EF4-FFF2-40B4-BE49-F238E27FC236}">
              <a16:creationId xmlns:a16="http://schemas.microsoft.com/office/drawing/2014/main" id="{2AE515A9-9102-4205-A230-6D85E3741567}"/>
            </a:ext>
          </a:extLst>
        </xdr:cNvPr>
        <xdr:cNvPicPr>
          <a:picLocks noChangeAspect="1"/>
        </xdr:cNvPicPr>
      </xdr:nvPicPr>
      <xdr:blipFill>
        <a:blip xmlns:r="http://schemas.openxmlformats.org/officeDocument/2006/relationships" r:embed="rId44"/>
        <a:stretch>
          <a:fillRect/>
        </a:stretch>
      </xdr:blipFill>
      <xdr:spPr>
        <a:xfrm>
          <a:off x="215215506" y="19434175"/>
          <a:ext cx="4410885" cy="2977030"/>
        </a:xfrm>
        <a:prstGeom prst="rect">
          <a:avLst/>
        </a:prstGeom>
      </xdr:spPr>
    </xdr:pic>
    <xdr:clientData/>
  </xdr:oneCellAnchor>
  <xdr:oneCellAnchor>
    <xdr:from>
      <xdr:col>88</xdr:col>
      <xdr:colOff>389669</xdr:colOff>
      <xdr:row>102</xdr:row>
      <xdr:rowOff>243420</xdr:rowOff>
    </xdr:from>
    <xdr:ext cx="4289487" cy="1840873"/>
    <xdr:pic>
      <xdr:nvPicPr>
        <xdr:cNvPr id="65" name="Imagen 64">
          <a:extLst>
            <a:ext uri="{FF2B5EF4-FFF2-40B4-BE49-F238E27FC236}">
              <a16:creationId xmlns:a16="http://schemas.microsoft.com/office/drawing/2014/main" id="{AA6A7DAB-8774-4F67-BDF6-4C4859951ECF}"/>
            </a:ext>
          </a:extLst>
        </xdr:cNvPr>
        <xdr:cNvPicPr>
          <a:picLocks noChangeAspect="1"/>
        </xdr:cNvPicPr>
      </xdr:nvPicPr>
      <xdr:blipFill>
        <a:blip xmlns:r="http://schemas.openxmlformats.org/officeDocument/2006/relationships" r:embed="rId45"/>
        <a:stretch>
          <a:fillRect/>
        </a:stretch>
      </xdr:blipFill>
      <xdr:spPr>
        <a:xfrm>
          <a:off x="215264144" y="19617270"/>
          <a:ext cx="4289487" cy="1840873"/>
        </a:xfrm>
        <a:prstGeom prst="rect">
          <a:avLst/>
        </a:prstGeom>
      </xdr:spPr>
    </xdr:pic>
    <xdr:clientData/>
  </xdr:oneCellAnchor>
  <xdr:oneCellAnchor>
    <xdr:from>
      <xdr:col>88</xdr:col>
      <xdr:colOff>359283</xdr:colOff>
      <xdr:row>99</xdr:row>
      <xdr:rowOff>251510</xdr:rowOff>
    </xdr:from>
    <xdr:ext cx="4434345" cy="1877607"/>
    <xdr:pic>
      <xdr:nvPicPr>
        <xdr:cNvPr id="66" name="Imagen 65">
          <a:extLst>
            <a:ext uri="{FF2B5EF4-FFF2-40B4-BE49-F238E27FC236}">
              <a16:creationId xmlns:a16="http://schemas.microsoft.com/office/drawing/2014/main" id="{31E8E594-5221-4DFA-9D27-59764B39AEB7}"/>
            </a:ext>
          </a:extLst>
        </xdr:cNvPr>
        <xdr:cNvPicPr>
          <a:picLocks noChangeAspect="1"/>
        </xdr:cNvPicPr>
      </xdr:nvPicPr>
      <xdr:blipFill>
        <a:blip xmlns:r="http://schemas.openxmlformats.org/officeDocument/2006/relationships" r:embed="rId46"/>
        <a:stretch>
          <a:fillRect/>
        </a:stretch>
      </xdr:blipFill>
      <xdr:spPr>
        <a:xfrm>
          <a:off x="215233758" y="19053860"/>
          <a:ext cx="4434345" cy="1877607"/>
        </a:xfrm>
        <a:prstGeom prst="rect">
          <a:avLst/>
        </a:prstGeom>
      </xdr:spPr>
    </xdr:pic>
    <xdr:clientData/>
  </xdr:oneCellAnchor>
  <xdr:oneCellAnchor>
    <xdr:from>
      <xdr:col>88</xdr:col>
      <xdr:colOff>773206</xdr:colOff>
      <xdr:row>35</xdr:row>
      <xdr:rowOff>155016</xdr:rowOff>
    </xdr:from>
    <xdr:ext cx="3608916" cy="1671544"/>
    <xdr:pic>
      <xdr:nvPicPr>
        <xdr:cNvPr id="67" name="Imagen 66">
          <a:extLst>
            <a:ext uri="{FF2B5EF4-FFF2-40B4-BE49-F238E27FC236}">
              <a16:creationId xmlns:a16="http://schemas.microsoft.com/office/drawing/2014/main" id="{AB5ECE7F-5CB8-4D64-B74E-C6A002ABDC91}"/>
            </a:ext>
          </a:extLst>
        </xdr:cNvPr>
        <xdr:cNvPicPr>
          <a:picLocks noChangeAspect="1"/>
        </xdr:cNvPicPr>
      </xdr:nvPicPr>
      <xdr:blipFill>
        <a:blip xmlns:r="http://schemas.openxmlformats.org/officeDocument/2006/relationships" r:embed="rId47"/>
        <a:stretch>
          <a:fillRect/>
        </a:stretch>
      </xdr:blipFill>
      <xdr:spPr>
        <a:xfrm>
          <a:off x="215647681" y="6822516"/>
          <a:ext cx="3608916" cy="1671544"/>
        </a:xfrm>
        <a:prstGeom prst="rect">
          <a:avLst/>
        </a:prstGeom>
      </xdr:spPr>
    </xdr:pic>
    <xdr:clientData/>
  </xdr:oneCellAnchor>
  <xdr:oneCellAnchor>
    <xdr:from>
      <xdr:col>88</xdr:col>
      <xdr:colOff>500441</xdr:colOff>
      <xdr:row>37</xdr:row>
      <xdr:rowOff>264583</xdr:rowOff>
    </xdr:from>
    <xdr:ext cx="3870476" cy="1909358"/>
    <xdr:pic>
      <xdr:nvPicPr>
        <xdr:cNvPr id="68" name="Imagen 67">
          <a:extLst>
            <a:ext uri="{FF2B5EF4-FFF2-40B4-BE49-F238E27FC236}">
              <a16:creationId xmlns:a16="http://schemas.microsoft.com/office/drawing/2014/main" id="{88EE14FC-FFF2-41FF-B8A5-2DCEF30F84D2}"/>
            </a:ext>
          </a:extLst>
        </xdr:cNvPr>
        <xdr:cNvPicPr>
          <a:picLocks noChangeAspect="1"/>
        </xdr:cNvPicPr>
      </xdr:nvPicPr>
      <xdr:blipFill>
        <a:blip xmlns:r="http://schemas.openxmlformats.org/officeDocument/2006/relationships" r:embed="rId48"/>
        <a:stretch>
          <a:fillRect/>
        </a:stretch>
      </xdr:blipFill>
      <xdr:spPr>
        <a:xfrm>
          <a:off x="215374916" y="7236883"/>
          <a:ext cx="3870476" cy="1909358"/>
        </a:xfrm>
        <a:prstGeom prst="rect">
          <a:avLst/>
        </a:prstGeom>
      </xdr:spPr>
    </xdr:pic>
    <xdr:clientData/>
  </xdr:oneCellAnchor>
  <xdr:oneCellAnchor>
    <xdr:from>
      <xdr:col>88</xdr:col>
      <xdr:colOff>403413</xdr:colOff>
      <xdr:row>38</xdr:row>
      <xdr:rowOff>182794</xdr:rowOff>
    </xdr:from>
    <xdr:ext cx="4345780" cy="2293705"/>
    <xdr:pic>
      <xdr:nvPicPr>
        <xdr:cNvPr id="69" name="Imagen 68">
          <a:extLst>
            <a:ext uri="{FF2B5EF4-FFF2-40B4-BE49-F238E27FC236}">
              <a16:creationId xmlns:a16="http://schemas.microsoft.com/office/drawing/2014/main" id="{C4B39955-F62E-4FD6-88CE-8C76D5800E5E}"/>
            </a:ext>
          </a:extLst>
        </xdr:cNvPr>
        <xdr:cNvPicPr>
          <a:picLocks noChangeAspect="1"/>
        </xdr:cNvPicPr>
      </xdr:nvPicPr>
      <xdr:blipFill>
        <a:blip xmlns:r="http://schemas.openxmlformats.org/officeDocument/2006/relationships" r:embed="rId49"/>
        <a:stretch>
          <a:fillRect/>
        </a:stretch>
      </xdr:blipFill>
      <xdr:spPr>
        <a:xfrm>
          <a:off x="215277888" y="7421794"/>
          <a:ext cx="4345780" cy="2293705"/>
        </a:xfrm>
        <a:prstGeom prst="rect">
          <a:avLst/>
        </a:prstGeom>
      </xdr:spPr>
    </xdr:pic>
    <xdr:clientData/>
  </xdr:oneCellAnchor>
  <xdr:oneCellAnchor>
    <xdr:from>
      <xdr:col>88</xdr:col>
      <xdr:colOff>394082</xdr:colOff>
      <xdr:row>39</xdr:row>
      <xdr:rowOff>572898</xdr:rowOff>
    </xdr:from>
    <xdr:ext cx="4421645" cy="2307013"/>
    <xdr:pic>
      <xdr:nvPicPr>
        <xdr:cNvPr id="70" name="Imagen 69">
          <a:extLst>
            <a:ext uri="{FF2B5EF4-FFF2-40B4-BE49-F238E27FC236}">
              <a16:creationId xmlns:a16="http://schemas.microsoft.com/office/drawing/2014/main" id="{51329EEB-DF9F-4A8B-96D0-E9D45312F30B}"/>
            </a:ext>
          </a:extLst>
        </xdr:cNvPr>
        <xdr:cNvPicPr>
          <a:picLocks noChangeAspect="1"/>
        </xdr:cNvPicPr>
      </xdr:nvPicPr>
      <xdr:blipFill>
        <a:blip xmlns:r="http://schemas.openxmlformats.org/officeDocument/2006/relationships" r:embed="rId50"/>
        <a:stretch>
          <a:fillRect/>
        </a:stretch>
      </xdr:blipFill>
      <xdr:spPr>
        <a:xfrm>
          <a:off x="215268557" y="7621398"/>
          <a:ext cx="4421645" cy="2307013"/>
        </a:xfrm>
        <a:prstGeom prst="rect">
          <a:avLst/>
        </a:prstGeom>
      </xdr:spPr>
    </xdr:pic>
    <xdr:clientData/>
  </xdr:oneCellAnchor>
  <xdr:oneCellAnchor>
    <xdr:from>
      <xdr:col>88</xdr:col>
      <xdr:colOff>638735</xdr:colOff>
      <xdr:row>40</xdr:row>
      <xdr:rowOff>254935</xdr:rowOff>
    </xdr:from>
    <xdr:ext cx="3952175" cy="1818153"/>
    <xdr:pic>
      <xdr:nvPicPr>
        <xdr:cNvPr id="71" name="Imagen 70">
          <a:extLst>
            <a:ext uri="{FF2B5EF4-FFF2-40B4-BE49-F238E27FC236}">
              <a16:creationId xmlns:a16="http://schemas.microsoft.com/office/drawing/2014/main" id="{73CEA1CD-FF4E-4717-A884-B2183E9EFC27}"/>
            </a:ext>
          </a:extLst>
        </xdr:cNvPr>
        <xdr:cNvPicPr>
          <a:picLocks noChangeAspect="1"/>
        </xdr:cNvPicPr>
      </xdr:nvPicPr>
      <xdr:blipFill>
        <a:blip xmlns:r="http://schemas.openxmlformats.org/officeDocument/2006/relationships" r:embed="rId51"/>
        <a:stretch>
          <a:fillRect/>
        </a:stretch>
      </xdr:blipFill>
      <xdr:spPr>
        <a:xfrm>
          <a:off x="215513210" y="7808260"/>
          <a:ext cx="3952175" cy="1818153"/>
        </a:xfrm>
        <a:prstGeom prst="rect">
          <a:avLst/>
        </a:prstGeom>
      </xdr:spPr>
    </xdr:pic>
    <xdr:clientData/>
  </xdr:oneCellAnchor>
  <xdr:oneCellAnchor>
    <xdr:from>
      <xdr:col>88</xdr:col>
      <xdr:colOff>547687</xdr:colOff>
      <xdr:row>41</xdr:row>
      <xdr:rowOff>226218</xdr:rowOff>
    </xdr:from>
    <xdr:ext cx="4131469" cy="2037370"/>
    <xdr:pic>
      <xdr:nvPicPr>
        <xdr:cNvPr id="72" name="Imagen 71">
          <a:extLst>
            <a:ext uri="{FF2B5EF4-FFF2-40B4-BE49-F238E27FC236}">
              <a16:creationId xmlns:a16="http://schemas.microsoft.com/office/drawing/2014/main" id="{BFF6EE14-139C-4234-B59D-A4018E43D417}"/>
            </a:ext>
          </a:extLst>
        </xdr:cNvPr>
        <xdr:cNvPicPr>
          <a:picLocks noChangeAspect="1"/>
        </xdr:cNvPicPr>
      </xdr:nvPicPr>
      <xdr:blipFill>
        <a:blip xmlns:r="http://schemas.openxmlformats.org/officeDocument/2006/relationships" r:embed="rId52"/>
        <a:stretch>
          <a:fillRect/>
        </a:stretch>
      </xdr:blipFill>
      <xdr:spPr>
        <a:xfrm>
          <a:off x="215422162" y="7998618"/>
          <a:ext cx="4131469" cy="2037370"/>
        </a:xfrm>
        <a:prstGeom prst="rect">
          <a:avLst/>
        </a:prstGeom>
      </xdr:spPr>
    </xdr:pic>
    <xdr:clientData/>
  </xdr:oneCellAnchor>
  <xdr:oneCellAnchor>
    <xdr:from>
      <xdr:col>88</xdr:col>
      <xdr:colOff>295955</xdr:colOff>
      <xdr:row>42</xdr:row>
      <xdr:rowOff>175192</xdr:rowOff>
    </xdr:from>
    <xdr:ext cx="4560777" cy="2357337"/>
    <xdr:pic>
      <xdr:nvPicPr>
        <xdr:cNvPr id="73" name="Imagen 72">
          <a:extLst>
            <a:ext uri="{FF2B5EF4-FFF2-40B4-BE49-F238E27FC236}">
              <a16:creationId xmlns:a16="http://schemas.microsoft.com/office/drawing/2014/main" id="{87B5ABD5-68BB-4786-A757-C8ABD368FB6C}"/>
            </a:ext>
          </a:extLst>
        </xdr:cNvPr>
        <xdr:cNvPicPr>
          <a:picLocks noChangeAspect="1"/>
        </xdr:cNvPicPr>
      </xdr:nvPicPr>
      <xdr:blipFill>
        <a:blip xmlns:r="http://schemas.openxmlformats.org/officeDocument/2006/relationships" r:embed="rId53"/>
        <a:stretch>
          <a:fillRect/>
        </a:stretch>
      </xdr:blipFill>
      <xdr:spPr>
        <a:xfrm>
          <a:off x="215170430" y="8176192"/>
          <a:ext cx="4560777" cy="2357337"/>
        </a:xfrm>
        <a:prstGeom prst="rect">
          <a:avLst/>
        </a:prstGeom>
      </xdr:spPr>
    </xdr:pic>
    <xdr:clientData/>
  </xdr:oneCellAnchor>
  <xdr:oneCellAnchor>
    <xdr:from>
      <xdr:col>88</xdr:col>
      <xdr:colOff>279705</xdr:colOff>
      <xdr:row>36</xdr:row>
      <xdr:rowOff>592666</xdr:rowOff>
    </xdr:from>
    <xdr:ext cx="4556879" cy="2309657"/>
    <xdr:pic>
      <xdr:nvPicPr>
        <xdr:cNvPr id="74" name="Imagen 73">
          <a:extLst>
            <a:ext uri="{FF2B5EF4-FFF2-40B4-BE49-F238E27FC236}">
              <a16:creationId xmlns:a16="http://schemas.microsoft.com/office/drawing/2014/main" id="{047E37D7-72DD-40F5-A692-1CAE40C335D0}"/>
            </a:ext>
          </a:extLst>
        </xdr:cNvPr>
        <xdr:cNvPicPr>
          <a:picLocks noChangeAspect="1"/>
        </xdr:cNvPicPr>
      </xdr:nvPicPr>
      <xdr:blipFill>
        <a:blip xmlns:r="http://schemas.openxmlformats.org/officeDocument/2006/relationships" r:embed="rId54"/>
        <a:stretch>
          <a:fillRect/>
        </a:stretch>
      </xdr:blipFill>
      <xdr:spPr>
        <a:xfrm>
          <a:off x="215154180" y="7050616"/>
          <a:ext cx="4556879" cy="2309657"/>
        </a:xfrm>
        <a:prstGeom prst="rect">
          <a:avLst/>
        </a:prstGeom>
      </xdr:spPr>
    </xdr:pic>
    <xdr:clientData/>
  </xdr:oneCellAnchor>
  <xdr:twoCellAnchor>
    <xdr:from>
      <xdr:col>16</xdr:col>
      <xdr:colOff>76201</xdr:colOff>
      <xdr:row>58</xdr:row>
      <xdr:rowOff>2778</xdr:rowOff>
    </xdr:from>
    <xdr:to>
      <xdr:col>17</xdr:col>
      <xdr:colOff>4763</xdr:colOff>
      <xdr:row>58</xdr:row>
      <xdr:rowOff>2778</xdr:rowOff>
    </xdr:to>
    <xdr:sp macro="" textlink="">
      <xdr:nvSpPr>
        <xdr:cNvPr id="75" name="CuadroTexto 74">
          <a:extLst>
            <a:ext uri="{FF2B5EF4-FFF2-40B4-BE49-F238E27FC236}">
              <a16:creationId xmlns:a16="http://schemas.microsoft.com/office/drawing/2014/main" id="{CE4EA07D-32CC-411E-A12C-9C765FEDD72A}"/>
            </a:ext>
          </a:extLst>
        </xdr:cNvPr>
        <xdr:cNvSpPr txBox="1"/>
      </xdr:nvSpPr>
      <xdr:spPr>
        <a:xfrm>
          <a:off x="24298276" y="11051778"/>
          <a:ext cx="6048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FF0000"/>
              </a:solidFill>
            </a:rPr>
            <a:t>Diligenciar información</a:t>
          </a:r>
        </a:p>
      </xdr:txBody>
    </xdr:sp>
    <xdr:clientData/>
  </xdr:twoCellAnchor>
  <xdr:oneCellAnchor>
    <xdr:from>
      <xdr:col>88</xdr:col>
      <xdr:colOff>627530</xdr:colOff>
      <xdr:row>56</xdr:row>
      <xdr:rowOff>154078</xdr:rowOff>
    </xdr:from>
    <xdr:ext cx="3793191" cy="1818158"/>
    <xdr:pic>
      <xdr:nvPicPr>
        <xdr:cNvPr id="76" name="Imagen 75">
          <a:extLst>
            <a:ext uri="{FF2B5EF4-FFF2-40B4-BE49-F238E27FC236}">
              <a16:creationId xmlns:a16="http://schemas.microsoft.com/office/drawing/2014/main" id="{CFDA98E4-0B6B-4ECE-83F7-B62600D208E8}"/>
            </a:ext>
          </a:extLst>
        </xdr:cNvPr>
        <xdr:cNvPicPr>
          <a:picLocks noChangeAspect="1"/>
        </xdr:cNvPicPr>
      </xdr:nvPicPr>
      <xdr:blipFill>
        <a:blip xmlns:r="http://schemas.openxmlformats.org/officeDocument/2006/relationships" r:embed="rId55"/>
        <a:stretch>
          <a:fillRect/>
        </a:stretch>
      </xdr:blipFill>
      <xdr:spPr>
        <a:xfrm>
          <a:off x="215502005" y="10822078"/>
          <a:ext cx="3793191" cy="1818158"/>
        </a:xfrm>
        <a:prstGeom prst="rect">
          <a:avLst/>
        </a:prstGeom>
      </xdr:spPr>
    </xdr:pic>
    <xdr:clientData/>
  </xdr:oneCellAnchor>
  <xdr:oneCellAnchor>
    <xdr:from>
      <xdr:col>88</xdr:col>
      <xdr:colOff>549088</xdr:colOff>
      <xdr:row>57</xdr:row>
      <xdr:rowOff>245829</xdr:rowOff>
    </xdr:from>
    <xdr:ext cx="4123764" cy="2129817"/>
    <xdr:pic>
      <xdr:nvPicPr>
        <xdr:cNvPr id="77" name="Imagen 76">
          <a:extLst>
            <a:ext uri="{FF2B5EF4-FFF2-40B4-BE49-F238E27FC236}">
              <a16:creationId xmlns:a16="http://schemas.microsoft.com/office/drawing/2014/main" id="{FD3BA834-E0E4-4DFA-B0B0-184BB6D5AD41}"/>
            </a:ext>
          </a:extLst>
        </xdr:cNvPr>
        <xdr:cNvPicPr>
          <a:picLocks noChangeAspect="1"/>
        </xdr:cNvPicPr>
      </xdr:nvPicPr>
      <xdr:blipFill>
        <a:blip xmlns:r="http://schemas.openxmlformats.org/officeDocument/2006/relationships" r:embed="rId56"/>
        <a:stretch>
          <a:fillRect/>
        </a:stretch>
      </xdr:blipFill>
      <xdr:spPr>
        <a:xfrm>
          <a:off x="215423563" y="11047179"/>
          <a:ext cx="4123764" cy="2129817"/>
        </a:xfrm>
        <a:prstGeom prst="rect">
          <a:avLst/>
        </a:prstGeom>
      </xdr:spPr>
    </xdr:pic>
    <xdr:clientData/>
  </xdr:oneCellAnchor>
  <xdr:oneCellAnchor>
    <xdr:from>
      <xdr:col>88</xdr:col>
      <xdr:colOff>314666</xdr:colOff>
      <xdr:row>43</xdr:row>
      <xdr:rowOff>962703</xdr:rowOff>
    </xdr:from>
    <xdr:ext cx="4459741" cy="2399061"/>
    <xdr:pic>
      <xdr:nvPicPr>
        <xdr:cNvPr id="78" name="Imagen 77">
          <a:extLst>
            <a:ext uri="{FF2B5EF4-FFF2-40B4-BE49-F238E27FC236}">
              <a16:creationId xmlns:a16="http://schemas.microsoft.com/office/drawing/2014/main" id="{03EC22DD-BE0E-4BE4-B437-27D1330FD41E}"/>
            </a:ext>
          </a:extLst>
        </xdr:cNvPr>
        <xdr:cNvPicPr>
          <a:picLocks noChangeAspect="1"/>
        </xdr:cNvPicPr>
      </xdr:nvPicPr>
      <xdr:blipFill>
        <a:blip xmlns:r="http://schemas.openxmlformats.org/officeDocument/2006/relationships" r:embed="rId57"/>
        <a:stretch>
          <a:fillRect/>
        </a:stretch>
      </xdr:blipFill>
      <xdr:spPr>
        <a:xfrm>
          <a:off x="215189141" y="8382678"/>
          <a:ext cx="4459741" cy="2399061"/>
        </a:xfrm>
        <a:prstGeom prst="rect">
          <a:avLst/>
        </a:prstGeom>
      </xdr:spPr>
    </xdr:pic>
    <xdr:clientData/>
  </xdr:oneCellAnchor>
  <xdr:oneCellAnchor>
    <xdr:from>
      <xdr:col>88</xdr:col>
      <xdr:colOff>347382</xdr:colOff>
      <xdr:row>48</xdr:row>
      <xdr:rowOff>225518</xdr:rowOff>
    </xdr:from>
    <xdr:ext cx="4484451" cy="2542335"/>
    <xdr:pic>
      <xdr:nvPicPr>
        <xdr:cNvPr id="79" name="Imagen 78">
          <a:extLst>
            <a:ext uri="{FF2B5EF4-FFF2-40B4-BE49-F238E27FC236}">
              <a16:creationId xmlns:a16="http://schemas.microsoft.com/office/drawing/2014/main" id="{19864EB3-8447-421B-8BBE-C1C7F5AC60FB}"/>
            </a:ext>
          </a:extLst>
        </xdr:cNvPr>
        <xdr:cNvPicPr>
          <a:picLocks noChangeAspect="1"/>
        </xdr:cNvPicPr>
      </xdr:nvPicPr>
      <xdr:blipFill>
        <a:blip xmlns:r="http://schemas.openxmlformats.org/officeDocument/2006/relationships" r:embed="rId58"/>
        <a:stretch>
          <a:fillRect/>
        </a:stretch>
      </xdr:blipFill>
      <xdr:spPr>
        <a:xfrm>
          <a:off x="215221857" y="9331418"/>
          <a:ext cx="4484451" cy="2542335"/>
        </a:xfrm>
        <a:prstGeom prst="rect">
          <a:avLst/>
        </a:prstGeom>
      </xdr:spPr>
    </xdr:pic>
    <xdr:clientData/>
  </xdr:oneCellAnchor>
  <xdr:oneCellAnchor>
    <xdr:from>
      <xdr:col>88</xdr:col>
      <xdr:colOff>488157</xdr:colOff>
      <xdr:row>49</xdr:row>
      <xdr:rowOff>202406</xdr:rowOff>
    </xdr:from>
    <xdr:ext cx="4281492" cy="1881889"/>
    <xdr:pic>
      <xdr:nvPicPr>
        <xdr:cNvPr id="80" name="Imagen 79">
          <a:extLst>
            <a:ext uri="{FF2B5EF4-FFF2-40B4-BE49-F238E27FC236}">
              <a16:creationId xmlns:a16="http://schemas.microsoft.com/office/drawing/2014/main" id="{9051BDE7-9FEF-4D95-92DE-9F743169F3A0}"/>
            </a:ext>
          </a:extLst>
        </xdr:cNvPr>
        <xdr:cNvPicPr>
          <a:picLocks noChangeAspect="1"/>
        </xdr:cNvPicPr>
      </xdr:nvPicPr>
      <xdr:blipFill>
        <a:blip xmlns:r="http://schemas.openxmlformats.org/officeDocument/2006/relationships" r:embed="rId59"/>
        <a:stretch>
          <a:fillRect/>
        </a:stretch>
      </xdr:blipFill>
      <xdr:spPr>
        <a:xfrm>
          <a:off x="215362632" y="9527381"/>
          <a:ext cx="4281492" cy="1881889"/>
        </a:xfrm>
        <a:prstGeom prst="rect">
          <a:avLst/>
        </a:prstGeom>
      </xdr:spPr>
    </xdr:pic>
    <xdr:clientData/>
  </xdr:oneCellAnchor>
  <xdr:oneCellAnchor>
    <xdr:from>
      <xdr:col>88</xdr:col>
      <xdr:colOff>381000</xdr:colOff>
      <xdr:row>50</xdr:row>
      <xdr:rowOff>500062</xdr:rowOff>
    </xdr:from>
    <xdr:ext cx="4500563" cy="2278997"/>
    <xdr:pic>
      <xdr:nvPicPr>
        <xdr:cNvPr id="81" name="Imagen 80">
          <a:extLst>
            <a:ext uri="{FF2B5EF4-FFF2-40B4-BE49-F238E27FC236}">
              <a16:creationId xmlns:a16="http://schemas.microsoft.com/office/drawing/2014/main" id="{7AF24FC6-42AD-453E-A88D-EF5C7762BE41}"/>
            </a:ext>
          </a:extLst>
        </xdr:cNvPr>
        <xdr:cNvPicPr>
          <a:picLocks noChangeAspect="1"/>
        </xdr:cNvPicPr>
      </xdr:nvPicPr>
      <xdr:blipFill>
        <a:blip xmlns:r="http://schemas.openxmlformats.org/officeDocument/2006/relationships" r:embed="rId60"/>
        <a:stretch>
          <a:fillRect/>
        </a:stretch>
      </xdr:blipFill>
      <xdr:spPr>
        <a:xfrm>
          <a:off x="215255475" y="9720262"/>
          <a:ext cx="4500563" cy="2278997"/>
        </a:xfrm>
        <a:prstGeom prst="rect">
          <a:avLst/>
        </a:prstGeom>
      </xdr:spPr>
    </xdr:pic>
    <xdr:clientData/>
  </xdr:oneCellAnchor>
  <xdr:oneCellAnchor>
    <xdr:from>
      <xdr:col>88</xdr:col>
      <xdr:colOff>389271</xdr:colOff>
      <xdr:row>51</xdr:row>
      <xdr:rowOff>226217</xdr:rowOff>
    </xdr:from>
    <xdr:ext cx="4397041" cy="2014959"/>
    <xdr:pic>
      <xdr:nvPicPr>
        <xdr:cNvPr id="82" name="Imagen 81">
          <a:extLst>
            <a:ext uri="{FF2B5EF4-FFF2-40B4-BE49-F238E27FC236}">
              <a16:creationId xmlns:a16="http://schemas.microsoft.com/office/drawing/2014/main" id="{CA48CCA4-BE04-4FEF-87B6-D0C31A70A061}"/>
            </a:ext>
          </a:extLst>
        </xdr:cNvPr>
        <xdr:cNvPicPr>
          <a:picLocks noChangeAspect="1"/>
        </xdr:cNvPicPr>
      </xdr:nvPicPr>
      <xdr:blipFill>
        <a:blip xmlns:r="http://schemas.openxmlformats.org/officeDocument/2006/relationships" r:embed="rId61"/>
        <a:stretch>
          <a:fillRect/>
        </a:stretch>
      </xdr:blipFill>
      <xdr:spPr>
        <a:xfrm>
          <a:off x="215263746" y="9903617"/>
          <a:ext cx="4397041" cy="2014959"/>
        </a:xfrm>
        <a:prstGeom prst="rect">
          <a:avLst/>
        </a:prstGeom>
      </xdr:spPr>
    </xdr:pic>
    <xdr:clientData/>
  </xdr:oneCellAnchor>
  <xdr:oneCellAnchor>
    <xdr:from>
      <xdr:col>88</xdr:col>
      <xdr:colOff>214312</xdr:colOff>
      <xdr:row>103</xdr:row>
      <xdr:rowOff>369092</xdr:rowOff>
    </xdr:from>
    <xdr:ext cx="4733925" cy="1928114"/>
    <xdr:pic>
      <xdr:nvPicPr>
        <xdr:cNvPr id="83" name="Imagen 82">
          <a:extLst>
            <a:ext uri="{FF2B5EF4-FFF2-40B4-BE49-F238E27FC236}">
              <a16:creationId xmlns:a16="http://schemas.microsoft.com/office/drawing/2014/main" id="{970E66B9-942E-4BE4-A47A-51D4F7FA4B3E}"/>
            </a:ext>
          </a:extLst>
        </xdr:cNvPr>
        <xdr:cNvPicPr>
          <a:picLocks noChangeAspect="1"/>
        </xdr:cNvPicPr>
      </xdr:nvPicPr>
      <xdr:blipFill>
        <a:blip xmlns:r="http://schemas.openxmlformats.org/officeDocument/2006/relationships" r:embed="rId62"/>
        <a:stretch>
          <a:fillRect/>
        </a:stretch>
      </xdr:blipFill>
      <xdr:spPr>
        <a:xfrm>
          <a:off x="215088787" y="19809617"/>
          <a:ext cx="4733925" cy="1928114"/>
        </a:xfrm>
        <a:prstGeom prst="rect">
          <a:avLst/>
        </a:prstGeom>
      </xdr:spPr>
    </xdr:pic>
    <xdr:clientData/>
  </xdr:oneCellAnchor>
  <xdr:oneCellAnchor>
    <xdr:from>
      <xdr:col>88</xdr:col>
      <xdr:colOff>332672</xdr:colOff>
      <xdr:row>31</xdr:row>
      <xdr:rowOff>1129092</xdr:rowOff>
    </xdr:from>
    <xdr:ext cx="4488657" cy="2333526"/>
    <xdr:pic>
      <xdr:nvPicPr>
        <xdr:cNvPr id="84" name="Imagen 83">
          <a:extLst>
            <a:ext uri="{FF2B5EF4-FFF2-40B4-BE49-F238E27FC236}">
              <a16:creationId xmlns:a16="http://schemas.microsoft.com/office/drawing/2014/main" id="{6DBED51A-2B38-415B-8C2E-A5093DC63762}"/>
            </a:ext>
          </a:extLst>
        </xdr:cNvPr>
        <xdr:cNvPicPr>
          <a:picLocks noChangeAspect="1"/>
        </xdr:cNvPicPr>
      </xdr:nvPicPr>
      <xdr:blipFill>
        <a:blip xmlns:r="http://schemas.openxmlformats.org/officeDocument/2006/relationships" r:embed="rId63"/>
        <a:stretch>
          <a:fillRect/>
        </a:stretch>
      </xdr:blipFill>
      <xdr:spPr>
        <a:xfrm>
          <a:off x="215207147" y="6091617"/>
          <a:ext cx="4488657" cy="2333526"/>
        </a:xfrm>
        <a:prstGeom prst="rect">
          <a:avLst/>
        </a:prstGeom>
      </xdr:spPr>
    </xdr:pic>
    <xdr:clientData/>
  </xdr:oneCellAnchor>
  <xdr:oneCellAnchor>
    <xdr:from>
      <xdr:col>88</xdr:col>
      <xdr:colOff>665049</xdr:colOff>
      <xdr:row>32</xdr:row>
      <xdr:rowOff>180296</xdr:rowOff>
    </xdr:from>
    <xdr:ext cx="3990295" cy="1747116"/>
    <xdr:pic>
      <xdr:nvPicPr>
        <xdr:cNvPr id="85" name="Imagen 84">
          <a:extLst>
            <a:ext uri="{FF2B5EF4-FFF2-40B4-BE49-F238E27FC236}">
              <a16:creationId xmlns:a16="http://schemas.microsoft.com/office/drawing/2014/main" id="{F423ED48-0B96-4E8F-BA4F-0EB269AE6DAC}"/>
            </a:ext>
          </a:extLst>
        </xdr:cNvPr>
        <xdr:cNvPicPr>
          <a:picLocks noChangeAspect="1"/>
        </xdr:cNvPicPr>
      </xdr:nvPicPr>
      <xdr:blipFill>
        <a:blip xmlns:r="http://schemas.openxmlformats.org/officeDocument/2006/relationships" r:embed="rId64"/>
        <a:stretch>
          <a:fillRect/>
        </a:stretch>
      </xdr:blipFill>
      <xdr:spPr>
        <a:xfrm>
          <a:off x="215539524" y="6276296"/>
          <a:ext cx="3990295" cy="1747116"/>
        </a:xfrm>
        <a:prstGeom prst="rect">
          <a:avLst/>
        </a:prstGeom>
      </xdr:spPr>
    </xdr:pic>
    <xdr:clientData/>
  </xdr:oneCellAnchor>
  <xdr:oneCellAnchor>
    <xdr:from>
      <xdr:col>88</xdr:col>
      <xdr:colOff>458884</xdr:colOff>
      <xdr:row>61</xdr:row>
      <xdr:rowOff>226323</xdr:rowOff>
    </xdr:from>
    <xdr:ext cx="4223773" cy="2194148"/>
    <xdr:pic>
      <xdr:nvPicPr>
        <xdr:cNvPr id="86" name="Imagen 85">
          <a:extLst>
            <a:ext uri="{FF2B5EF4-FFF2-40B4-BE49-F238E27FC236}">
              <a16:creationId xmlns:a16="http://schemas.microsoft.com/office/drawing/2014/main" id="{C631CDCA-9F8A-4C54-935D-7A141FC336B5}"/>
            </a:ext>
          </a:extLst>
        </xdr:cNvPr>
        <xdr:cNvPicPr>
          <a:picLocks noChangeAspect="1"/>
        </xdr:cNvPicPr>
      </xdr:nvPicPr>
      <xdr:blipFill>
        <a:blip xmlns:r="http://schemas.openxmlformats.org/officeDocument/2006/relationships" r:embed="rId65"/>
        <a:stretch>
          <a:fillRect/>
        </a:stretch>
      </xdr:blipFill>
      <xdr:spPr>
        <a:xfrm>
          <a:off x="215333359" y="11808723"/>
          <a:ext cx="4223773" cy="2194148"/>
        </a:xfrm>
        <a:prstGeom prst="rect">
          <a:avLst/>
        </a:prstGeom>
      </xdr:spPr>
    </xdr:pic>
    <xdr:clientData/>
  </xdr:oneCellAnchor>
  <xdr:oneCellAnchor>
    <xdr:from>
      <xdr:col>88</xdr:col>
      <xdr:colOff>1285875</xdr:colOff>
      <xdr:row>22</xdr:row>
      <xdr:rowOff>107157</xdr:rowOff>
    </xdr:from>
    <xdr:ext cx="0" cy="354658"/>
    <xdr:pic>
      <xdr:nvPicPr>
        <xdr:cNvPr id="87" name="Imagen 86">
          <a:extLst>
            <a:ext uri="{FF2B5EF4-FFF2-40B4-BE49-F238E27FC236}">
              <a16:creationId xmlns:a16="http://schemas.microsoft.com/office/drawing/2014/main" id="{7CE62765-9D6A-422B-9CAE-07AD2F050F0D}"/>
            </a:ext>
          </a:extLst>
        </xdr:cNvPr>
        <xdr:cNvPicPr>
          <a:picLocks noChangeAspect="1"/>
        </xdr:cNvPicPr>
      </xdr:nvPicPr>
      <xdr:blipFill rotWithShape="1">
        <a:blip xmlns:r="http://schemas.openxmlformats.org/officeDocument/2006/relationships" r:embed="rId66"/>
        <a:srcRect l="30785" t="37033" r="28875" b="19548"/>
        <a:stretch/>
      </xdr:blipFill>
      <xdr:spPr>
        <a:xfrm>
          <a:off x="216160350" y="4298157"/>
          <a:ext cx="0" cy="354658"/>
        </a:xfrm>
        <a:prstGeom prst="rect">
          <a:avLst/>
        </a:prstGeom>
      </xdr:spPr>
    </xdr:pic>
    <xdr:clientData/>
  </xdr:oneCellAnchor>
  <xdr:oneCellAnchor>
    <xdr:from>
      <xdr:col>88</xdr:col>
      <xdr:colOff>374197</xdr:colOff>
      <xdr:row>21</xdr:row>
      <xdr:rowOff>154781</xdr:rowOff>
    </xdr:from>
    <xdr:ext cx="4507365" cy="1772631"/>
    <xdr:pic>
      <xdr:nvPicPr>
        <xdr:cNvPr id="88" name="Imagen 87">
          <a:extLst>
            <a:ext uri="{FF2B5EF4-FFF2-40B4-BE49-F238E27FC236}">
              <a16:creationId xmlns:a16="http://schemas.microsoft.com/office/drawing/2014/main" id="{52AD457D-10CB-467A-B1A8-72519C58310F}"/>
            </a:ext>
          </a:extLst>
        </xdr:cNvPr>
        <xdr:cNvPicPr>
          <a:picLocks noChangeAspect="1"/>
        </xdr:cNvPicPr>
      </xdr:nvPicPr>
      <xdr:blipFill>
        <a:blip xmlns:r="http://schemas.openxmlformats.org/officeDocument/2006/relationships" r:embed="rId67"/>
        <a:stretch>
          <a:fillRect/>
        </a:stretch>
      </xdr:blipFill>
      <xdr:spPr>
        <a:xfrm>
          <a:off x="215248672" y="4155281"/>
          <a:ext cx="4507365" cy="1772631"/>
        </a:xfrm>
        <a:prstGeom prst="rect">
          <a:avLst/>
        </a:prstGeom>
      </xdr:spPr>
    </xdr:pic>
    <xdr:clientData/>
  </xdr:oneCellAnchor>
  <xdr:oneCellAnchor>
    <xdr:from>
      <xdr:col>88</xdr:col>
      <xdr:colOff>370796</xdr:colOff>
      <xdr:row>22</xdr:row>
      <xdr:rowOff>142875</xdr:rowOff>
    </xdr:from>
    <xdr:ext cx="4391703" cy="1795743"/>
    <xdr:pic>
      <xdr:nvPicPr>
        <xdr:cNvPr id="89" name="Imagen 88">
          <a:extLst>
            <a:ext uri="{FF2B5EF4-FFF2-40B4-BE49-F238E27FC236}">
              <a16:creationId xmlns:a16="http://schemas.microsoft.com/office/drawing/2014/main" id="{8BE195A9-6D94-4FD8-9188-39C587F5B474}"/>
            </a:ext>
          </a:extLst>
        </xdr:cNvPr>
        <xdr:cNvPicPr>
          <a:picLocks noChangeAspect="1"/>
        </xdr:cNvPicPr>
      </xdr:nvPicPr>
      <xdr:blipFill>
        <a:blip xmlns:r="http://schemas.openxmlformats.org/officeDocument/2006/relationships" r:embed="rId68"/>
        <a:stretch>
          <a:fillRect/>
        </a:stretch>
      </xdr:blipFill>
      <xdr:spPr>
        <a:xfrm>
          <a:off x="215245271" y="4333875"/>
          <a:ext cx="4391703" cy="1795743"/>
        </a:xfrm>
        <a:prstGeom prst="rect">
          <a:avLst/>
        </a:prstGeom>
      </xdr:spPr>
    </xdr:pic>
    <xdr:clientData/>
  </xdr:oneCellAnchor>
  <xdr:oneCellAnchor>
    <xdr:from>
      <xdr:col>88</xdr:col>
      <xdr:colOff>459441</xdr:colOff>
      <xdr:row>23</xdr:row>
      <xdr:rowOff>213912</xdr:rowOff>
    </xdr:from>
    <xdr:ext cx="4243527" cy="2105706"/>
    <xdr:pic>
      <xdr:nvPicPr>
        <xdr:cNvPr id="90" name="Imagen 89">
          <a:extLst>
            <a:ext uri="{FF2B5EF4-FFF2-40B4-BE49-F238E27FC236}">
              <a16:creationId xmlns:a16="http://schemas.microsoft.com/office/drawing/2014/main" id="{5842A7D1-E0E9-4057-AE7A-D16FC0FD2D1B}"/>
            </a:ext>
          </a:extLst>
        </xdr:cNvPr>
        <xdr:cNvPicPr>
          <a:picLocks noChangeAspect="1"/>
        </xdr:cNvPicPr>
      </xdr:nvPicPr>
      <xdr:blipFill>
        <a:blip xmlns:r="http://schemas.openxmlformats.org/officeDocument/2006/relationships" r:embed="rId69"/>
        <a:stretch>
          <a:fillRect/>
        </a:stretch>
      </xdr:blipFill>
      <xdr:spPr>
        <a:xfrm>
          <a:off x="215333916" y="4576362"/>
          <a:ext cx="4243527" cy="2105706"/>
        </a:xfrm>
        <a:prstGeom prst="rect">
          <a:avLst/>
        </a:prstGeom>
      </xdr:spPr>
    </xdr:pic>
    <xdr:clientData/>
  </xdr:oneCellAnchor>
  <xdr:oneCellAnchor>
    <xdr:from>
      <xdr:col>88</xdr:col>
      <xdr:colOff>175712</xdr:colOff>
      <xdr:row>73</xdr:row>
      <xdr:rowOff>757498</xdr:rowOff>
    </xdr:from>
    <xdr:ext cx="4714053" cy="2862003"/>
    <xdr:pic>
      <xdr:nvPicPr>
        <xdr:cNvPr id="91" name="Imagen 90">
          <a:extLst>
            <a:ext uri="{FF2B5EF4-FFF2-40B4-BE49-F238E27FC236}">
              <a16:creationId xmlns:a16="http://schemas.microsoft.com/office/drawing/2014/main" id="{21BBA604-F7F2-401B-8D7C-9AB7CCF6F270}"/>
            </a:ext>
          </a:extLst>
        </xdr:cNvPr>
        <xdr:cNvPicPr>
          <a:picLocks noChangeAspect="1"/>
        </xdr:cNvPicPr>
      </xdr:nvPicPr>
      <xdr:blipFill>
        <a:blip xmlns:r="http://schemas.openxmlformats.org/officeDocument/2006/relationships" r:embed="rId70"/>
        <a:stretch>
          <a:fillRect/>
        </a:stretch>
      </xdr:blipFill>
      <xdr:spPr>
        <a:xfrm>
          <a:off x="215050187" y="14092498"/>
          <a:ext cx="4714053" cy="2862003"/>
        </a:xfrm>
        <a:prstGeom prst="rect">
          <a:avLst/>
        </a:prstGeom>
      </xdr:spPr>
    </xdr:pic>
    <xdr:clientData/>
  </xdr:oneCellAnchor>
  <xdr:oneCellAnchor>
    <xdr:from>
      <xdr:col>88</xdr:col>
      <xdr:colOff>295498</xdr:colOff>
      <xdr:row>74</xdr:row>
      <xdr:rowOff>984817</xdr:rowOff>
    </xdr:from>
    <xdr:ext cx="4616680" cy="2612271"/>
    <xdr:pic>
      <xdr:nvPicPr>
        <xdr:cNvPr id="92" name="Imagen 91">
          <a:extLst>
            <a:ext uri="{FF2B5EF4-FFF2-40B4-BE49-F238E27FC236}">
              <a16:creationId xmlns:a16="http://schemas.microsoft.com/office/drawing/2014/main" id="{8A56A3DF-8FF3-4320-A4F8-A084F4323DF0}"/>
            </a:ext>
          </a:extLst>
        </xdr:cNvPr>
        <xdr:cNvPicPr>
          <a:picLocks noChangeAspect="1"/>
        </xdr:cNvPicPr>
      </xdr:nvPicPr>
      <xdr:blipFill>
        <a:blip xmlns:r="http://schemas.openxmlformats.org/officeDocument/2006/relationships" r:embed="rId71"/>
        <a:stretch>
          <a:fillRect/>
        </a:stretch>
      </xdr:blipFill>
      <xdr:spPr>
        <a:xfrm>
          <a:off x="215169973" y="14291242"/>
          <a:ext cx="4616680" cy="2612271"/>
        </a:xfrm>
        <a:prstGeom prst="rect">
          <a:avLst/>
        </a:prstGeom>
      </xdr:spPr>
    </xdr:pic>
    <xdr:clientData/>
  </xdr:oneCellAnchor>
  <xdr:oneCellAnchor>
    <xdr:from>
      <xdr:col>88</xdr:col>
      <xdr:colOff>259560</xdr:colOff>
      <xdr:row>67</xdr:row>
      <xdr:rowOff>821533</xdr:rowOff>
    </xdr:from>
    <xdr:ext cx="4626205" cy="2853996"/>
    <xdr:pic>
      <xdr:nvPicPr>
        <xdr:cNvPr id="93" name="Imagen 92">
          <a:extLst>
            <a:ext uri="{FF2B5EF4-FFF2-40B4-BE49-F238E27FC236}">
              <a16:creationId xmlns:a16="http://schemas.microsoft.com/office/drawing/2014/main" id="{34915EB8-F8FF-4F65-A777-2DB565B2EC75}"/>
            </a:ext>
          </a:extLst>
        </xdr:cNvPr>
        <xdr:cNvPicPr>
          <a:picLocks noChangeAspect="1"/>
        </xdr:cNvPicPr>
      </xdr:nvPicPr>
      <xdr:blipFill>
        <a:blip xmlns:r="http://schemas.openxmlformats.org/officeDocument/2006/relationships" r:embed="rId72"/>
        <a:stretch>
          <a:fillRect/>
        </a:stretch>
      </xdr:blipFill>
      <xdr:spPr>
        <a:xfrm>
          <a:off x="215134035" y="12956383"/>
          <a:ext cx="4626205" cy="2853996"/>
        </a:xfrm>
        <a:prstGeom prst="rect">
          <a:avLst/>
        </a:prstGeom>
      </xdr:spPr>
    </xdr:pic>
    <xdr:clientData/>
  </xdr:oneCellAnchor>
  <xdr:oneCellAnchor>
    <xdr:from>
      <xdr:col>88</xdr:col>
      <xdr:colOff>476249</xdr:colOff>
      <xdr:row>68</xdr:row>
      <xdr:rowOff>166686</xdr:rowOff>
    </xdr:from>
    <xdr:ext cx="4167188" cy="2007255"/>
    <xdr:pic>
      <xdr:nvPicPr>
        <xdr:cNvPr id="94" name="Imagen 93">
          <a:extLst>
            <a:ext uri="{FF2B5EF4-FFF2-40B4-BE49-F238E27FC236}">
              <a16:creationId xmlns:a16="http://schemas.microsoft.com/office/drawing/2014/main" id="{3F918462-77D4-47D3-A367-A0A8C97AF8C8}"/>
            </a:ext>
          </a:extLst>
        </xdr:cNvPr>
        <xdr:cNvPicPr>
          <a:picLocks noChangeAspect="1"/>
        </xdr:cNvPicPr>
      </xdr:nvPicPr>
      <xdr:blipFill>
        <a:blip xmlns:r="http://schemas.openxmlformats.org/officeDocument/2006/relationships" r:embed="rId73"/>
        <a:stretch>
          <a:fillRect/>
        </a:stretch>
      </xdr:blipFill>
      <xdr:spPr>
        <a:xfrm>
          <a:off x="215350724" y="13120686"/>
          <a:ext cx="4167188" cy="2007255"/>
        </a:xfrm>
        <a:prstGeom prst="rect">
          <a:avLst/>
        </a:prstGeom>
      </xdr:spPr>
    </xdr:pic>
    <xdr:clientData/>
  </xdr:oneCellAnchor>
  <xdr:oneCellAnchor>
    <xdr:from>
      <xdr:col>88</xdr:col>
      <xdr:colOff>221937</xdr:colOff>
      <xdr:row>69</xdr:row>
      <xdr:rowOff>642938</xdr:rowOff>
    </xdr:from>
    <xdr:ext cx="4742968" cy="2472298"/>
    <xdr:pic>
      <xdr:nvPicPr>
        <xdr:cNvPr id="95" name="Imagen 94">
          <a:extLst>
            <a:ext uri="{FF2B5EF4-FFF2-40B4-BE49-F238E27FC236}">
              <a16:creationId xmlns:a16="http://schemas.microsoft.com/office/drawing/2014/main" id="{9B4BF8A9-A4F8-4526-AB17-2AD23CDEEE09}"/>
            </a:ext>
          </a:extLst>
        </xdr:cNvPr>
        <xdr:cNvPicPr>
          <a:picLocks noChangeAspect="1"/>
        </xdr:cNvPicPr>
      </xdr:nvPicPr>
      <xdr:blipFill>
        <a:blip xmlns:r="http://schemas.openxmlformats.org/officeDocument/2006/relationships" r:embed="rId74"/>
        <a:stretch>
          <a:fillRect/>
        </a:stretch>
      </xdr:blipFill>
      <xdr:spPr>
        <a:xfrm>
          <a:off x="215096412" y="13330238"/>
          <a:ext cx="4742968" cy="2472298"/>
        </a:xfrm>
        <a:prstGeom prst="rect">
          <a:avLst/>
        </a:prstGeom>
      </xdr:spPr>
    </xdr:pic>
    <xdr:clientData/>
  </xdr:oneCellAnchor>
  <xdr:oneCellAnchor>
    <xdr:from>
      <xdr:col>88</xdr:col>
      <xdr:colOff>239827</xdr:colOff>
      <xdr:row>71</xdr:row>
      <xdr:rowOff>551089</xdr:rowOff>
    </xdr:from>
    <xdr:ext cx="4699566" cy="2597764"/>
    <xdr:pic>
      <xdr:nvPicPr>
        <xdr:cNvPr id="96" name="Imagen 95">
          <a:extLst>
            <a:ext uri="{FF2B5EF4-FFF2-40B4-BE49-F238E27FC236}">
              <a16:creationId xmlns:a16="http://schemas.microsoft.com/office/drawing/2014/main" id="{9552996F-66BA-448D-A89B-EBD0B916E87E}"/>
            </a:ext>
          </a:extLst>
        </xdr:cNvPr>
        <xdr:cNvPicPr>
          <a:picLocks noChangeAspect="1"/>
        </xdr:cNvPicPr>
      </xdr:nvPicPr>
      <xdr:blipFill>
        <a:blip xmlns:r="http://schemas.openxmlformats.org/officeDocument/2006/relationships" r:embed="rId75"/>
        <a:stretch>
          <a:fillRect/>
        </a:stretch>
      </xdr:blipFill>
      <xdr:spPr>
        <a:xfrm>
          <a:off x="215114302" y="13714639"/>
          <a:ext cx="4699566" cy="2597764"/>
        </a:xfrm>
        <a:prstGeom prst="rect">
          <a:avLst/>
        </a:prstGeom>
      </xdr:spPr>
    </xdr:pic>
    <xdr:clientData/>
  </xdr:oneCellAnchor>
  <xdr:oneCellAnchor>
    <xdr:from>
      <xdr:col>88</xdr:col>
      <xdr:colOff>530679</xdr:colOff>
      <xdr:row>72</xdr:row>
      <xdr:rowOff>1306286</xdr:rowOff>
    </xdr:from>
    <xdr:ext cx="4395107" cy="2817478"/>
    <xdr:pic>
      <xdr:nvPicPr>
        <xdr:cNvPr id="97" name="Imagen 96">
          <a:extLst>
            <a:ext uri="{FF2B5EF4-FFF2-40B4-BE49-F238E27FC236}">
              <a16:creationId xmlns:a16="http://schemas.microsoft.com/office/drawing/2014/main" id="{54AEB7D8-39C7-4928-9DB3-21A55D554D39}"/>
            </a:ext>
          </a:extLst>
        </xdr:cNvPr>
        <xdr:cNvPicPr>
          <a:picLocks noChangeAspect="1"/>
        </xdr:cNvPicPr>
      </xdr:nvPicPr>
      <xdr:blipFill>
        <a:blip xmlns:r="http://schemas.openxmlformats.org/officeDocument/2006/relationships" r:embed="rId76"/>
        <a:stretch>
          <a:fillRect/>
        </a:stretch>
      </xdr:blipFill>
      <xdr:spPr>
        <a:xfrm>
          <a:off x="215405154" y="13907861"/>
          <a:ext cx="4395107" cy="2817478"/>
        </a:xfrm>
        <a:prstGeom prst="rect">
          <a:avLst/>
        </a:prstGeom>
      </xdr:spPr>
    </xdr:pic>
    <xdr:clientData/>
  </xdr:oneCellAnchor>
  <xdr:oneCellAnchor>
    <xdr:from>
      <xdr:col>88</xdr:col>
      <xdr:colOff>326145</xdr:colOff>
      <xdr:row>76</xdr:row>
      <xdr:rowOff>625927</xdr:rowOff>
    </xdr:from>
    <xdr:ext cx="4425149" cy="2724631"/>
    <xdr:pic>
      <xdr:nvPicPr>
        <xdr:cNvPr id="98" name="Imagen 97">
          <a:extLst>
            <a:ext uri="{FF2B5EF4-FFF2-40B4-BE49-F238E27FC236}">
              <a16:creationId xmlns:a16="http://schemas.microsoft.com/office/drawing/2014/main" id="{EF850CAC-023E-46E8-AA66-07B5E9577416}"/>
            </a:ext>
          </a:extLst>
        </xdr:cNvPr>
        <xdr:cNvPicPr>
          <a:picLocks noChangeAspect="1"/>
        </xdr:cNvPicPr>
      </xdr:nvPicPr>
      <xdr:blipFill>
        <a:blip xmlns:r="http://schemas.openxmlformats.org/officeDocument/2006/relationships" r:embed="rId77"/>
        <a:stretch>
          <a:fillRect/>
        </a:stretch>
      </xdr:blipFill>
      <xdr:spPr>
        <a:xfrm>
          <a:off x="215200620" y="14665777"/>
          <a:ext cx="4425149" cy="2724631"/>
        </a:xfrm>
        <a:prstGeom prst="rect">
          <a:avLst/>
        </a:prstGeom>
      </xdr:spPr>
    </xdr:pic>
    <xdr:clientData/>
  </xdr:oneCellAnchor>
  <xdr:oneCellAnchor>
    <xdr:from>
      <xdr:col>88</xdr:col>
      <xdr:colOff>250731</xdr:colOff>
      <xdr:row>70</xdr:row>
      <xdr:rowOff>797417</xdr:rowOff>
    </xdr:from>
    <xdr:ext cx="4607719" cy="2530730"/>
    <xdr:pic>
      <xdr:nvPicPr>
        <xdr:cNvPr id="99" name="Imagen 98">
          <a:extLst>
            <a:ext uri="{FF2B5EF4-FFF2-40B4-BE49-F238E27FC236}">
              <a16:creationId xmlns:a16="http://schemas.microsoft.com/office/drawing/2014/main" id="{C383F2D6-5DD0-4927-8D06-E609A81CFBA9}"/>
            </a:ext>
          </a:extLst>
        </xdr:cNvPr>
        <xdr:cNvPicPr>
          <a:picLocks noChangeAspect="1"/>
        </xdr:cNvPicPr>
      </xdr:nvPicPr>
      <xdr:blipFill>
        <a:blip xmlns:r="http://schemas.openxmlformats.org/officeDocument/2006/relationships" r:embed="rId78"/>
        <a:stretch>
          <a:fillRect/>
        </a:stretch>
      </xdr:blipFill>
      <xdr:spPr>
        <a:xfrm>
          <a:off x="215125206" y="13522817"/>
          <a:ext cx="4607719" cy="2530730"/>
        </a:xfrm>
        <a:prstGeom prst="rect">
          <a:avLst/>
        </a:prstGeom>
      </xdr:spPr>
    </xdr:pic>
    <xdr:clientData/>
  </xdr:oneCellAnchor>
  <xdr:oneCellAnchor>
    <xdr:from>
      <xdr:col>88</xdr:col>
      <xdr:colOff>445633</xdr:colOff>
      <xdr:row>80</xdr:row>
      <xdr:rowOff>477249</xdr:rowOff>
    </xdr:from>
    <xdr:ext cx="4330474" cy="2469897"/>
    <xdr:pic>
      <xdr:nvPicPr>
        <xdr:cNvPr id="100" name="Imagen 99">
          <a:extLst>
            <a:ext uri="{FF2B5EF4-FFF2-40B4-BE49-F238E27FC236}">
              <a16:creationId xmlns:a16="http://schemas.microsoft.com/office/drawing/2014/main" id="{8CEAADED-522C-4CC5-A923-6A0C6F701568}"/>
            </a:ext>
          </a:extLst>
        </xdr:cNvPr>
        <xdr:cNvPicPr>
          <a:picLocks noChangeAspect="1"/>
        </xdr:cNvPicPr>
      </xdr:nvPicPr>
      <xdr:blipFill>
        <a:blip xmlns:r="http://schemas.openxmlformats.org/officeDocument/2006/relationships" r:embed="rId79"/>
        <a:stretch>
          <a:fillRect/>
        </a:stretch>
      </xdr:blipFill>
      <xdr:spPr>
        <a:xfrm>
          <a:off x="215320108" y="15431499"/>
          <a:ext cx="4330474" cy="2469897"/>
        </a:xfrm>
        <a:prstGeom prst="rect">
          <a:avLst/>
        </a:prstGeom>
      </xdr:spPr>
    </xdr:pic>
    <xdr:clientData/>
  </xdr:oneCellAnchor>
  <xdr:oneCellAnchor>
    <xdr:from>
      <xdr:col>88</xdr:col>
      <xdr:colOff>389004</xdr:colOff>
      <xdr:row>79</xdr:row>
      <xdr:rowOff>190499</xdr:rowOff>
    </xdr:from>
    <xdr:ext cx="4381500" cy="2185148"/>
    <xdr:pic>
      <xdr:nvPicPr>
        <xdr:cNvPr id="101" name="Imagen 100">
          <a:extLst>
            <a:ext uri="{FF2B5EF4-FFF2-40B4-BE49-F238E27FC236}">
              <a16:creationId xmlns:a16="http://schemas.microsoft.com/office/drawing/2014/main" id="{9CC6BC04-60AD-48C0-A125-DF791EAFF8C0}"/>
            </a:ext>
          </a:extLst>
        </xdr:cNvPr>
        <xdr:cNvPicPr>
          <a:picLocks noChangeAspect="1"/>
        </xdr:cNvPicPr>
      </xdr:nvPicPr>
      <xdr:blipFill>
        <a:blip xmlns:r="http://schemas.openxmlformats.org/officeDocument/2006/relationships" r:embed="rId80"/>
        <a:stretch>
          <a:fillRect/>
        </a:stretch>
      </xdr:blipFill>
      <xdr:spPr>
        <a:xfrm>
          <a:off x="215263479" y="15239999"/>
          <a:ext cx="4381500" cy="2185148"/>
        </a:xfrm>
        <a:prstGeom prst="rect">
          <a:avLst/>
        </a:prstGeom>
      </xdr:spPr>
    </xdr:pic>
    <xdr:clientData/>
  </xdr:oneCellAnchor>
  <xdr:oneCellAnchor>
    <xdr:from>
      <xdr:col>88</xdr:col>
      <xdr:colOff>276144</xdr:colOff>
      <xdr:row>83</xdr:row>
      <xdr:rowOff>312964</xdr:rowOff>
    </xdr:from>
    <xdr:ext cx="4558393" cy="2421271"/>
    <xdr:pic>
      <xdr:nvPicPr>
        <xdr:cNvPr id="102" name="Imagen 101">
          <a:extLst>
            <a:ext uri="{FF2B5EF4-FFF2-40B4-BE49-F238E27FC236}">
              <a16:creationId xmlns:a16="http://schemas.microsoft.com/office/drawing/2014/main" id="{3D146649-9CF8-42E5-A1DC-B14F6FF26E01}"/>
            </a:ext>
          </a:extLst>
        </xdr:cNvPr>
        <xdr:cNvPicPr>
          <a:picLocks noChangeAspect="1"/>
        </xdr:cNvPicPr>
      </xdr:nvPicPr>
      <xdr:blipFill>
        <a:blip xmlns:r="http://schemas.openxmlformats.org/officeDocument/2006/relationships" r:embed="rId81"/>
        <a:stretch>
          <a:fillRect/>
        </a:stretch>
      </xdr:blipFill>
      <xdr:spPr>
        <a:xfrm>
          <a:off x="215150619" y="16000639"/>
          <a:ext cx="4558393" cy="2421271"/>
        </a:xfrm>
        <a:prstGeom prst="rect">
          <a:avLst/>
        </a:prstGeom>
      </xdr:spPr>
    </xdr:pic>
    <xdr:clientData/>
  </xdr:oneCellAnchor>
  <xdr:oneCellAnchor>
    <xdr:from>
      <xdr:col>88</xdr:col>
      <xdr:colOff>311486</xdr:colOff>
      <xdr:row>89</xdr:row>
      <xdr:rowOff>1396732</xdr:rowOff>
    </xdr:from>
    <xdr:ext cx="4510046" cy="2603768"/>
    <xdr:pic>
      <xdr:nvPicPr>
        <xdr:cNvPr id="103" name="Imagen 102">
          <a:extLst>
            <a:ext uri="{FF2B5EF4-FFF2-40B4-BE49-F238E27FC236}">
              <a16:creationId xmlns:a16="http://schemas.microsoft.com/office/drawing/2014/main" id="{A66CD783-2C68-4A1E-BD27-F185E7E5518C}"/>
            </a:ext>
          </a:extLst>
        </xdr:cNvPr>
        <xdr:cNvPicPr>
          <a:picLocks noChangeAspect="1"/>
        </xdr:cNvPicPr>
      </xdr:nvPicPr>
      <xdr:blipFill>
        <a:blip xmlns:r="http://schemas.openxmlformats.org/officeDocument/2006/relationships" r:embed="rId82"/>
        <a:stretch>
          <a:fillRect/>
        </a:stretch>
      </xdr:blipFill>
      <xdr:spPr>
        <a:xfrm>
          <a:off x="215185961" y="17141557"/>
          <a:ext cx="4510046" cy="2603768"/>
        </a:xfrm>
        <a:prstGeom prst="rect">
          <a:avLst/>
        </a:prstGeom>
      </xdr:spPr>
    </xdr:pic>
    <xdr:clientData/>
  </xdr:oneCellAnchor>
  <xdr:oneCellAnchor>
    <xdr:from>
      <xdr:col>88</xdr:col>
      <xdr:colOff>275166</xdr:colOff>
      <xdr:row>85</xdr:row>
      <xdr:rowOff>705968</xdr:rowOff>
    </xdr:from>
    <xdr:ext cx="4584589" cy="2756650"/>
    <xdr:pic>
      <xdr:nvPicPr>
        <xdr:cNvPr id="104" name="Imagen 103">
          <a:extLst>
            <a:ext uri="{FF2B5EF4-FFF2-40B4-BE49-F238E27FC236}">
              <a16:creationId xmlns:a16="http://schemas.microsoft.com/office/drawing/2014/main" id="{2F4C25CA-4C71-4452-8E2F-FAC1B7CC453D}"/>
            </a:ext>
          </a:extLst>
        </xdr:cNvPr>
        <xdr:cNvPicPr>
          <a:picLocks noChangeAspect="1"/>
        </xdr:cNvPicPr>
      </xdr:nvPicPr>
      <xdr:blipFill>
        <a:blip xmlns:r="http://schemas.openxmlformats.org/officeDocument/2006/relationships" r:embed="rId83"/>
        <a:stretch>
          <a:fillRect/>
        </a:stretch>
      </xdr:blipFill>
      <xdr:spPr>
        <a:xfrm>
          <a:off x="215149641" y="16384118"/>
          <a:ext cx="4584589" cy="2756650"/>
        </a:xfrm>
        <a:prstGeom prst="rect">
          <a:avLst/>
        </a:prstGeom>
      </xdr:spPr>
    </xdr:pic>
    <xdr:clientData/>
  </xdr:oneCellAnchor>
  <xdr:oneCellAnchor>
    <xdr:from>
      <xdr:col>88</xdr:col>
      <xdr:colOff>257112</xdr:colOff>
      <xdr:row>86</xdr:row>
      <xdr:rowOff>313763</xdr:rowOff>
    </xdr:from>
    <xdr:ext cx="4584589" cy="2532531"/>
    <xdr:pic>
      <xdr:nvPicPr>
        <xdr:cNvPr id="105" name="Imagen 104">
          <a:extLst>
            <a:ext uri="{FF2B5EF4-FFF2-40B4-BE49-F238E27FC236}">
              <a16:creationId xmlns:a16="http://schemas.microsoft.com/office/drawing/2014/main" id="{7AF9153D-4C67-46A3-9CC9-C7E87F574876}"/>
            </a:ext>
          </a:extLst>
        </xdr:cNvPr>
        <xdr:cNvPicPr>
          <a:picLocks noChangeAspect="1"/>
        </xdr:cNvPicPr>
      </xdr:nvPicPr>
      <xdr:blipFill>
        <a:blip xmlns:r="http://schemas.openxmlformats.org/officeDocument/2006/relationships" r:embed="rId84"/>
        <a:stretch>
          <a:fillRect/>
        </a:stretch>
      </xdr:blipFill>
      <xdr:spPr>
        <a:xfrm>
          <a:off x="215131587" y="16572938"/>
          <a:ext cx="4584589" cy="2532531"/>
        </a:xfrm>
        <a:prstGeom prst="rect">
          <a:avLst/>
        </a:prstGeom>
      </xdr:spPr>
    </xdr:pic>
    <xdr:clientData/>
  </xdr:oneCellAnchor>
  <xdr:oneCellAnchor>
    <xdr:from>
      <xdr:col>88</xdr:col>
      <xdr:colOff>430180</xdr:colOff>
      <xdr:row>87</xdr:row>
      <xdr:rowOff>280148</xdr:rowOff>
    </xdr:from>
    <xdr:ext cx="4237087" cy="2185145"/>
    <xdr:pic>
      <xdr:nvPicPr>
        <xdr:cNvPr id="106" name="Imagen 105">
          <a:extLst>
            <a:ext uri="{FF2B5EF4-FFF2-40B4-BE49-F238E27FC236}">
              <a16:creationId xmlns:a16="http://schemas.microsoft.com/office/drawing/2014/main" id="{BE931DC7-D00A-4F1C-921C-B98950BD0167}"/>
            </a:ext>
          </a:extLst>
        </xdr:cNvPr>
        <xdr:cNvPicPr>
          <a:picLocks noChangeAspect="1"/>
        </xdr:cNvPicPr>
      </xdr:nvPicPr>
      <xdr:blipFill>
        <a:blip xmlns:r="http://schemas.openxmlformats.org/officeDocument/2006/relationships" r:embed="rId85"/>
        <a:stretch>
          <a:fillRect/>
        </a:stretch>
      </xdr:blipFill>
      <xdr:spPr>
        <a:xfrm>
          <a:off x="215304655" y="16767923"/>
          <a:ext cx="4237087" cy="2185145"/>
        </a:xfrm>
        <a:prstGeom prst="rect">
          <a:avLst/>
        </a:prstGeom>
      </xdr:spPr>
    </xdr:pic>
    <xdr:clientData/>
  </xdr:oneCellAnchor>
  <xdr:oneCellAnchor>
    <xdr:from>
      <xdr:col>88</xdr:col>
      <xdr:colOff>388470</xdr:colOff>
      <xdr:row>88</xdr:row>
      <xdr:rowOff>336177</xdr:rowOff>
    </xdr:from>
    <xdr:ext cx="4334632" cy="1938618"/>
    <xdr:pic>
      <xdr:nvPicPr>
        <xdr:cNvPr id="107" name="Imagen 106">
          <a:extLst>
            <a:ext uri="{FF2B5EF4-FFF2-40B4-BE49-F238E27FC236}">
              <a16:creationId xmlns:a16="http://schemas.microsoft.com/office/drawing/2014/main" id="{A9FBDB79-C08A-4504-998E-FCD26DB20FD2}"/>
            </a:ext>
          </a:extLst>
        </xdr:cNvPr>
        <xdr:cNvPicPr>
          <a:picLocks noChangeAspect="1"/>
        </xdr:cNvPicPr>
      </xdr:nvPicPr>
      <xdr:blipFill>
        <a:blip xmlns:r="http://schemas.openxmlformats.org/officeDocument/2006/relationships" r:embed="rId86"/>
        <a:stretch>
          <a:fillRect/>
        </a:stretch>
      </xdr:blipFill>
      <xdr:spPr>
        <a:xfrm>
          <a:off x="215262945" y="16957302"/>
          <a:ext cx="4334632" cy="1938618"/>
        </a:xfrm>
        <a:prstGeom prst="rect">
          <a:avLst/>
        </a:prstGeom>
      </xdr:spPr>
    </xdr:pic>
    <xdr:clientData/>
  </xdr:oneCellAnchor>
  <xdr:oneCellAnchor>
    <xdr:from>
      <xdr:col>88</xdr:col>
      <xdr:colOff>448233</xdr:colOff>
      <xdr:row>25</xdr:row>
      <xdr:rowOff>280148</xdr:rowOff>
    </xdr:from>
    <xdr:ext cx="4403912" cy="2779057"/>
    <xdr:pic>
      <xdr:nvPicPr>
        <xdr:cNvPr id="108" name="Imagen 107">
          <a:extLst>
            <a:ext uri="{FF2B5EF4-FFF2-40B4-BE49-F238E27FC236}">
              <a16:creationId xmlns:a16="http://schemas.microsoft.com/office/drawing/2014/main" id="{770BC732-82BD-4643-AD79-CBDA6BE26265}"/>
            </a:ext>
          </a:extLst>
        </xdr:cNvPr>
        <xdr:cNvPicPr>
          <a:picLocks noChangeAspect="1"/>
        </xdr:cNvPicPr>
      </xdr:nvPicPr>
      <xdr:blipFill>
        <a:blip xmlns:r="http://schemas.openxmlformats.org/officeDocument/2006/relationships" r:embed="rId87"/>
        <a:stretch>
          <a:fillRect/>
        </a:stretch>
      </xdr:blipFill>
      <xdr:spPr>
        <a:xfrm>
          <a:off x="215322708" y="4956923"/>
          <a:ext cx="4403912" cy="2779057"/>
        </a:xfrm>
        <a:prstGeom prst="rect">
          <a:avLst/>
        </a:prstGeom>
      </xdr:spPr>
    </xdr:pic>
    <xdr:clientData/>
  </xdr:oneCellAnchor>
  <xdr:oneCellAnchor>
    <xdr:from>
      <xdr:col>88</xdr:col>
      <xdr:colOff>220867</xdr:colOff>
      <xdr:row>75</xdr:row>
      <xdr:rowOff>605117</xdr:rowOff>
    </xdr:from>
    <xdr:ext cx="4664897" cy="2353236"/>
    <xdr:pic>
      <xdr:nvPicPr>
        <xdr:cNvPr id="109" name="Imagen 108">
          <a:extLst>
            <a:ext uri="{FF2B5EF4-FFF2-40B4-BE49-F238E27FC236}">
              <a16:creationId xmlns:a16="http://schemas.microsoft.com/office/drawing/2014/main" id="{5B02BB4A-F5FC-462A-A899-FF7D598F1272}"/>
            </a:ext>
          </a:extLst>
        </xdr:cNvPr>
        <xdr:cNvPicPr>
          <a:picLocks noChangeAspect="1"/>
        </xdr:cNvPicPr>
      </xdr:nvPicPr>
      <xdr:blipFill>
        <a:blip xmlns:r="http://schemas.openxmlformats.org/officeDocument/2006/relationships" r:embed="rId88"/>
        <a:stretch>
          <a:fillRect/>
        </a:stretch>
      </xdr:blipFill>
      <xdr:spPr>
        <a:xfrm>
          <a:off x="215095342" y="14473517"/>
          <a:ext cx="4664897" cy="2353236"/>
        </a:xfrm>
        <a:prstGeom prst="rect">
          <a:avLst/>
        </a:prstGeom>
      </xdr:spPr>
    </xdr:pic>
    <xdr:clientData/>
  </xdr:oneCellAnchor>
  <xdr:oneCellAnchor>
    <xdr:from>
      <xdr:col>88</xdr:col>
      <xdr:colOff>114300</xdr:colOff>
      <xdr:row>44</xdr:row>
      <xdr:rowOff>0</xdr:rowOff>
    </xdr:from>
    <xdr:ext cx="0" cy="38100"/>
    <xdr:pic>
      <xdr:nvPicPr>
        <xdr:cNvPr id="110" name="32 Imagen">
          <a:extLst>
            <a:ext uri="{FF2B5EF4-FFF2-40B4-BE49-F238E27FC236}">
              <a16:creationId xmlns:a16="http://schemas.microsoft.com/office/drawing/2014/main" id="{BB01DD06-C6D4-49BD-9040-DDFA38E953A9}"/>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214988775" y="8382000"/>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88</xdr:col>
      <xdr:colOff>76200</xdr:colOff>
      <xdr:row>44</xdr:row>
      <xdr:rowOff>0</xdr:rowOff>
    </xdr:from>
    <xdr:ext cx="0" cy="19050"/>
    <xdr:pic>
      <xdr:nvPicPr>
        <xdr:cNvPr id="111" name="33 Imagen">
          <a:extLst>
            <a:ext uri="{FF2B5EF4-FFF2-40B4-BE49-F238E27FC236}">
              <a16:creationId xmlns:a16="http://schemas.microsoft.com/office/drawing/2014/main" id="{8B4E5122-B6B0-4DFE-AB2A-DD30B4B1CA5F}"/>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rcRect/>
        <a:stretch>
          <a:fillRect/>
        </a:stretch>
      </xdr:blipFill>
      <xdr:spPr bwMode="auto">
        <a:xfrm>
          <a:off x="214950675" y="838200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88</xdr:col>
      <xdr:colOff>1114425</xdr:colOff>
      <xdr:row>45</xdr:row>
      <xdr:rowOff>0</xdr:rowOff>
    </xdr:from>
    <xdr:to>
      <xdr:col>88</xdr:col>
      <xdr:colOff>4829175</xdr:colOff>
      <xdr:row>45</xdr:row>
      <xdr:rowOff>0</xdr:rowOff>
    </xdr:to>
    <xdr:graphicFrame macro="">
      <xdr:nvGraphicFramePr>
        <xdr:cNvPr id="112" name="3 Gráfico">
          <a:extLst>
            <a:ext uri="{FF2B5EF4-FFF2-40B4-BE49-F238E27FC236}">
              <a16:creationId xmlns:a16="http://schemas.microsoft.com/office/drawing/2014/main" id="{3447E605-193C-4B2C-9D25-D281AF665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oneCellAnchor>
    <xdr:from>
      <xdr:col>88</xdr:col>
      <xdr:colOff>381000</xdr:colOff>
      <xdr:row>44</xdr:row>
      <xdr:rowOff>249731</xdr:rowOff>
    </xdr:from>
    <xdr:ext cx="4362073" cy="2350034"/>
    <xdr:pic>
      <xdr:nvPicPr>
        <xdr:cNvPr id="113" name="Imagen 112">
          <a:extLst>
            <a:ext uri="{FF2B5EF4-FFF2-40B4-BE49-F238E27FC236}">
              <a16:creationId xmlns:a16="http://schemas.microsoft.com/office/drawing/2014/main" id="{8E3478DD-4C85-4112-B1C2-55C5FE7924CA}"/>
            </a:ext>
          </a:extLst>
        </xdr:cNvPr>
        <xdr:cNvPicPr>
          <a:picLocks noChangeAspect="1"/>
        </xdr:cNvPicPr>
      </xdr:nvPicPr>
      <xdr:blipFill>
        <a:blip xmlns:r="http://schemas.openxmlformats.org/officeDocument/2006/relationships" r:embed="rId92"/>
        <a:stretch>
          <a:fillRect/>
        </a:stretch>
      </xdr:blipFill>
      <xdr:spPr>
        <a:xfrm>
          <a:off x="215255475" y="8574581"/>
          <a:ext cx="4362073" cy="2350034"/>
        </a:xfrm>
        <a:prstGeom prst="rect">
          <a:avLst/>
        </a:prstGeom>
      </xdr:spPr>
    </xdr:pic>
    <xdr:clientData/>
  </xdr:oneCellAnchor>
  <xdr:oneCellAnchor>
    <xdr:from>
      <xdr:col>88</xdr:col>
      <xdr:colOff>176893</xdr:colOff>
      <xdr:row>45</xdr:row>
      <xdr:rowOff>1061357</xdr:rowOff>
    </xdr:from>
    <xdr:ext cx="4584589" cy="2658996"/>
    <xdr:pic>
      <xdr:nvPicPr>
        <xdr:cNvPr id="114" name="Imagen 113">
          <a:extLst>
            <a:ext uri="{FF2B5EF4-FFF2-40B4-BE49-F238E27FC236}">
              <a16:creationId xmlns:a16="http://schemas.microsoft.com/office/drawing/2014/main" id="{1E140D7D-8FE6-40C0-BA78-101CA92152B2}"/>
            </a:ext>
          </a:extLst>
        </xdr:cNvPr>
        <xdr:cNvPicPr>
          <a:picLocks noChangeAspect="1"/>
        </xdr:cNvPicPr>
      </xdr:nvPicPr>
      <xdr:blipFill>
        <a:blip xmlns:r="http://schemas.openxmlformats.org/officeDocument/2006/relationships" r:embed="rId93"/>
        <a:stretch>
          <a:fillRect/>
        </a:stretch>
      </xdr:blipFill>
      <xdr:spPr>
        <a:xfrm>
          <a:off x="215051368" y="8767082"/>
          <a:ext cx="4584589" cy="2658996"/>
        </a:xfrm>
        <a:prstGeom prst="rect">
          <a:avLst/>
        </a:prstGeom>
      </xdr:spPr>
    </xdr:pic>
    <xdr:clientData/>
  </xdr:oneCellAnchor>
  <xdr:oneCellAnchor>
    <xdr:from>
      <xdr:col>88</xdr:col>
      <xdr:colOff>417418</xdr:colOff>
      <xdr:row>81</xdr:row>
      <xdr:rowOff>302559</xdr:rowOff>
    </xdr:from>
    <xdr:ext cx="4303259" cy="2353236"/>
    <xdr:pic>
      <xdr:nvPicPr>
        <xdr:cNvPr id="115" name="Imagen 114">
          <a:extLst>
            <a:ext uri="{FF2B5EF4-FFF2-40B4-BE49-F238E27FC236}">
              <a16:creationId xmlns:a16="http://schemas.microsoft.com/office/drawing/2014/main" id="{FA358E36-DFB2-40D7-9EFD-D4B7FAEC06EC}"/>
            </a:ext>
          </a:extLst>
        </xdr:cNvPr>
        <xdr:cNvPicPr>
          <a:picLocks noChangeAspect="1"/>
        </xdr:cNvPicPr>
      </xdr:nvPicPr>
      <xdr:blipFill>
        <a:blip xmlns:r="http://schemas.openxmlformats.org/officeDocument/2006/relationships" r:embed="rId94"/>
        <a:stretch>
          <a:fillRect/>
        </a:stretch>
      </xdr:blipFill>
      <xdr:spPr>
        <a:xfrm>
          <a:off x="215291893" y="15618759"/>
          <a:ext cx="4303259" cy="2353236"/>
        </a:xfrm>
        <a:prstGeom prst="rect">
          <a:avLst/>
        </a:prstGeom>
      </xdr:spPr>
    </xdr:pic>
    <xdr:clientData/>
  </xdr:oneCellAnchor>
  <xdr:oneCellAnchor>
    <xdr:from>
      <xdr:col>88</xdr:col>
      <xdr:colOff>616411</xdr:colOff>
      <xdr:row>78</xdr:row>
      <xdr:rowOff>518834</xdr:rowOff>
    </xdr:from>
    <xdr:ext cx="3953348" cy="2237813"/>
    <xdr:pic>
      <xdr:nvPicPr>
        <xdr:cNvPr id="116" name="Imagen 115">
          <a:extLst>
            <a:ext uri="{FF2B5EF4-FFF2-40B4-BE49-F238E27FC236}">
              <a16:creationId xmlns:a16="http://schemas.microsoft.com/office/drawing/2014/main" id="{C3A64181-34C2-4657-8BA6-46EF0D319EBD}"/>
            </a:ext>
          </a:extLst>
        </xdr:cNvPr>
        <xdr:cNvPicPr>
          <a:picLocks noChangeAspect="1"/>
        </xdr:cNvPicPr>
      </xdr:nvPicPr>
      <xdr:blipFill>
        <a:blip xmlns:r="http://schemas.openxmlformats.org/officeDocument/2006/relationships" r:embed="rId95"/>
        <a:stretch>
          <a:fillRect/>
        </a:stretch>
      </xdr:blipFill>
      <xdr:spPr>
        <a:xfrm>
          <a:off x="215490886" y="15053984"/>
          <a:ext cx="3953348" cy="2237813"/>
        </a:xfrm>
        <a:prstGeom prst="rect">
          <a:avLst/>
        </a:prstGeom>
      </xdr:spPr>
    </xdr:pic>
    <xdr:clientData/>
  </xdr:oneCellAnchor>
  <xdr:oneCellAnchor>
    <xdr:from>
      <xdr:col>88</xdr:col>
      <xdr:colOff>607359</xdr:colOff>
      <xdr:row>77</xdr:row>
      <xdr:rowOff>261656</xdr:rowOff>
    </xdr:from>
    <xdr:ext cx="3779848" cy="1912283"/>
    <xdr:pic>
      <xdr:nvPicPr>
        <xdr:cNvPr id="117" name="Imagen 116">
          <a:extLst>
            <a:ext uri="{FF2B5EF4-FFF2-40B4-BE49-F238E27FC236}">
              <a16:creationId xmlns:a16="http://schemas.microsoft.com/office/drawing/2014/main" id="{D1D244E6-1CB7-4863-B389-CBD45BD3A940}"/>
            </a:ext>
          </a:extLst>
        </xdr:cNvPr>
        <xdr:cNvPicPr>
          <a:picLocks noChangeAspect="1"/>
        </xdr:cNvPicPr>
      </xdr:nvPicPr>
      <xdr:blipFill>
        <a:blip xmlns:r="http://schemas.openxmlformats.org/officeDocument/2006/relationships" r:embed="rId96"/>
        <a:stretch>
          <a:fillRect/>
        </a:stretch>
      </xdr:blipFill>
      <xdr:spPr>
        <a:xfrm>
          <a:off x="215481834" y="14863481"/>
          <a:ext cx="3779848" cy="1912283"/>
        </a:xfrm>
        <a:prstGeom prst="rect">
          <a:avLst/>
        </a:prstGeom>
      </xdr:spPr>
    </xdr:pic>
    <xdr:clientData/>
  </xdr:oneCellAnchor>
  <xdr:oneCellAnchor>
    <xdr:from>
      <xdr:col>88</xdr:col>
      <xdr:colOff>448235</xdr:colOff>
      <xdr:row>84</xdr:row>
      <xdr:rowOff>168088</xdr:rowOff>
    </xdr:from>
    <xdr:ext cx="4419983" cy="2476500"/>
    <xdr:pic>
      <xdr:nvPicPr>
        <xdr:cNvPr id="118" name="Imagen 117">
          <a:extLst>
            <a:ext uri="{FF2B5EF4-FFF2-40B4-BE49-F238E27FC236}">
              <a16:creationId xmlns:a16="http://schemas.microsoft.com/office/drawing/2014/main" id="{1F773FED-C849-4AAB-B2AF-097EA6B2BA1C}"/>
            </a:ext>
          </a:extLst>
        </xdr:cNvPr>
        <xdr:cNvPicPr>
          <a:picLocks noChangeAspect="1"/>
        </xdr:cNvPicPr>
      </xdr:nvPicPr>
      <xdr:blipFill>
        <a:blip xmlns:r="http://schemas.openxmlformats.org/officeDocument/2006/relationships" r:embed="rId97"/>
        <a:stretch>
          <a:fillRect/>
        </a:stretch>
      </xdr:blipFill>
      <xdr:spPr>
        <a:xfrm>
          <a:off x="215322710" y="16170088"/>
          <a:ext cx="4419983" cy="2476500"/>
        </a:xfrm>
        <a:prstGeom prst="rect">
          <a:avLst/>
        </a:prstGeom>
      </xdr:spPr>
    </xdr:pic>
    <xdr:clientData/>
  </xdr:oneCellAnchor>
  <xdr:oneCellAnchor>
    <xdr:from>
      <xdr:col>88</xdr:col>
      <xdr:colOff>448235</xdr:colOff>
      <xdr:row>58</xdr:row>
      <xdr:rowOff>1120589</xdr:rowOff>
    </xdr:from>
    <xdr:ext cx="4288651" cy="2633382"/>
    <xdr:pic>
      <xdr:nvPicPr>
        <xdr:cNvPr id="119" name="Imagen 118">
          <a:extLst>
            <a:ext uri="{FF2B5EF4-FFF2-40B4-BE49-F238E27FC236}">
              <a16:creationId xmlns:a16="http://schemas.microsoft.com/office/drawing/2014/main" id="{E519F79C-7CBE-43A5-93E6-72B5C9D914DE}"/>
            </a:ext>
          </a:extLst>
        </xdr:cNvPr>
        <xdr:cNvPicPr>
          <a:picLocks noChangeAspect="1"/>
        </xdr:cNvPicPr>
      </xdr:nvPicPr>
      <xdr:blipFill>
        <a:blip xmlns:r="http://schemas.openxmlformats.org/officeDocument/2006/relationships" r:embed="rId98"/>
        <a:stretch>
          <a:fillRect/>
        </a:stretch>
      </xdr:blipFill>
      <xdr:spPr>
        <a:xfrm>
          <a:off x="215322710" y="11236139"/>
          <a:ext cx="4288651" cy="2633382"/>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0</xdr:col>
      <xdr:colOff>297754</xdr:colOff>
      <xdr:row>0</xdr:row>
      <xdr:rowOff>118409</xdr:rowOff>
    </xdr:from>
    <xdr:to>
      <xdr:col>1</xdr:col>
      <xdr:colOff>828539</xdr:colOff>
      <xdr:row>3</xdr:row>
      <xdr:rowOff>175559</xdr:rowOff>
    </xdr:to>
    <xdr:pic>
      <xdr:nvPicPr>
        <xdr:cNvPr id="2" name="Picture 1" descr="escudo-alc">
          <a:extLst>
            <a:ext uri="{FF2B5EF4-FFF2-40B4-BE49-F238E27FC236}">
              <a16:creationId xmlns:a16="http://schemas.microsoft.com/office/drawing/2014/main" id="{D1E11872-D934-4B3C-903E-D8B131AA68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7754" y="118409"/>
          <a:ext cx="154996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yguerreroh_sdis_gov_co/Documents/Consolidados/Formatos/2020_spi_Consolidado_v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vviracacha/Desktop/SEGUIMIENTO%20A%20PROYECTOS%20SPI%20-%20OCT5%20DE%202016.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Users\vviracacha\Desktop\SEGUIMIENTO%20A%20PROYECTOS%20SPI%20-%20OCT5%20DE%202016.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vviracacha/Downloads/SPI%20-%20Indicadores%20de%20gesti&#243;n%20(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Users\vviracacha\Downloads\SPI%20-%20Indicadores%20de%20gesti&#243;n%20(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eliza\Downloads\Ejeucion%20Bogdata%2031122022%20(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lauri\Downloads\20221021_insumos_paii_III_trim_indicadores_gestion.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Info/descargas/Indicadores%20de%20gesti&#243;n_GD_Marzo_OK.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Viviana%20Mendoza\Downloads\20-04-2022%20CE_riesgos_gestion_1er%20timestre%20202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Viviana%20Mendoza\Downloads\20220419_riesgos_gestion_ti_1monitoreo.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Viviana%20Mendoza\Downloads\20220412%20reporte%20primer%20trimestre%20mapa_riesgos_plan%20GC_0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enovo/OneDrive%20-%20sdis.gov.co/SDIS%202020/7756%20LGBT/SPI/ABRIL/SPI%20Abril%207756.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Viviana%20Mendoza\Downloads\20220408_riesgos_gestion_dis_I_monitoreo_2022%20(1).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Viviana%20Mendoza\Downloads\20220407_riesgos_gestion_atc_I_monitoreo_2022%20(1).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Viviana%20Mendoza\Downloads\20-04-2022%20TH_riesgos_gestion_1er%20timestre%202022.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Viviana%20Mendoza\Downloads\20220331_riesgos_gestion_smt_v0_1monitoreo.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Viviana%20Mendoza\Downloads\20220331_riesgos_gestion_gec_v0_1monitoreo.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Viviana%20Mendoza\Downloads\20220408_riesgos_gestion_gf_I_monitoreo_2022%20(1).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Viviana%20Mendoza\Downloads\20220421_mapa_riesgos_gestion_gif.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Viviana%20Mendoza\Downloads\20220422%20Riesgos_GA_2022_I_Trimestre.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USUARIO\Downloads\20211224_for_sg_013_v2_mapa_riesgos_plan.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Viviana%20Mendoza\Downloads\18-04-2022%20GJ_riesgos_gestion_1er%20timestre%20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yguerreroh/OneDrive%20-%20sdis.gov.co/Power%20B.I/2019%20Plan%20de%20acci&#243;n%20consolidado%20SDIS/Formato%20Plan%20de%20Acci&#243;n%202019_Consolidado%20TERRI.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Viviana%20Mendoza\Downloads\20220713_riesgos_gestion_sg_2monitoreo.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Viviana%20Mendoza\Downloads\090422_mapa_riesgos_gestion_ac%20(1).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Viviana%20Mendoza\Downloads\20220412_riesgos_ivc_v0_2022_ITRIMESTRE%202022.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lauri\Downloads\20230123_insumos_paii_indicadores_gestion_202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Viviana%20Mendoza\Downloads\12-01-2023%20PE_riesgos_4to%20trimestre%202022.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SDIS/Contrato%2010417-2021/03_Riesgos/06_Abril/20220331_riesgos_pss_v0_1monitoreo.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Users/cmartinc/Downloads/1-20220926_riesgos_pss_v0_RIESGOS_DE_INTERRUPCION_OK.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David%20Moncayo\OneDrive%20-%20sdis.gov.co\DADE\SIG\PROCESOS\GESTI&#211;N%20DE%20SOPORTE%20Y%20MANTENIMIENTO%20TECNOL&#211;GICO\RIESGOS\riesgo_smt_interrupcion.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David%20Moncayo\OneDrive%20-%20sdis.gov.co\DADE\SIG\PROCESOS\GESTI&#211;N_CONTRACTUAL\RIESGOS\riesgo_gec_interrupcion.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Viviana%20Mendoza\Downloads\17-01-2023%20GIF_riesgos_4to%20trimestre%202022.xlsx"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20220128_indicadores_de_gestion_2022.xlsx?A219F2E8" TargetMode="External"/><Relationship Id="rId1" Type="http://schemas.openxmlformats.org/officeDocument/2006/relationships/externalLinkPath" Target="file:///\\A219F2E8\20220128_indicadores_de_gestion_2022.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Users\Jilmar\AppData\Local\Microsoft\Windows\INetCache\Content.Outlook\LOWAHCOG\20220929_mapa_riesgos_interrupcion_gif.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SDIS/Contrato%2010417-2021/03_Riesgos/06_Abril/20220331_riesgos_gd_v0_1monitoreo_OK.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Users\lauri\Downloads\20221231_mapa_riesgos_gestion_consolidado_4monitore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lauri/Downloads/20220128_indicadores_de_gestion_202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Copia%20de%20Propuesta%20Formato%20SPI%20Versi&#243;n%20Ajustada%20ECP%2021-02-2018(35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Copia%20de%20Propuesta%20Formato%20SPI%20Versi&#243;n%20Ajustada%20ECP%2021-02-2018(35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dade63\Users\Documents%20and%20Settings\abarrera\Mis%20documentos\DT%202014\753\Terri%20por%20cdc%20201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ade63/Users/Documents%20and%20Settings/abarrera/Mis%20documentos/DT%202014/753/Terri%20por%20cdc%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SEGUIMIENTO CUATRIENIO"/>
      <sheetName val="2. SEGUIMIENTO PRESUPUESTAL"/>
      <sheetName val="3. EJEC CONCEPTO DE GASTO "/>
      <sheetName val="4. RESUMEN EJECUTIVO"/>
      <sheetName val="5. TERRITORIALIZACIÓN"/>
      <sheetName val="5A. Unidades Operativas"/>
      <sheetName val="6. METAS, ACTIVIDADES Y TAREAS"/>
      <sheetName val="7. INDICADORES GESTION"/>
      <sheetName val="8. METAS PDD"/>
      <sheetName val="9. RECURSO HUMANO"/>
      <sheetName val="Listas"/>
      <sheetName val="GLOSARIO"/>
      <sheetName val="INSTRUCCIÓN DE DILIGENCIAMIEN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INSTRUCCIÓN DE DILIGENCIAMIENTO"/>
      <sheetName val="1. SEGUIMIENTO EJECUCIÓN PRESU"/>
      <sheetName val="Hoja1"/>
      <sheetName val="2. SEGUIMIENTO METAS PRODUCTO"/>
      <sheetName val="2.1 TERRITORIALIZACIÓN METAS"/>
      <sheetName val="3. INFORMACIÓN POBLACIONAL"/>
      <sheetName val="3.1 TERRITORIALIZACIÓN POBLAC"/>
      <sheetName val="4. METAS RESULTADO PDD"/>
      <sheetName val="Listas desplegables"/>
      <sheetName val="GLOSARIO"/>
      <sheetName val="ACTIVIDADES - TAREAS VIG"/>
      <sheetName val="Cronograma Mensu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INSTRUCCIÓN DE DILIGENCIAMIENTO"/>
      <sheetName val="1. SEGUIMIENTO EJECUCIÓN PRESU"/>
      <sheetName val="Hoja1"/>
      <sheetName val="2. SEGUIMIENTO METAS PRODUCTO"/>
      <sheetName val="2.1 TERRITORIALIZACIÓN METAS"/>
      <sheetName val="3. INFORMACIÓN POBLACIONAL"/>
      <sheetName val="3.1 TERRITORIALIZACIÓN POBLAC"/>
      <sheetName val="4. METAS RESULTADO PDD"/>
      <sheetName val="Listas desplegables"/>
      <sheetName val="GLOSARIO"/>
      <sheetName val="ACTIVIDADES - TAREAS VIG"/>
      <sheetName val="Cronograma Mensual"/>
    </sheetNames>
    <sheetDataSet>
      <sheetData sheetId="0">
        <row r="1">
          <cell r="A1" t="str">
            <v>PROYECTOS</v>
          </cell>
        </row>
      </sheetData>
      <sheetData sheetId="1"/>
      <sheetData sheetId="2">
        <row r="1">
          <cell r="A1" t="str">
            <v>PROYECTOS</v>
          </cell>
        </row>
      </sheetData>
      <sheetData sheetId="3">
        <row r="1">
          <cell r="A1" t="str">
            <v>PROYECTOS</v>
          </cell>
        </row>
        <row r="2">
          <cell r="A2" t="str">
            <v xml:space="preserve">Prevención y atención integral de la paternidad y la maternidad temprana </v>
          </cell>
          <cell r="M2">
            <v>1</v>
          </cell>
        </row>
        <row r="3">
          <cell r="A3" t="str">
            <v xml:space="preserve">Prevención y atención integral de la paternidad y la maternidad temprana </v>
          </cell>
          <cell r="M3">
            <v>1</v>
          </cell>
        </row>
        <row r="4">
          <cell r="A4" t="str">
            <v xml:space="preserve">Prevención y atención integral de la paternidad y la maternidad temprana </v>
          </cell>
          <cell r="M4">
            <v>1</v>
          </cell>
        </row>
        <row r="5">
          <cell r="A5" t="str">
            <v xml:space="preserve">Prevención y atención integral de la paternidad y la maternidad temprana </v>
          </cell>
          <cell r="M5">
            <v>1</v>
          </cell>
        </row>
        <row r="6">
          <cell r="A6" t="str">
            <v xml:space="preserve">Prevención y atención integral de la paternidad y la maternidad temprana </v>
          </cell>
          <cell r="M6">
            <v>1</v>
          </cell>
        </row>
        <row r="7">
          <cell r="A7" t="str">
            <v xml:space="preserve">Prevención y atención integral de la paternidad y la maternidad temprana </v>
          </cell>
          <cell r="M7">
            <v>1</v>
          </cell>
        </row>
        <row r="8">
          <cell r="A8" t="str">
            <v xml:space="preserve">Prevención y atención integral de la paternidad y la maternidad temprana </v>
          </cell>
          <cell r="M8">
            <v>2</v>
          </cell>
        </row>
        <row r="9">
          <cell r="A9" t="str">
            <v xml:space="preserve">Prevención y atención integral de la paternidad y la maternidad temprana </v>
          </cell>
          <cell r="M9">
            <v>2</v>
          </cell>
        </row>
        <row r="10">
          <cell r="A10" t="str">
            <v xml:space="preserve">Prevención y atención integral de la paternidad y la maternidad temprana </v>
          </cell>
          <cell r="M10">
            <v>2</v>
          </cell>
        </row>
        <row r="11">
          <cell r="A11" t="str">
            <v xml:space="preserve">Prevención y atención integral de la paternidad y la maternidad temprana </v>
          </cell>
          <cell r="M11">
            <v>2</v>
          </cell>
        </row>
        <row r="12">
          <cell r="A12" t="str">
            <v xml:space="preserve">Prevención y atención integral de la paternidad y la maternidad temprana </v>
          </cell>
          <cell r="M12">
            <v>3</v>
          </cell>
        </row>
        <row r="13">
          <cell r="A13" t="str">
            <v xml:space="preserve">Prevención y atención integral de la paternidad y la maternidad temprana </v>
          </cell>
          <cell r="M13">
            <v>3</v>
          </cell>
        </row>
        <row r="14">
          <cell r="A14" t="str">
            <v xml:space="preserve">Prevención y atención integral de la paternidad y la maternidad temprana </v>
          </cell>
          <cell r="M14">
            <v>3</v>
          </cell>
        </row>
        <row r="15">
          <cell r="A15" t="str">
            <v xml:space="preserve">Prevención y atención integral de la paternidad y la maternidad temprana </v>
          </cell>
          <cell r="M15">
            <v>3</v>
          </cell>
        </row>
        <row r="16">
          <cell r="A16" t="str">
            <v xml:space="preserve">Prevención y atención integral de la paternidad y la maternidad temprana </v>
          </cell>
          <cell r="M16">
            <v>3</v>
          </cell>
        </row>
        <row r="17">
          <cell r="A17" t="str">
            <v xml:space="preserve">Prevención y atención integral de la paternidad y la maternidad temprana </v>
          </cell>
          <cell r="M17">
            <v>3</v>
          </cell>
        </row>
        <row r="18">
          <cell r="A18" t="str">
            <v xml:space="preserve">Prevención y atención integral de la paternidad y la maternidad temprana </v>
          </cell>
          <cell r="M18">
            <v>3</v>
          </cell>
        </row>
        <row r="19">
          <cell r="A19" t="str">
            <v xml:space="preserve">Prevención y atención integral de la paternidad y la maternidad temprana </v>
          </cell>
          <cell r="M19">
            <v>3</v>
          </cell>
        </row>
      </sheetData>
      <sheetData sheetId="4"/>
      <sheetData sheetId="5"/>
      <sheetData sheetId="6"/>
      <sheetData sheetId="7"/>
      <sheetData sheetId="8"/>
      <sheetData sheetId="9"/>
      <sheetData sheetId="10"/>
      <sheetData sheetId="11"/>
      <sheetData sheetId="1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INSTRUCCIÓN DE DILIGENCIAMIENTO"/>
      <sheetName val="1. SEGUIMIENTO EJECUCIÓN PRESU"/>
      <sheetName val="Cronograma Mensual"/>
      <sheetName val="2. SEGUIMIENTO METAS PRODUCTO"/>
      <sheetName val="2.1. SEGUIM. ACTIVIDADES TAREAS"/>
      <sheetName val="2.2 TERRITORIALIZACIÓN METAS"/>
      <sheetName val="3.1 TERRITORIALIZACIÓN POBLAC"/>
      <sheetName val="3. INFORMACIÓN POBLACIONAL"/>
      <sheetName val="4. METAS PDD"/>
      <sheetName val="Listas desplegables"/>
      <sheetName val="5. INDICADORES DE GESTIÓN"/>
      <sheetName val="Hoja1"/>
      <sheetName val="GLOSAR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INSTRUCCIÓN DE DILIGENCIAMIENTO"/>
      <sheetName val="1. SEGUIMIENTO EJECUCIÓN PRESU"/>
      <sheetName val="Cronograma Mensual"/>
      <sheetName val="2. SEGUIMIENTO METAS PRODUCTO"/>
      <sheetName val="2.1. SEGUIM. ACTIVIDADES TAREAS"/>
      <sheetName val="2.2 TERRITORIALIZACIÓN METAS"/>
      <sheetName val="3.1 TERRITORIALIZACIÓN POBLAC"/>
      <sheetName val="3. INFORMACIÓN POBLACIONAL"/>
      <sheetName val="4. METAS PDD"/>
      <sheetName val="Listas desplegables"/>
      <sheetName val="5. INDICADORES DE GESTIÓN"/>
      <sheetName val="Hoja1"/>
      <sheetName val="GLOSARIO"/>
    </sheetNames>
    <sheetDataSet>
      <sheetData sheetId="0">
        <row r="1">
          <cell r="B1" t="str">
            <v>Eficacia</v>
          </cell>
        </row>
      </sheetData>
      <sheetData sheetId="1"/>
      <sheetData sheetId="2"/>
      <sheetData sheetId="3"/>
      <sheetData sheetId="4"/>
      <sheetData sheetId="5"/>
      <sheetData sheetId="6"/>
      <sheetData sheetId="7"/>
      <sheetData sheetId="8"/>
      <sheetData sheetId="9"/>
      <sheetData sheetId="10"/>
      <sheetData sheetId="11">
        <row r="1">
          <cell r="B1" t="str">
            <v>Eficacia</v>
          </cell>
        </row>
      </sheetData>
      <sheetData sheetId="12">
        <row r="1">
          <cell r="B1" t="str">
            <v>Eficacia</v>
          </cell>
          <cell r="C1" t="str">
            <v xml:space="preserve">1. Formular e implementar políticas poblacionales mediante un enfoque diferencial y de forma articulada, con el fin de aportar al goce efectivo de los derechos de las poblaciones en el territorio. </v>
          </cell>
          <cell r="D1" t="str">
            <v>Mensual</v>
          </cell>
        </row>
        <row r="2">
          <cell r="B2" t="str">
            <v>Eficiencia</v>
          </cell>
          <cell r="C2" t="str">
            <v xml:space="preserve">2. Diseñar e implementar modelos de atención integral de calidad con un enfoque territorial e intergeneracional, para el desarrollo de capacidades que faciliten la inclusión social y  mejoren  la calidad de vida de la población en mayor condición de vulnerabilidad.  </v>
          </cell>
          <cell r="D2" t="str">
            <v>Trimestral</v>
          </cell>
        </row>
        <row r="3">
          <cell r="B3" t="str">
            <v>Efectividad</v>
          </cell>
          <cell r="C3" t="str">
            <v>3. Diseñar e implementar estrategias de prevención de forma coordinada con otros sectores, que permitan reducir los factores sociales generadores de violencia y la vulneración de derechos, promoviendo una cultura de convivencia y reconciliación.</v>
          </cell>
          <cell r="D3" t="str">
            <v>Semestral</v>
          </cell>
        </row>
        <row r="4">
          <cell r="C4" t="str">
            <v>4. Generar información oportuna, veraz y de calidad mediante el desarrollo de un sistema de información y de gestión del conocimiento con el propósito de soportar la toma de decisiones,  realizar  el  seguimiento y la evaluación de la gestión, y la rendición de cuentas institucional.</v>
          </cell>
          <cell r="D4" t="str">
            <v>Anual</v>
          </cell>
        </row>
        <row r="5">
          <cell r="C5" t="str">
            <v>5. Fortalecer la capacidad institucional y el talento humano a través de la optimización de la operación interna, el mejoramiento de los procesos y los procedimientos, y el desarrollo de competencias con el propósito de incrementar la productividad organizacional y  la calidad de los servicios que presta la Secretaría Distrital de Integración Social.</v>
          </cell>
        </row>
      </sheetData>
      <sheetData sheetId="1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jecución Presupuestal Gastos C"/>
      <sheetName val="Hoja1"/>
      <sheetName val="CONSOLIDADO"/>
    </sheetNames>
    <sheetDataSet>
      <sheetData sheetId="0"/>
      <sheetData sheetId="1">
        <row r="4">
          <cell r="A4" t="str">
            <v>1221-100-F001  VA-Recursos distrito</v>
          </cell>
          <cell r="B4">
            <v>122</v>
          </cell>
          <cell r="C4" t="str">
            <v>1-100-F001  VA-Recursos distrito</v>
          </cell>
          <cell r="D4">
            <v>29469416600</v>
          </cell>
          <cell r="E4">
            <v>29236837792</v>
          </cell>
        </row>
        <row r="5">
          <cell r="A5" t="str">
            <v>1221-601-F001  PAS-Otros distrito</v>
          </cell>
          <cell r="B5">
            <v>122</v>
          </cell>
          <cell r="C5" t="str">
            <v>1-601-F001  PAS-Otros distrito</v>
          </cell>
          <cell r="D5">
            <v>16485400</v>
          </cell>
          <cell r="E5">
            <v>16485400</v>
          </cell>
        </row>
        <row r="6">
          <cell r="A6" t="str">
            <v>75641-100-F001  VA-Recursos distrito</v>
          </cell>
          <cell r="B6">
            <v>7564</v>
          </cell>
          <cell r="C6" t="str">
            <v>1-100-F001  VA-Recursos distrito</v>
          </cell>
          <cell r="D6">
            <v>2821202280</v>
          </cell>
          <cell r="E6">
            <v>2662971256</v>
          </cell>
        </row>
        <row r="7">
          <cell r="A7" t="str">
            <v>75641-100-F039  VA-Crédito</v>
          </cell>
          <cell r="B7">
            <v>7564</v>
          </cell>
          <cell r="C7" t="str">
            <v>1-100-F039  VA-Crédito</v>
          </cell>
          <cell r="D7">
            <v>2467000000</v>
          </cell>
          <cell r="E7">
            <v>2146066738</v>
          </cell>
        </row>
        <row r="8">
          <cell r="A8" t="str">
            <v>75641-601-F001  PAS-Otros distrito</v>
          </cell>
          <cell r="B8">
            <v>7564</v>
          </cell>
          <cell r="C8" t="str">
            <v>1-601-F001  PAS-Otros distrito</v>
          </cell>
          <cell r="D8">
            <v>9720</v>
          </cell>
          <cell r="E8">
            <v>9720</v>
          </cell>
        </row>
        <row r="9">
          <cell r="A9" t="str">
            <v>75641-601-I052  PAS-SGP propósito general</v>
          </cell>
          <cell r="B9">
            <v>7564</v>
          </cell>
          <cell r="C9" t="str">
            <v>1-601-I052  PAS-SGP propósito general</v>
          </cell>
          <cell r="D9">
            <v>18981000</v>
          </cell>
          <cell r="E9">
            <v>34545</v>
          </cell>
        </row>
        <row r="10">
          <cell r="A10" t="str">
            <v>75642-100-I009  VA-SGP propósito general</v>
          </cell>
          <cell r="B10">
            <v>7564</v>
          </cell>
          <cell r="C10" t="str">
            <v>2-100-I009  VA-SGP propósito general</v>
          </cell>
          <cell r="D10">
            <v>13965188000</v>
          </cell>
          <cell r="E10">
            <v>13857612092</v>
          </cell>
        </row>
        <row r="11">
          <cell r="A11" t="str">
            <v>75651-100-F001  VA-Recursos distrito</v>
          </cell>
          <cell r="B11">
            <v>7565</v>
          </cell>
          <cell r="C11" t="str">
            <v>1-100-F001  VA-Recursos distrito</v>
          </cell>
          <cell r="D11">
            <v>17885705465</v>
          </cell>
          <cell r="E11">
            <v>17324004693</v>
          </cell>
        </row>
        <row r="12">
          <cell r="A12" t="str">
            <v>75651-100-F039  VA-Crédito</v>
          </cell>
          <cell r="B12">
            <v>7565</v>
          </cell>
          <cell r="C12" t="str">
            <v>1-100-F039  VA-Crédito</v>
          </cell>
          <cell r="D12">
            <v>68492893211</v>
          </cell>
          <cell r="E12">
            <v>67271600971</v>
          </cell>
        </row>
        <row r="13">
          <cell r="A13" t="str">
            <v>75651-100-I012  VA-Estampilla propersonas mayores</v>
          </cell>
          <cell r="B13">
            <v>7565</v>
          </cell>
          <cell r="C13" t="str">
            <v>1-100-I012  VA-Estampilla propersonas mayores</v>
          </cell>
          <cell r="D13">
            <v>535332000</v>
          </cell>
          <cell r="E13">
            <v>492453097</v>
          </cell>
        </row>
        <row r="14">
          <cell r="A14" t="str">
            <v>75651-300-I010  REAF-Estampilla propersonas mayor</v>
          </cell>
          <cell r="B14">
            <v>7565</v>
          </cell>
          <cell r="C14" t="str">
            <v>1-300-I010  REAF-Estampilla propersonas mayor</v>
          </cell>
          <cell r="D14">
            <v>114166000</v>
          </cell>
          <cell r="E14">
            <v>58314082</v>
          </cell>
        </row>
        <row r="15">
          <cell r="A15" t="str">
            <v>75651-601-F001  PAS-Otros distrito</v>
          </cell>
          <cell r="B15">
            <v>7565</v>
          </cell>
          <cell r="C15" t="str">
            <v>1-601-F001  PAS-Otros distrito</v>
          </cell>
          <cell r="D15">
            <v>492172887</v>
          </cell>
          <cell r="E15">
            <v>492172887</v>
          </cell>
        </row>
        <row r="16">
          <cell r="A16" t="str">
            <v>75651-601-I012  PAS-Estampilla propersonas mayore</v>
          </cell>
          <cell r="B16">
            <v>7565</v>
          </cell>
          <cell r="C16" t="str">
            <v>1-601-I012  PAS-Estampilla propersonas mayore</v>
          </cell>
          <cell r="D16">
            <v>1365605000</v>
          </cell>
          <cell r="E16">
            <v>678842536</v>
          </cell>
        </row>
        <row r="17">
          <cell r="A17" t="str">
            <v>75651-601-I037  PAS-Crédito</v>
          </cell>
          <cell r="B17">
            <v>7565</v>
          </cell>
          <cell r="C17" t="str">
            <v>1-601-I037  PAS-Crédito</v>
          </cell>
          <cell r="D17">
            <v>46845648</v>
          </cell>
          <cell r="E17">
            <v>46845648</v>
          </cell>
        </row>
        <row r="18">
          <cell r="A18" t="str">
            <v>77301-100-F001  VA-Recursos distrito</v>
          </cell>
          <cell r="B18">
            <v>7730</v>
          </cell>
          <cell r="C18" t="str">
            <v>1-100-F001  VA-Recursos distrito</v>
          </cell>
          <cell r="D18">
            <v>1391601000</v>
          </cell>
          <cell r="E18">
            <v>1214701588</v>
          </cell>
        </row>
        <row r="19">
          <cell r="A19" t="str">
            <v>77302-100-I009  VA-SGP propósito general</v>
          </cell>
          <cell r="B19">
            <v>7730</v>
          </cell>
          <cell r="C19" t="str">
            <v>2-100-I009  VA-SGP propósito general</v>
          </cell>
          <cell r="D19">
            <v>766108444</v>
          </cell>
          <cell r="E19">
            <v>0</v>
          </cell>
        </row>
        <row r="20">
          <cell r="A20" t="str">
            <v>77331-100-F001  VA-Recursos distrito</v>
          </cell>
          <cell r="B20">
            <v>7733</v>
          </cell>
          <cell r="C20" t="str">
            <v>1-100-F001  VA-Recursos distrito</v>
          </cell>
          <cell r="D20">
            <v>4917147608</v>
          </cell>
          <cell r="E20">
            <v>4915040322</v>
          </cell>
        </row>
        <row r="21">
          <cell r="A21" t="str">
            <v>77331-601-F001  PAS-Otros distrito</v>
          </cell>
          <cell r="B21">
            <v>7733</v>
          </cell>
          <cell r="C21" t="str">
            <v>1-601-F001  PAS-Otros distrito</v>
          </cell>
          <cell r="D21">
            <v>4392</v>
          </cell>
          <cell r="E21">
            <v>4392</v>
          </cell>
        </row>
        <row r="22">
          <cell r="A22" t="str">
            <v>77351-100-F001  VA-Recursos distrito</v>
          </cell>
          <cell r="B22">
            <v>7735</v>
          </cell>
          <cell r="C22" t="str">
            <v>1-100-F001  VA-Recursos distrito</v>
          </cell>
          <cell r="D22">
            <v>5327538822</v>
          </cell>
          <cell r="E22">
            <v>4882269881</v>
          </cell>
        </row>
        <row r="23">
          <cell r="A23" t="str">
            <v>77351-200-F001  RB-Otros distrito</v>
          </cell>
          <cell r="B23">
            <v>7735</v>
          </cell>
          <cell r="C23" t="str">
            <v>1-200-F001  RB-Otros distrito</v>
          </cell>
          <cell r="D23">
            <v>1269282829</v>
          </cell>
          <cell r="E23">
            <v>1170882348</v>
          </cell>
        </row>
        <row r="24">
          <cell r="A24" t="str">
            <v>77351-601-F001  PAS-Otros distrito</v>
          </cell>
          <cell r="B24">
            <v>7735</v>
          </cell>
          <cell r="C24" t="str">
            <v>1-601-F001  PAS-Otros distrito</v>
          </cell>
          <cell r="D24">
            <v>296178</v>
          </cell>
          <cell r="E24">
            <v>296178</v>
          </cell>
        </row>
        <row r="25">
          <cell r="A25" t="str">
            <v>77401-100-F001  VA-Recursos distrito</v>
          </cell>
          <cell r="B25">
            <v>7740</v>
          </cell>
          <cell r="C25" t="str">
            <v>1-100-F001  VA-Recursos distrito</v>
          </cell>
          <cell r="D25">
            <v>7736893621</v>
          </cell>
          <cell r="E25">
            <v>7664663811</v>
          </cell>
        </row>
        <row r="26">
          <cell r="A26" t="str">
            <v>77401-100-F039  VA-Crédito</v>
          </cell>
          <cell r="B26">
            <v>7740</v>
          </cell>
          <cell r="C26" t="str">
            <v>1-100-F039  VA-Crédito</v>
          </cell>
          <cell r="D26">
            <v>7703504000</v>
          </cell>
          <cell r="E26">
            <v>7703340139</v>
          </cell>
        </row>
        <row r="27">
          <cell r="A27" t="str">
            <v>77401-601-F001  PAS-Otros distrito</v>
          </cell>
          <cell r="B27">
            <v>7740</v>
          </cell>
          <cell r="C27" t="str">
            <v>1-601-F001  PAS-Otros distrito</v>
          </cell>
          <cell r="D27">
            <v>2589879</v>
          </cell>
          <cell r="E27">
            <v>2589879</v>
          </cell>
        </row>
        <row r="28">
          <cell r="A28" t="str">
            <v>77402-100-I009  VA-SGP propósito general</v>
          </cell>
          <cell r="B28">
            <v>7740</v>
          </cell>
          <cell r="C28" t="str">
            <v>2-100-I009  VA-SGP propósito general</v>
          </cell>
          <cell r="D28">
            <v>1000000000</v>
          </cell>
          <cell r="E28">
            <v>976420000</v>
          </cell>
        </row>
        <row r="29">
          <cell r="A29" t="str">
            <v>77411-100-F001  VA-Recursos distrito</v>
          </cell>
          <cell r="B29">
            <v>7741</v>
          </cell>
          <cell r="C29" t="str">
            <v>1-100-F001  VA-Recursos distrito</v>
          </cell>
          <cell r="D29">
            <v>18440931589</v>
          </cell>
          <cell r="E29">
            <v>18428080832</v>
          </cell>
        </row>
        <row r="30">
          <cell r="A30" t="str">
            <v>77411-100-F039  VA-Crédito</v>
          </cell>
          <cell r="B30">
            <v>7741</v>
          </cell>
          <cell r="C30" t="str">
            <v>1-100-F039  VA-Crédito</v>
          </cell>
          <cell r="D30">
            <v>2550000000</v>
          </cell>
          <cell r="E30">
            <v>2545784754</v>
          </cell>
        </row>
        <row r="31">
          <cell r="A31" t="str">
            <v>77411-601-F001  PAS-Otros distrito</v>
          </cell>
          <cell r="B31">
            <v>7741</v>
          </cell>
          <cell r="C31" t="str">
            <v>1-601-F001  PAS-Otros distrito</v>
          </cell>
          <cell r="D31">
            <v>6543411</v>
          </cell>
          <cell r="E31">
            <v>6543411</v>
          </cell>
        </row>
        <row r="32">
          <cell r="A32" t="str">
            <v>77441-100-F001  VA-Recursos distrito</v>
          </cell>
          <cell r="B32">
            <v>7744</v>
          </cell>
          <cell r="C32" t="str">
            <v>1-100-F001  VA-Recursos distrito</v>
          </cell>
          <cell r="D32">
            <v>57389926287</v>
          </cell>
          <cell r="E32">
            <v>56654900532</v>
          </cell>
        </row>
        <row r="33">
          <cell r="A33" t="str">
            <v>77441-100-F039  VA-Crédito</v>
          </cell>
          <cell r="B33">
            <v>7744</v>
          </cell>
          <cell r="C33" t="str">
            <v>1-100-F039  VA-Crédito</v>
          </cell>
          <cell r="D33">
            <v>14712496000</v>
          </cell>
          <cell r="E33">
            <v>12734982483</v>
          </cell>
        </row>
        <row r="34">
          <cell r="A34" t="str">
            <v>77441-200-I049  RB-SGP propósito general</v>
          </cell>
          <cell r="B34">
            <v>7744</v>
          </cell>
          <cell r="C34" t="str">
            <v>1-200-I049  RB-SGP propósito general</v>
          </cell>
          <cell r="D34">
            <v>7721615000</v>
          </cell>
          <cell r="E34">
            <v>7719259482</v>
          </cell>
        </row>
        <row r="35">
          <cell r="A35" t="str">
            <v>77441-601-F001  PAS-Otros distrito</v>
          </cell>
          <cell r="B35">
            <v>7744</v>
          </cell>
          <cell r="C35" t="str">
            <v>1-601-F001  PAS-Otros distrito</v>
          </cell>
          <cell r="D35">
            <v>27690005</v>
          </cell>
          <cell r="E35">
            <v>27690005</v>
          </cell>
        </row>
        <row r="36">
          <cell r="A36" t="str">
            <v>77441-601-I039  PAS-Otras nación</v>
          </cell>
          <cell r="B36">
            <v>7744</v>
          </cell>
          <cell r="C36" t="str">
            <v>1-601-I039  PAS-Otras nación</v>
          </cell>
          <cell r="D36">
            <v>61549000</v>
          </cell>
          <cell r="E36">
            <v>23775882</v>
          </cell>
        </row>
        <row r="37">
          <cell r="A37" t="str">
            <v>77441-601-I052  PAS-SGP propósito general</v>
          </cell>
          <cell r="B37">
            <v>7744</v>
          </cell>
          <cell r="C37" t="str">
            <v>1-601-I052  PAS-SGP propósito general</v>
          </cell>
          <cell r="D37">
            <v>153433000</v>
          </cell>
          <cell r="E37">
            <v>100090345</v>
          </cell>
        </row>
        <row r="38">
          <cell r="A38" t="str">
            <v>77442-100-I009  VA-SGP propósito general</v>
          </cell>
          <cell r="B38">
            <v>7744</v>
          </cell>
          <cell r="C38" t="str">
            <v>2-100-I009  VA-SGP propósito general</v>
          </cell>
          <cell r="D38">
            <v>89156448556</v>
          </cell>
          <cell r="E38">
            <v>88795582928</v>
          </cell>
        </row>
        <row r="39">
          <cell r="A39" t="str">
            <v>77442-100-I016  VA-Otras transferencias nación</v>
          </cell>
          <cell r="B39">
            <v>7744</v>
          </cell>
          <cell r="C39" t="str">
            <v>2-100-I016  VA-Otras transferencias nación</v>
          </cell>
          <cell r="D39">
            <v>26051239470</v>
          </cell>
          <cell r="E39">
            <v>25983449002</v>
          </cell>
        </row>
        <row r="40">
          <cell r="A40" t="str">
            <v>77451-100-F001  VA-Recursos distrito</v>
          </cell>
          <cell r="B40">
            <v>7745</v>
          </cell>
          <cell r="C40" t="str">
            <v>1-100-F001  VA-Recursos distrito</v>
          </cell>
          <cell r="D40">
            <v>174711812402</v>
          </cell>
          <cell r="E40">
            <v>173135736121</v>
          </cell>
        </row>
        <row r="41">
          <cell r="A41" t="str">
            <v>77451-100-F039  VA-Crédito</v>
          </cell>
          <cell r="B41">
            <v>7745</v>
          </cell>
          <cell r="C41" t="str">
            <v>1-100-F039  VA-Crédito</v>
          </cell>
          <cell r="D41">
            <v>3114455978</v>
          </cell>
          <cell r="E41">
            <v>2469561000</v>
          </cell>
        </row>
        <row r="42">
          <cell r="A42" t="str">
            <v>77451-100-I012  VA-Estampilla propersonas mayores</v>
          </cell>
          <cell r="B42">
            <v>7745</v>
          </cell>
          <cell r="C42" t="str">
            <v>1-100-I012  VA-Estampilla propersonas mayores</v>
          </cell>
          <cell r="D42">
            <v>25558832000</v>
          </cell>
          <cell r="E42">
            <v>10844432924</v>
          </cell>
        </row>
        <row r="43">
          <cell r="A43" t="str">
            <v>77451-200-F001  RB-Otros distrito</v>
          </cell>
          <cell r="B43">
            <v>7745</v>
          </cell>
          <cell r="C43" t="str">
            <v>1-200-F001  RB-Otros distrito</v>
          </cell>
          <cell r="D43">
            <v>17500000000</v>
          </cell>
          <cell r="E43">
            <v>17499999998</v>
          </cell>
        </row>
        <row r="44">
          <cell r="A44" t="str">
            <v>77451-200-I012  RB-Estampilla propersonas mayores</v>
          </cell>
          <cell r="B44">
            <v>7745</v>
          </cell>
          <cell r="C44" t="str">
            <v>1-200-I012  RB-Estampilla propersonas mayores</v>
          </cell>
          <cell r="D44">
            <v>3308993000</v>
          </cell>
          <cell r="E44">
            <v>3308993000</v>
          </cell>
        </row>
        <row r="45">
          <cell r="A45" t="str">
            <v>77451-601-F001  PAS-Otros distrito</v>
          </cell>
          <cell r="B45">
            <v>7745</v>
          </cell>
          <cell r="C45" t="str">
            <v>1-601-F001  PAS-Otros distrito</v>
          </cell>
          <cell r="D45">
            <v>788767969</v>
          </cell>
          <cell r="E45">
            <v>788767969</v>
          </cell>
        </row>
        <row r="46">
          <cell r="A46" t="str">
            <v>77451-601-I004  PAS-1% ingresos corrientes-Ley 99</v>
          </cell>
          <cell r="B46">
            <v>7745</v>
          </cell>
          <cell r="C46" t="str">
            <v>1-601-I004  PAS-1% ingresos corrientes-Ley 99</v>
          </cell>
          <cell r="D46">
            <v>46000</v>
          </cell>
          <cell r="E46">
            <v>0</v>
          </cell>
        </row>
        <row r="47">
          <cell r="A47" t="str">
            <v>77451-601-I012  PAS-Estampilla propersonas mayore</v>
          </cell>
          <cell r="B47">
            <v>7745</v>
          </cell>
          <cell r="C47" t="str">
            <v>1-601-I012  PAS-Estampilla propersonas mayore</v>
          </cell>
          <cell r="D47">
            <v>740742000</v>
          </cell>
          <cell r="E47">
            <v>0</v>
          </cell>
        </row>
        <row r="48">
          <cell r="A48" t="str">
            <v>77451-601-I015  PAS-Multas de tránsito</v>
          </cell>
          <cell r="B48">
            <v>7745</v>
          </cell>
          <cell r="C48" t="str">
            <v>1-601-I015  PAS-Multas de tránsito</v>
          </cell>
          <cell r="D48">
            <v>39118000</v>
          </cell>
          <cell r="E48">
            <v>5168162</v>
          </cell>
        </row>
        <row r="49">
          <cell r="A49" t="str">
            <v>77451-601-I025  PAS-Derechos de tránsito</v>
          </cell>
          <cell r="B49">
            <v>7745</v>
          </cell>
          <cell r="C49" t="str">
            <v>1-601-I025  PAS-Derechos de tránsito</v>
          </cell>
          <cell r="D49">
            <v>68676000</v>
          </cell>
          <cell r="E49">
            <v>68676000</v>
          </cell>
        </row>
        <row r="50">
          <cell r="A50" t="str">
            <v>77451-601-I052  PAS-SGP propósito general</v>
          </cell>
          <cell r="B50">
            <v>7745</v>
          </cell>
          <cell r="C50" t="str">
            <v>1-601-I052  PAS-SGP propósito general</v>
          </cell>
          <cell r="D50">
            <v>2721977000</v>
          </cell>
          <cell r="E50">
            <v>375504903</v>
          </cell>
        </row>
        <row r="51">
          <cell r="A51" t="str">
            <v>77451-602-I049  PAS-RB-SGP propósito general</v>
          </cell>
          <cell r="B51">
            <v>7745</v>
          </cell>
          <cell r="C51" t="str">
            <v>1-602-I049  PAS-RB-SGP propósito general</v>
          </cell>
          <cell r="D51">
            <v>73549000</v>
          </cell>
          <cell r="E51">
            <v>0</v>
          </cell>
        </row>
        <row r="52">
          <cell r="A52" t="str">
            <v>77452-100-I009  VA-SGP propósito general</v>
          </cell>
          <cell r="B52">
            <v>7745</v>
          </cell>
          <cell r="C52" t="str">
            <v>2-100-I009  VA-SGP propósito general</v>
          </cell>
          <cell r="D52">
            <v>28747027000</v>
          </cell>
          <cell r="E52">
            <v>28292822809</v>
          </cell>
        </row>
        <row r="53">
          <cell r="A53" t="str">
            <v>77481-100-F001  VA-Recursos distrito</v>
          </cell>
          <cell r="B53">
            <v>7748</v>
          </cell>
          <cell r="C53" t="str">
            <v>1-100-F001  VA-Recursos distrito</v>
          </cell>
          <cell r="D53">
            <v>295166119414</v>
          </cell>
          <cell r="E53">
            <v>294926368616</v>
          </cell>
        </row>
        <row r="54">
          <cell r="A54" t="str">
            <v>77481-100-I012  VA-Estampilla propersonas mayores</v>
          </cell>
          <cell r="B54">
            <v>7748</v>
          </cell>
          <cell r="C54" t="str">
            <v>1-100-I012  VA-Estampilla propersonas mayores</v>
          </cell>
          <cell r="D54">
            <v>7643711000</v>
          </cell>
          <cell r="E54">
            <v>7607275014</v>
          </cell>
        </row>
        <row r="55">
          <cell r="A55" t="str">
            <v>77481-300-I010  REAF-Estampilla propersonas mayor</v>
          </cell>
          <cell r="B55">
            <v>7748</v>
          </cell>
          <cell r="C55" t="str">
            <v>1-300-I010  REAF-Estampilla propersonas mayor</v>
          </cell>
          <cell r="D55">
            <v>1631788852</v>
          </cell>
          <cell r="E55">
            <v>1631788852</v>
          </cell>
        </row>
        <row r="56">
          <cell r="A56" t="str">
            <v>77481-601-F001  PAS-Otros distrito</v>
          </cell>
          <cell r="B56">
            <v>7748</v>
          </cell>
          <cell r="C56" t="str">
            <v>1-601-F001  PAS-Otros distrito</v>
          </cell>
          <cell r="D56">
            <v>293378099</v>
          </cell>
          <cell r="E56">
            <v>293378099</v>
          </cell>
        </row>
        <row r="57">
          <cell r="A57" t="str">
            <v>77491-100-F001  VA-Recursos distrito</v>
          </cell>
          <cell r="B57">
            <v>7749</v>
          </cell>
          <cell r="C57" t="str">
            <v>1-100-F001  VA-Recursos distrito</v>
          </cell>
          <cell r="D57">
            <v>5108304417</v>
          </cell>
          <cell r="E57">
            <v>5024851193</v>
          </cell>
        </row>
        <row r="58">
          <cell r="A58" t="str">
            <v>77491-601-F001  PAS-Otros distrito</v>
          </cell>
          <cell r="B58">
            <v>7749</v>
          </cell>
          <cell r="C58" t="str">
            <v>1-601-F001  PAS-Otros distrito</v>
          </cell>
          <cell r="D58">
            <v>9251</v>
          </cell>
          <cell r="E58">
            <v>9251</v>
          </cell>
        </row>
        <row r="59">
          <cell r="A59" t="str">
            <v>77492-100-I009  VA-SGP propósito general</v>
          </cell>
          <cell r="B59">
            <v>7749</v>
          </cell>
          <cell r="C59" t="str">
            <v>2-100-I009  VA-SGP propósito general</v>
          </cell>
          <cell r="D59">
            <v>448101000</v>
          </cell>
          <cell r="E59">
            <v>448101000</v>
          </cell>
        </row>
        <row r="60">
          <cell r="A60" t="str">
            <v>77521-100-F001  VA-Recursos distrito</v>
          </cell>
          <cell r="B60">
            <v>7752</v>
          </cell>
          <cell r="C60" t="str">
            <v>1-100-F001  VA-Recursos distrito</v>
          </cell>
          <cell r="D60">
            <v>111353000</v>
          </cell>
          <cell r="E60">
            <v>109811011</v>
          </cell>
        </row>
        <row r="61">
          <cell r="A61" t="str">
            <v>77521-601-I052  PAS-SGP propósito general</v>
          </cell>
          <cell r="B61">
            <v>7752</v>
          </cell>
          <cell r="C61" t="str">
            <v>1-601-I052  PAS-SGP propósito general</v>
          </cell>
          <cell r="D61">
            <v>1754000</v>
          </cell>
          <cell r="E61">
            <v>0</v>
          </cell>
        </row>
        <row r="62">
          <cell r="A62" t="str">
            <v>77522-100-I009  VA-SGP propósito general</v>
          </cell>
          <cell r="B62">
            <v>7752</v>
          </cell>
          <cell r="C62" t="str">
            <v>2-100-I009  VA-SGP propósito general</v>
          </cell>
          <cell r="D62">
            <v>4739247000</v>
          </cell>
          <cell r="E62">
            <v>4702070763</v>
          </cell>
        </row>
        <row r="63">
          <cell r="A63" t="str">
            <v>77531-100-F001  VA-Recursos distrito</v>
          </cell>
          <cell r="B63">
            <v>7753</v>
          </cell>
          <cell r="C63" t="str">
            <v>1-100-F001  VA-Recursos distrito</v>
          </cell>
          <cell r="D63">
            <v>1023213259</v>
          </cell>
          <cell r="E63">
            <v>998922200</v>
          </cell>
        </row>
        <row r="64">
          <cell r="A64" t="str">
            <v>77531-601-F001  PAS-Otros distrito</v>
          </cell>
          <cell r="B64">
            <v>7753</v>
          </cell>
          <cell r="C64" t="str">
            <v>1-601-F001  PAS-Otros distrito</v>
          </cell>
          <cell r="D64">
            <v>241</v>
          </cell>
          <cell r="E64">
            <v>241</v>
          </cell>
        </row>
        <row r="65">
          <cell r="A65" t="str">
            <v>77561-100-F001  VA-Recursos distrito</v>
          </cell>
          <cell r="B65">
            <v>7756</v>
          </cell>
          <cell r="C65" t="str">
            <v>1-100-F001  VA-Recursos distrito</v>
          </cell>
          <cell r="D65">
            <v>3226809260</v>
          </cell>
          <cell r="E65">
            <v>3046509915</v>
          </cell>
        </row>
        <row r="66">
          <cell r="A66" t="str">
            <v>77561-100-F039  VA-Crédito</v>
          </cell>
          <cell r="B66">
            <v>7756</v>
          </cell>
          <cell r="C66" t="str">
            <v>1-100-F039  VA-Crédito</v>
          </cell>
          <cell r="D66">
            <v>1518450440</v>
          </cell>
          <cell r="E66">
            <v>1235540160</v>
          </cell>
        </row>
        <row r="67">
          <cell r="A67" t="str">
            <v>77561-601-F001  PAS-Otros distrito</v>
          </cell>
          <cell r="B67">
            <v>7756</v>
          </cell>
          <cell r="C67" t="str">
            <v>1-601-F001  PAS-Otros distrito</v>
          </cell>
          <cell r="D67">
            <v>2899740</v>
          </cell>
          <cell r="E67">
            <v>2899740</v>
          </cell>
        </row>
        <row r="68">
          <cell r="A68" t="str">
            <v>77562-100-I009  VA-SGP propósito general</v>
          </cell>
          <cell r="B68">
            <v>7756</v>
          </cell>
          <cell r="C68" t="str">
            <v>2-100-I009  VA-SGP propósito general</v>
          </cell>
          <cell r="D68">
            <v>58327560</v>
          </cell>
          <cell r="E68">
            <v>19442520</v>
          </cell>
        </row>
        <row r="69">
          <cell r="A69" t="str">
            <v>77571-100-F001  VA-Recursos distrito</v>
          </cell>
          <cell r="B69">
            <v>7757</v>
          </cell>
          <cell r="C69" t="str">
            <v>1-100-F001  VA-Recursos distrito</v>
          </cell>
          <cell r="D69">
            <v>23705929461</v>
          </cell>
          <cell r="E69">
            <v>23310593831</v>
          </cell>
        </row>
        <row r="70">
          <cell r="A70" t="str">
            <v>77571-100-I008  VA-Fondo de pobres y espectáculos</v>
          </cell>
          <cell r="B70">
            <v>7757</v>
          </cell>
          <cell r="C70" t="str">
            <v>1-100-I008  VA-Fondo de pobres y espectáculos</v>
          </cell>
          <cell r="D70">
            <v>9114541000</v>
          </cell>
          <cell r="E70">
            <v>8929749641</v>
          </cell>
        </row>
        <row r="71">
          <cell r="A71" t="str">
            <v>77571-601-F001  PAS-Otros distrito</v>
          </cell>
          <cell r="B71">
            <v>7757</v>
          </cell>
          <cell r="C71" t="str">
            <v>1-601-F001  PAS-Otros distrito</v>
          </cell>
          <cell r="D71">
            <v>6535506</v>
          </cell>
          <cell r="E71">
            <v>6535506</v>
          </cell>
        </row>
        <row r="72">
          <cell r="A72" t="str">
            <v>77571-601-I008  PAS-Fondo pobres y espectáculos p</v>
          </cell>
          <cell r="B72">
            <v>7757</v>
          </cell>
          <cell r="C72" t="str">
            <v>1-601-I008  PAS-Fondo pobres y espectáculos p</v>
          </cell>
          <cell r="D72">
            <v>11783433</v>
          </cell>
          <cell r="E72">
            <v>9047691</v>
          </cell>
        </row>
        <row r="73">
          <cell r="A73" t="str">
            <v>77571-601-I052  PAS-SGP propósito general</v>
          </cell>
          <cell r="B73">
            <v>7757</v>
          </cell>
          <cell r="C73" t="str">
            <v>1-601-I052  PAS-SGP propósito general</v>
          </cell>
          <cell r="D73">
            <v>1256000</v>
          </cell>
          <cell r="E73">
            <v>647733</v>
          </cell>
        </row>
        <row r="74">
          <cell r="A74" t="str">
            <v>77571-602-I008  PAS-RB-Fondo pobres y espectáculo</v>
          </cell>
          <cell r="B74">
            <v>7757</v>
          </cell>
          <cell r="C74" t="str">
            <v>1-602-I008  PAS-RB-Fondo pobres y espectáculo</v>
          </cell>
          <cell r="D74">
            <v>3017600</v>
          </cell>
          <cell r="E74">
            <v>2288600</v>
          </cell>
        </row>
        <row r="75">
          <cell r="A75" t="str">
            <v>77571-602-I049  PAS-RB-SGP propósito general</v>
          </cell>
          <cell r="B75">
            <v>7757</v>
          </cell>
          <cell r="C75" t="str">
            <v>1-602-I049  PAS-RB-SGP propósito general</v>
          </cell>
          <cell r="D75">
            <v>28135000</v>
          </cell>
          <cell r="E75">
            <v>28100770</v>
          </cell>
        </row>
        <row r="76">
          <cell r="A76" t="str">
            <v>77572-100-I009  VA-SGP propósito general</v>
          </cell>
          <cell r="B76">
            <v>7757</v>
          </cell>
          <cell r="C76" t="str">
            <v>2-100-I009  VA-SGP propósito general</v>
          </cell>
          <cell r="D76">
            <v>10772754000</v>
          </cell>
          <cell r="E76">
            <v>10629664318</v>
          </cell>
        </row>
        <row r="77">
          <cell r="A77" t="str">
            <v>77681-100-F001  VA-Recursos distrito</v>
          </cell>
          <cell r="B77">
            <v>7768</v>
          </cell>
          <cell r="C77" t="str">
            <v>1-100-F001  VA-Recursos distrito</v>
          </cell>
          <cell r="D77">
            <v>5397306698</v>
          </cell>
          <cell r="E77">
            <v>5276263994</v>
          </cell>
        </row>
        <row r="78">
          <cell r="A78" t="str">
            <v>77681-100-F039  VA-Crédito</v>
          </cell>
          <cell r="B78">
            <v>7768</v>
          </cell>
          <cell r="C78" t="str">
            <v>1-100-F039  VA-Crédito</v>
          </cell>
          <cell r="D78">
            <v>1000000000</v>
          </cell>
          <cell r="E78">
            <v>1000000000</v>
          </cell>
        </row>
        <row r="79">
          <cell r="A79" t="str">
            <v>77682-100-I009  VA-SGP propósito general</v>
          </cell>
          <cell r="B79">
            <v>7768</v>
          </cell>
          <cell r="C79" t="str">
            <v>2-100-I009  VA-SGP propósito general</v>
          </cell>
          <cell r="D79">
            <v>0</v>
          </cell>
          <cell r="E79">
            <v>0</v>
          </cell>
        </row>
        <row r="80">
          <cell r="A80" t="str">
            <v>77701-100-F001  VA-Recursos distrito</v>
          </cell>
          <cell r="B80">
            <v>7770</v>
          </cell>
          <cell r="C80" t="str">
            <v>1-100-F001  VA-Recursos distrito</v>
          </cell>
          <cell r="D80">
            <v>141916936267</v>
          </cell>
          <cell r="E80">
            <v>141554272935</v>
          </cell>
        </row>
        <row r="81">
          <cell r="A81" t="str">
            <v>77701-100-I012  VA-Estampilla propersonas mayores</v>
          </cell>
          <cell r="B81">
            <v>7770</v>
          </cell>
          <cell r="C81" t="str">
            <v>1-100-I012  VA-Estampilla propersonas mayores</v>
          </cell>
          <cell r="D81">
            <v>43431665000</v>
          </cell>
          <cell r="E81">
            <v>41863773653</v>
          </cell>
        </row>
        <row r="82">
          <cell r="A82" t="str">
            <v>77701-200-F001  RB-Otros distrito</v>
          </cell>
          <cell r="B82">
            <v>7770</v>
          </cell>
          <cell r="C82" t="str">
            <v>1-200-F001  RB-Otros distrito</v>
          </cell>
          <cell r="D82">
            <v>12230717171</v>
          </cell>
          <cell r="E82">
            <v>12140150567</v>
          </cell>
        </row>
        <row r="83">
          <cell r="A83" t="str">
            <v>77701-200-I012  RB-Estampilla propersonas mayores</v>
          </cell>
          <cell r="B83">
            <v>7770</v>
          </cell>
          <cell r="C83" t="str">
            <v>1-200-I012  RB-Estampilla propersonas mayores</v>
          </cell>
          <cell r="D83">
            <v>4425755000</v>
          </cell>
          <cell r="E83">
            <v>4387866857</v>
          </cell>
        </row>
        <row r="84">
          <cell r="A84" t="str">
            <v>77701-300-I010  REAF-Estampilla propersonas mayor</v>
          </cell>
          <cell r="B84">
            <v>7770</v>
          </cell>
          <cell r="C84" t="str">
            <v>1-300-I010  REAF-Estampilla propersonas mayor</v>
          </cell>
          <cell r="D84">
            <v>9091149148</v>
          </cell>
          <cell r="E84">
            <v>7289299655</v>
          </cell>
        </row>
        <row r="85">
          <cell r="A85" t="str">
            <v>77701-601-F001  PAS-Otros distrito</v>
          </cell>
          <cell r="B85">
            <v>7770</v>
          </cell>
          <cell r="C85" t="str">
            <v>1-601-F001  PAS-Otros distrito</v>
          </cell>
          <cell r="D85">
            <v>398624234</v>
          </cell>
          <cell r="E85">
            <v>398624234</v>
          </cell>
        </row>
        <row r="86">
          <cell r="A86" t="str">
            <v>77701-601-I012  PAS-Estampilla propersonas mayore</v>
          </cell>
          <cell r="B86">
            <v>7770</v>
          </cell>
          <cell r="C86" t="str">
            <v>1-601-I012  PAS-Estampilla propersonas mayore</v>
          </cell>
          <cell r="D86">
            <v>1173700328</v>
          </cell>
          <cell r="E86">
            <v>67584408</v>
          </cell>
        </row>
        <row r="87">
          <cell r="A87" t="str">
            <v>77701-601-I052  PAS-SGP propósito general</v>
          </cell>
          <cell r="B87">
            <v>7770</v>
          </cell>
          <cell r="C87" t="str">
            <v>1-601-I052  PAS-SGP propósito general</v>
          </cell>
          <cell r="D87">
            <v>89961000</v>
          </cell>
          <cell r="E87">
            <v>23529333</v>
          </cell>
        </row>
        <row r="88">
          <cell r="A88" t="str">
            <v>77711-100-F001  VA-Recursos distrito</v>
          </cell>
          <cell r="B88">
            <v>7771</v>
          </cell>
          <cell r="C88" t="str">
            <v>1-100-F001  VA-Recursos distrito</v>
          </cell>
          <cell r="D88">
            <v>4733935795</v>
          </cell>
          <cell r="E88">
            <v>4710141708</v>
          </cell>
        </row>
        <row r="89">
          <cell r="A89" t="str">
            <v>77711-100-F039  VA-Crédito</v>
          </cell>
          <cell r="B89">
            <v>7771</v>
          </cell>
          <cell r="C89" t="str">
            <v>1-100-F039  VA-Crédito</v>
          </cell>
          <cell r="D89">
            <v>2103200371</v>
          </cell>
          <cell r="E89">
            <v>0</v>
          </cell>
        </row>
        <row r="90">
          <cell r="A90" t="str">
            <v>77711-601-F001  PAS-Otros distrito</v>
          </cell>
          <cell r="B90">
            <v>7771</v>
          </cell>
          <cell r="C90" t="str">
            <v>1-601-F001  PAS-Otros distrito</v>
          </cell>
          <cell r="D90">
            <v>718834</v>
          </cell>
          <cell r="E90">
            <v>718834</v>
          </cell>
        </row>
        <row r="91">
          <cell r="A91" t="str">
            <v>77711-604-I023  PAS-RF-SGP propósito general</v>
          </cell>
          <cell r="B91">
            <v>7771</v>
          </cell>
          <cell r="C91" t="str">
            <v>1-604-I023  PAS-RF-SGP propósito general</v>
          </cell>
          <cell r="D91">
            <v>11807000</v>
          </cell>
          <cell r="E91">
            <v>5822888</v>
          </cell>
        </row>
        <row r="92">
          <cell r="A92" t="str">
            <v>77712-100-I009  VA-SGP propósito general</v>
          </cell>
          <cell r="B92">
            <v>7771</v>
          </cell>
          <cell r="C92" t="str">
            <v>2-100-I009  VA-SGP propósito general</v>
          </cell>
          <cell r="D92">
            <v>63891263249</v>
          </cell>
          <cell r="E92">
            <v>63717377297</v>
          </cell>
        </row>
      </sheetData>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GESTION"/>
      <sheetName val="Resumen"/>
      <sheetName val="Gráfica"/>
      <sheetName val="Listas desplegables"/>
      <sheetName val="Hoja1"/>
    </sheetNames>
    <sheetDataSet>
      <sheetData sheetId="0"/>
      <sheetData sheetId="1"/>
      <sheetData sheetId="2"/>
      <sheetData sheetId="3">
        <row r="2">
          <cell r="A2" t="str">
            <v>Enero</v>
          </cell>
        </row>
      </sheetData>
      <sheetData sheetId="4">
        <row r="2">
          <cell r="E2" t="str">
            <v>Cumplimiento</v>
          </cell>
        </row>
        <row r="3">
          <cell r="D3" t="str">
            <v>Junio</v>
          </cell>
          <cell r="E3">
            <v>0.94390243902439019</v>
          </cell>
        </row>
        <row r="4">
          <cell r="D4" t="str">
            <v>Diciembre</v>
          </cell>
        </row>
        <row r="5">
          <cell r="D5" t="str">
            <v>Vigencia</v>
          </cell>
          <cell r="E5">
            <v>0.94390243902439019</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GESTION"/>
      <sheetName val="Hoja1"/>
      <sheetName val="Listas desplegables"/>
    </sheetNames>
    <sheetDataSet>
      <sheetData sheetId="0"/>
      <sheetData sheetId="1">
        <row r="6">
          <cell r="A6" t="str">
            <v>Semestre 1</v>
          </cell>
          <cell r="B6" t="e">
            <v>#REF!</v>
          </cell>
          <cell r="C6" t="e">
            <v>#REF!</v>
          </cell>
        </row>
        <row r="7">
          <cell r="A7" t="str">
            <v>Semestre 2</v>
          </cell>
          <cell r="B7" t="e">
            <v>#REF!</v>
          </cell>
          <cell r="C7" t="e">
            <v>#REF!</v>
          </cell>
        </row>
        <row r="8">
          <cell r="A8" t="str">
            <v>Vigencia</v>
          </cell>
          <cell r="B8" t="e">
            <v>#REF!</v>
          </cell>
          <cell r="C8">
            <v>1</v>
          </cell>
        </row>
      </sheetData>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Hoja1"/>
      <sheetName val="2. Anexos"/>
    </sheetNames>
    <sheetDataSet>
      <sheetData sheetId="0" refreshError="1"/>
      <sheetData sheetId="1" refreshError="1"/>
      <sheetData sheetId="2">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Gral"/>
      <sheetName val="Listas"/>
      <sheetName val="homologación conceptos"/>
      <sheetName val="Cuadro Control"/>
      <sheetName val="Cadena de Valor"/>
      <sheetName val="Informes SEVEN"/>
      <sheetName val="Proyecto"/>
      <sheetName val="Objetivos"/>
      <sheetName val="Metas PDD"/>
      <sheetName val="Metas proyecto"/>
      <sheetName val="Productos MGA"/>
      <sheetName val="Actividades"/>
      <sheetName val="Proyectos"/>
      <sheetName val="Tareas"/>
      <sheetName val="Soportes"/>
      <sheetName val="Territorialización y Población"/>
      <sheetName val="Directorio UndOpe"/>
      <sheetName val="Glosario"/>
      <sheetName val="Instrucciones"/>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PROGRAMACIÓN CUATRIENIO"/>
      <sheetName val="2. SEGUIMIENTO PRESUPUESTAL"/>
      <sheetName val="2. PROG CONCEPTO DE GASTO "/>
      <sheetName val="4. RESUMEN EJECUTIVO"/>
      <sheetName val="3. TERRITORIALIZACIÓN"/>
      <sheetName val="Hoja5"/>
      <sheetName val="3. TERRITORIALIZACIÓN (2)"/>
      <sheetName val="TERRITORIALIZACIÓN 2019"/>
      <sheetName val="4. ACTIVIDADES - TAREAS VIG"/>
      <sheetName val="5. INDICADORES GESTION"/>
      <sheetName val="5A. Unidades Operativas"/>
      <sheetName val="8. METAS PDD"/>
      <sheetName val="9. RECURSO HUMANO"/>
      <sheetName val="Listas"/>
      <sheetName val="Tabla_PowerBI"/>
      <sheetName val="GLOSARIO"/>
      <sheetName val="INSTRUCCIÓN DE DILIGENCIAMIEN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2022"/>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Gráfica"/>
      <sheetName val="Hoja1"/>
      <sheetName val="Listas desplegables"/>
    </sheetNames>
    <sheetDataSet>
      <sheetData sheetId="0"/>
      <sheetData sheetId="1"/>
      <sheetData sheetId="2"/>
      <sheetData sheetId="3">
        <row r="2">
          <cell r="A2" t="str">
            <v>Enero</v>
          </cell>
        </row>
        <row r="3">
          <cell r="A3" t="str">
            <v>Febrero</v>
          </cell>
        </row>
        <row r="4">
          <cell r="A4" t="str">
            <v>Marzo</v>
          </cell>
        </row>
        <row r="5">
          <cell r="A5" t="str">
            <v>Abril</v>
          </cell>
        </row>
        <row r="6">
          <cell r="A6" t="str">
            <v>Mayo</v>
          </cell>
        </row>
        <row r="7">
          <cell r="A7" t="str">
            <v>Junio</v>
          </cell>
        </row>
        <row r="8">
          <cell r="A8" t="str">
            <v>Julio</v>
          </cell>
        </row>
        <row r="9">
          <cell r="A9" t="str">
            <v>Agosto</v>
          </cell>
        </row>
        <row r="10">
          <cell r="A10" t="str">
            <v>Septiembre</v>
          </cell>
        </row>
        <row r="11">
          <cell r="A11" t="str">
            <v>Octubre</v>
          </cell>
        </row>
        <row r="12">
          <cell r="A12" t="str">
            <v>Noviembre</v>
          </cell>
        </row>
        <row r="13">
          <cell r="A13" t="str">
            <v>Diciembre</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efreshError="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efreshError="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efreshError="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ico1"/>
      <sheetName val="1. Mapa y plan de riesgos"/>
      <sheetName val="2. Anexos"/>
    </sheetNames>
    <sheetDataSet>
      <sheetData sheetId="0" refreshError="1"/>
      <sheetData sheetId="1" refreshError="1"/>
      <sheetData sheetId="2">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GESTION"/>
      <sheetName val="Listas desplegables"/>
    </sheetNames>
    <sheetDataSet>
      <sheetData sheetId="0"/>
      <sheetData sheetId="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efreshError="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GESTION"/>
      <sheetName val="Listas desplegables"/>
    </sheetNames>
    <sheetDataSet>
      <sheetData sheetId="0"/>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desplegables"/>
      <sheetName val="INSTRUCCIÓN DE DILIGENCIAMIENTO"/>
      <sheetName val="GLOSARIO"/>
      <sheetName val="INDICE"/>
      <sheetName val="1. PROGRAMACION CUATRIENIO "/>
      <sheetName val="2. SEGUIMIENTO PRESUPUESTAL"/>
      <sheetName val="3. EJEC CONCEPTO DE GASTO "/>
      <sheetName val="4. REPORTE CUALITATIVO"/>
      <sheetName val="5. TERRITORIALIZACIÓN"/>
      <sheetName val="5A. Unidades Operativas"/>
      <sheetName val="6, ACTIVIDADES - TAREAS VIG"/>
      <sheetName val="7. INDICADORES GESTION"/>
      <sheetName val="8. METAS PDD"/>
      <sheetName val="9. RECURSO HUMANO"/>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desplegables"/>
      <sheetName val="INSTRUCCIÓN DE DILIGENCIAMIENTO"/>
      <sheetName val="GLOSARIO"/>
      <sheetName val="INDICE"/>
      <sheetName val="1. PROGRAMACION CUATRIENIO "/>
      <sheetName val="2. SEGUIMIENTO PRESUPUESTAL"/>
      <sheetName val="3. EJEC CONCEPTO DE GASTO "/>
      <sheetName val="4. REPORTE CUALITATIVO"/>
      <sheetName val="5. TERRITORIALIZACIÓN"/>
      <sheetName val="5A. Unidades Operativas"/>
      <sheetName val="6, ACTIVIDADES - TAREAS VIG"/>
      <sheetName val="7. INDICADORES GESTION"/>
      <sheetName val="8. METAS PDD"/>
      <sheetName val="9. RECURSO HUMANO"/>
    </sheetNames>
    <sheetDataSet>
      <sheetData sheetId="0" refreshError="1">
        <row r="2">
          <cell r="A2" t="str">
            <v>Enero</v>
          </cell>
        </row>
        <row r="35">
          <cell r="H35" t="str">
            <v xml:space="preserve"> CENTRO CRECER ANTONIO NARIÑO - PUENTE ARANDA</v>
          </cell>
        </row>
        <row r="36">
          <cell r="H36" t="str">
            <v xml:space="preserve"> CENTRO CRECER ARBORIZADORA ALTA</v>
          </cell>
        </row>
        <row r="37">
          <cell r="H37" t="str">
            <v xml:space="preserve"> CENTRO CRECER BALCANES</v>
          </cell>
        </row>
        <row r="38">
          <cell r="H38" t="str">
            <v xml:space="preserve"> CENTRO CRECER BOSA</v>
          </cell>
        </row>
        <row r="39">
          <cell r="H39" t="str">
            <v xml:space="preserve"> CENTRO CRECER ENGATIVA</v>
          </cell>
        </row>
        <row r="40">
          <cell r="H40" t="str">
            <v xml:space="preserve"> CENTRO CRECER FONTIBON</v>
          </cell>
        </row>
        <row r="41">
          <cell r="H41" t="str">
            <v xml:space="preserve"> CENTRO CRECER KENNEDY</v>
          </cell>
        </row>
        <row r="42">
          <cell r="H42" t="str">
            <v xml:space="preserve"> CENTRO CRECER LA GAITANA</v>
          </cell>
        </row>
        <row r="43">
          <cell r="H43" t="str">
            <v xml:space="preserve"> CENTRO CRECER LA PAZ</v>
          </cell>
        </row>
        <row r="44">
          <cell r="H44" t="str">
            <v xml:space="preserve"> CENTRO CRECER LA VICTORIA</v>
          </cell>
        </row>
        <row r="45">
          <cell r="H45" t="str">
            <v xml:space="preserve"> CENTRO CRECER LOURDES</v>
          </cell>
        </row>
        <row r="46">
          <cell r="H46" t="str">
            <v xml:space="preserve">CENTRO CRECER MARTIRES </v>
          </cell>
        </row>
        <row r="47">
          <cell r="H47" t="str">
            <v xml:space="preserve"> CENTRO CRECER RAFAEL URIBE URIBE</v>
          </cell>
        </row>
        <row r="48">
          <cell r="H48" t="str">
            <v xml:space="preserve"> CENTRO CRECER RINCON</v>
          </cell>
        </row>
        <row r="49">
          <cell r="H49" t="str">
            <v xml:space="preserve"> CENTRO CRECER TEJARES</v>
          </cell>
        </row>
        <row r="50">
          <cell r="H50" t="str">
            <v xml:space="preserve"> CENTRO CRECER USAQUEN</v>
          </cell>
        </row>
        <row r="51">
          <cell r="H51" t="str">
            <v xml:space="preserve"> CENTRO CRECER VISTA HERMOSA</v>
          </cell>
        </row>
        <row r="52">
          <cell r="D52" t="str">
            <v>NO</v>
          </cell>
          <cell r="F52" t="str">
            <v>NINGUNO</v>
          </cell>
          <cell r="H52" t="str">
            <v xml:space="preserve"> CENTRO PROTEGER RENACER</v>
          </cell>
        </row>
        <row r="53">
          <cell r="D53" t="str">
            <v>SI - AUDITIVA</v>
          </cell>
          <cell r="F53" t="str">
            <v>INDÍGENA</v>
          </cell>
          <cell r="H53" t="str">
            <v xml:space="preserve"> SUB LOCAL ANTONIO NARIÑO - PUENTE ARANDA</v>
          </cell>
        </row>
        <row r="54">
          <cell r="D54" t="str">
            <v>SI - FÍSICA</v>
          </cell>
          <cell r="F54" t="str">
            <v>AFRODESCENDIENTE</v>
          </cell>
          <cell r="H54" t="str">
            <v xml:space="preserve"> SUB LOCAL BARRIOS UNIDOS - TEUSAQUILLO</v>
          </cell>
        </row>
        <row r="55">
          <cell r="D55" t="str">
            <v>SI - PSICOSOCIAL</v>
          </cell>
          <cell r="F55" t="str">
            <v>RAIZAL</v>
          </cell>
          <cell r="H55" t="str">
            <v xml:space="preserve"> SUB LOCAL BOSA</v>
          </cell>
        </row>
        <row r="56">
          <cell r="D56" t="str">
            <v>SI - VISUAL</v>
          </cell>
          <cell r="F56" t="str">
            <v>ROM</v>
          </cell>
          <cell r="H56" t="str">
            <v xml:space="preserve"> SUB LOCAL CHAPINERO</v>
          </cell>
        </row>
        <row r="57">
          <cell r="H57" t="str">
            <v xml:space="preserve"> SUB LOCAL CIUDAD BOLIVAR</v>
          </cell>
        </row>
        <row r="58">
          <cell r="H58" t="str">
            <v xml:space="preserve"> SUB LOCAL ENGATIVA</v>
          </cell>
        </row>
        <row r="59">
          <cell r="H59" t="str">
            <v xml:space="preserve"> SUB LOCAL FONTIBON</v>
          </cell>
        </row>
        <row r="60">
          <cell r="H60" t="str">
            <v xml:space="preserve"> SUB LOCAL KENNEDY</v>
          </cell>
        </row>
        <row r="61">
          <cell r="H61" t="str">
            <v xml:space="preserve"> SUB LOCAL LOS MARTIRES</v>
          </cell>
        </row>
        <row r="62">
          <cell r="H62" t="str">
            <v xml:space="preserve"> SUB LOCAL RAFAEL URIBE URIBE</v>
          </cell>
        </row>
        <row r="63">
          <cell r="H63" t="str">
            <v xml:space="preserve"> SUB LOCAL SAN CRISTOBAL</v>
          </cell>
        </row>
        <row r="64">
          <cell r="H64" t="str">
            <v xml:space="preserve"> SUB LOCAL SANTAFE - LA CANDELARIA</v>
          </cell>
        </row>
        <row r="65">
          <cell r="H65" t="str">
            <v xml:space="preserve"> SUB LOCAL SUBA</v>
          </cell>
        </row>
        <row r="66">
          <cell r="H66" t="str">
            <v xml:space="preserve"> SUB LOCAL TUNJUELITO</v>
          </cell>
        </row>
        <row r="67">
          <cell r="H67" t="str">
            <v xml:space="preserve"> SUB LOCAL USAQUEN</v>
          </cell>
        </row>
        <row r="68">
          <cell r="H68" t="str">
            <v xml:space="preserve"> SUB LOCAL USME - SUMAPAZ</v>
          </cell>
        </row>
        <row r="69">
          <cell r="H69" t="str">
            <v>ADMINISTRATIVO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6"/>
      <sheetName val="FECHA TERMINACION SERVICIOS "/>
      <sheetName val="AMPLIACION DE COBERTURA "/>
      <sheetName val="CONJUNTAS "/>
      <sheetName val="TRANSVESALES "/>
      <sheetName val="TERRITORIALIZACION "/>
      <sheetName val="CRONOGRAMA "/>
      <sheetName val="TALENTO HUMANO"/>
      <sheetName val="CRITERIOS TERRI"/>
      <sheetName val="Listas desplegables"/>
      <sheetName val="Hoja1"/>
    </sheetNames>
    <sheetDataSet>
      <sheetData sheetId="0" refreshError="1">
        <row r="132">
          <cell r="A132" t="str">
            <v xml:space="preserve">Cupos </v>
          </cell>
        </row>
        <row r="133">
          <cell r="A133" t="str">
            <v xml:space="preserve">Personas </v>
          </cell>
        </row>
        <row r="134">
          <cell r="A134" t="str">
            <v xml:space="preserve">Unidades Operativas </v>
          </cell>
        </row>
        <row r="135">
          <cell r="A135" t="str">
            <v xml:space="preserve">Otros </v>
          </cell>
        </row>
        <row r="192">
          <cell r="A192" t="str">
            <v xml:space="preserve">Usaquen </v>
          </cell>
        </row>
        <row r="193">
          <cell r="A193" t="str">
            <v>Chapinero</v>
          </cell>
        </row>
        <row r="194">
          <cell r="A194" t="str">
            <v>Santa Fe</v>
          </cell>
        </row>
        <row r="195">
          <cell r="A195" t="str">
            <v xml:space="preserve">San Cristobal </v>
          </cell>
        </row>
        <row r="196">
          <cell r="A196" t="str">
            <v xml:space="preserve">Usme </v>
          </cell>
        </row>
        <row r="197">
          <cell r="A197" t="str">
            <v>Tunjuelito</v>
          </cell>
        </row>
        <row r="198">
          <cell r="A198" t="str">
            <v>Bosa</v>
          </cell>
        </row>
        <row r="199">
          <cell r="A199" t="str">
            <v>Kennedy</v>
          </cell>
        </row>
        <row r="200">
          <cell r="A200" t="str">
            <v>fontibón</v>
          </cell>
        </row>
        <row r="201">
          <cell r="A201" t="str">
            <v>Engativa</v>
          </cell>
        </row>
        <row r="202">
          <cell r="A202" t="str">
            <v>Suba</v>
          </cell>
        </row>
        <row r="203">
          <cell r="A203" t="str">
            <v xml:space="preserve">Barrios Unidos </v>
          </cell>
        </row>
        <row r="204">
          <cell r="A204" t="str">
            <v>Teusaquillo</v>
          </cell>
        </row>
        <row r="205">
          <cell r="A205" t="str">
            <v>Martires</v>
          </cell>
        </row>
        <row r="206">
          <cell r="A206" t="str">
            <v>Antonio Nariño</v>
          </cell>
        </row>
        <row r="207">
          <cell r="A207" t="str">
            <v>Puente Aranda</v>
          </cell>
        </row>
        <row r="208">
          <cell r="A208" t="str">
            <v xml:space="preserve">Candelaria </v>
          </cell>
        </row>
        <row r="209">
          <cell r="A209" t="str">
            <v xml:space="preserve">Rafael Uribe </v>
          </cell>
        </row>
        <row r="210">
          <cell r="A210" t="str">
            <v xml:space="preserve">Nivel Central </v>
          </cell>
        </row>
        <row r="211">
          <cell r="A211" t="str">
            <v xml:space="preserve">Ciudad Bolivar </v>
          </cell>
        </row>
        <row r="212">
          <cell r="A212" t="str">
            <v xml:space="preserve">Sumapaz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CHA TERMINACION SERVICIOS "/>
      <sheetName val="AMPLIACION DE COBERTURA "/>
      <sheetName val="CONJUNTAS "/>
      <sheetName val="TRANSVESALES "/>
      <sheetName val="TERRITORIALIZACION "/>
      <sheetName val="CRONOGRAMA "/>
      <sheetName val="TALENTO HUMANO"/>
      <sheetName val="CRITERIOS TERRI"/>
      <sheetName val="Hoja6"/>
      <sheetName val="Listas desplegables"/>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Set>
  </externalBook>
</externalLink>
</file>

<file path=xl/namedSheetViews/namedSheetView1.xml><?xml version="1.0" encoding="utf-8"?>
<namedSheetViews xmlns="http://schemas.microsoft.com/office/spreadsheetml/2019/namedsheetviews" xmlns:x="http://schemas.openxmlformats.org/spreadsheetml/2006/main">
  <namedSheetView name="Vista 1" id="{3EFCD86C-2E78-43BD-8EEE-F3C0A056E6C1}">
    <nsvFilter filterId="{3683956C-6FB4-40E2-8C09-4AD4AE21714E}" ref="B14:AQ183" tableId="4">
      <columnFilter colId="12" id="{A725A9B1-398D-4863-9F6C-CAFD17F18BFD}">
        <filter colId="12">
          <x:filters>
            <x:filter val="167"/>
          </x:filters>
        </filter>
      </columnFilter>
    </nsvFilter>
    <nsvFilter filterId="{00000000-0001-0000-0100-000000000000}" ref="AW14:AZ183" tableId="0"/>
  </namedSheetView>
</namedSheetView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683956C-6FB4-40E2-8C09-4AD4AE21714E}" name="Tabla4" displayName="Tabla4" ref="B14:AQ183" totalsRowShown="0" headerRowDxfId="323" dataDxfId="322" tableBorderDxfId="321">
  <autoFilter xmlns:x14="http://schemas.microsoft.com/office/spreadsheetml/2009/9/main" ref="B14:AQ183" xr:uid="{3683956C-6FB4-40E2-8C09-4AD4AE21714E}">
    <filterColumn colId="40">
      <filters>
        <mc:AlternateContent xmlns:mc="http://schemas.openxmlformats.org/markup-compatibility/2006">
          <mc:Choice Requires="x14">
            <x14:filter val="- Cronograma de actividades con fechas programadas_x000a_- Soportes que den cuenta de las actividades ejecutadas"/>
            <x14:filter val="_x000a_Informe de implementación del sistema de gestión"/>
            <x14:filter val="1 acta por mes (octubre, noviembre, diciembre)"/>
            <x14:filter val="Actas de asistencia técnica para el seguimiento a la implementación de la PPDFHC, la PPA y los compromisos adquiridos respecto a otras políticas públicas"/>
            <x14:filter val="Actas de pruebas representativas realizadas"/>
            <x14:filter val="Actas de reunión y Matriz de registro de articulaciones"/>
            <x14:filter val="Actas de reunión y/o listados de asistencia de las jornadas de sensibilización, en el período a reportar."/>
            <x14:filter val="Actas de seguimiento a la asistencia técnica para la implementación de los lineamientos correspondientes a las modalidades de servicio"/>
            <x14:filter val="Actas de sesiones de política pública de infancia y adolescencia de acuerdo con la periodicidad establecida normativamente:  2 CODIA, 3 COLIAS y 2 NODO CODIA"/>
            <x14:filter val="Actas del CODFHC y del CODA"/>
            <x14:filter val="Actas elaboradas de acuerdo con las sesiones realizadas"/>
            <x14:filter val="Autoevaluación anual del SGSST"/>
            <x14:filter val="Base de datos DATASET_NCS, DATAMART-Sistema para el Registro de Beneficiarios -SIRBE"/>
            <x14:filter val="Base de datos de predios actualizada"/>
            <x14:filter val="Certificiones de conciliación judicial y extrajudicial en el periodo"/>
            <x14:filter val="Decreto Distrital modificatorio del Decreto 460 de 2008 sancionado"/>
            <x14:filter val="Documento de Anexo técnico de servicio social con visto bueno de la Subdirección técnica respectiva"/>
            <x14:filter val="Documento de criterios para las asistencia técnica a los FDL"/>
            <x14:filter val="Documento de la Política Pública de Infancia y Adolescencia 2023-2033"/>
            <x14:filter val="Documento de lineamientos para la Política de Calidad de los Servicios Sociales elaborado"/>
            <x14:filter val="Documento de resultados evaluación del servicio de apoyos económicos para la juventud"/>
            <x14:filter val="Documento de sistematización acuerdo con la programación"/>
            <x14:filter val="Documento final del ejercicio de analítica descriptiva de la actualizacion del sistema de informacion misional"/>
            <x14:filter val="Documento final Plan Estratégico de Tecnologías de la Información actualizado y aprobado por el Comité Institucional de Gestión y Desempeño"/>
            <x14:filter val="Documento final propuesta de actualización Indice de Pobreza Multidimensional"/>
            <x14:filter val="Documento tecnico final de procedimiento de salida de los servicios sociales y listados de egreso de servicios sociales"/>
            <x14:filter val="Documentos definitivos de las 20 panorámicas locales"/>
            <x14:filter val="Evidencias del Plan de Ajuste MIPG del Trimestre"/>
            <x14:filter val="Formatos de seguimiento y gestión diligenciados en el periodo"/>
            <x14:filter val="Informe anual de la implementación del Plan de Acción de la Política pública para las familias"/>
            <x14:filter val="Informe anual de la implementación del Plan Distrital de prevención de las Violencias contra las niñas,  los niños, adolescentes, mujeres y personas mayores, de carácter interinstitucional e intersectorial con enfoque de derechos, diferencial, poblacional, ambiental,  territorial y de género para la vigencia del 2022"/>
            <x14:filter val="Informe de  implementación de la estategia de innovación social"/>
            <x14:filter val="Informe de  implementación del Sistema Distrital del Cuidado a través de las unidades operativas que son ancla de las manzanas del cuidado"/>
            <x14:filter val="Informe de acompañamiento a hogares en pobreza evidente y emergente"/>
            <x14:filter val="Informe de acompañamiento a las SLIS"/>
            <x14:filter val="Informe de actividades realizadas por el areá fiannciera."/>
            <x14:filter val="Informe de actividades realizadas por el area juridica."/>
            <x14:filter val="Informe de actividades realizadas por el área jurídica."/>
            <x14:filter val="Informe de avance de las actividades implementadas de los programas de conservación documental"/>
            <x14:filter val="Informe de gestión datos tomados de la base de datos general de la OAD, donde refleja el estado, instruccion y cantidad de procesos vigentes en la Dependencia"/>
            <x14:filter val="Informe de Gestión de avance de la implementación de los productos del plan de acción de la política pública de juventud"/>
            <x14:filter val="Informe de gestión de la herramienta Aranda web para la atención de requerimientos en los servicios logísticos"/>
            <x14:filter val="Informe de gestión SIAC publicado - tercer trimestre  2022"/>
            <x14:filter val="Informe de implementación de la ETIS en las localidades"/>
            <x14:filter val="Informe de implementación del plan de acción PIGA 2022 II Semestre."/>
            <x14:filter val="Informe de implementacion del Plan de mantenimiento preventivo y evolutivo de la infraestructura y servicios Tecnológicos"/>
            <x14:filter val="Informe de implementacion del Plan de Tratamiento de Riesgo de Seguridad Digital"/>
            <x14:filter val="Informe de implementación del sistema de gestión"/>
            <x14:filter val="Informe de reactivación de redes de soporte de personas adultas en pobreza oculta  y sus familias"/>
            <x14:filter val="Informe de seguimiento a la implementación de la PPSEV"/>
            <x14:filter val="Informe de seguimiento a la implementación de las políticas públicas competencia de las Subdirecciones adscritas a la Dirección"/>
            <x14:filter val="Informe de seguimiento a la implementacion delPlan Estratégico de Tecnologías de la Información"/>
            <x14:filter val="informe de seguimiento correspondiente al cuarto  trimestre mes vencido."/>
            <x14:filter val="Informe de seguimiento correspondiente al segundo semestre de 2022"/>
            <x14:filter val="Informe del seguimiento realizado en el Comité Institucional de Gestión y Desempeño, al cumplimiento de los objetivos institucionales._x000a_"/>
            <x14:filter val="Informe ejecutivo de conceptos de Gestión Predial e infraestructura"/>
            <x14:filter val="Informe final de avance de los objetivos del PINAR"/>
            <x14:filter val="Informe general del desarrollo de los CLOPS"/>
            <x14:filter val="Informe semestral de implementación del modelo ETIS"/>
            <x14:filter val="Informe semestral de implementación del sistema de gestión"/>
            <x14:filter val="Informe semestral del diseño y la implementación de los contenidos desarrollados en  escuela territorial"/>
            <x14:filter val="Informe trimestral de implementación y seguimiento al Plan de Compras equivalente al Plan Anual de Adquisiciones PAA de la SDIS."/>
            <x14:filter val="Informe trimestral de seguimiento que da cuenta de la implementación de los servicios sociales y el Sistema Distrital de Cuidado"/>
            <x14:filter val="Informes de gestión de fortalecimiento y articulación para la implementación de las políticas públicas y servicios de las Subdirecciones adscritas a la Dirección del segundo semestre de 2022"/>
            <x14:filter val="Informes ejecutivos sobre el avance del proceso de implementación de la Estrategia de territorios cuidadores."/>
            <x14:filter val="Informes ejecutivos sobre el avance del proceso de implementación del modelo itinerante para la atención de población en flujos migratorios mixtos."/>
            <x14:filter val="Memorandos de envio con las cartas de alerta y recomendaciones a los proyectos de inversion, del tercer trimestre 2022"/>
            <x14:filter val="No programado"/>
            <x14:filter val="Registro de ejecución del total de las actividades programadas para el trimestre con soportes."/>
            <x14:filter val="reporte con las acciones realizadas para la gestión de los casos creados en la Mesa de Servicio Tecnológica corte cuarto trimestre 2022"/>
            <x14:filter val="Reporte con las respuestas emitidas por la entidad a solicitudes realizadas por victimas del conflicto armado y alertas de la defensoría del pueblo durante el cuarto trimestre 2022"/>
            <x14:filter val="Reporte de atencion a las solicitudes de acompañamiento a las dependencias en la formulación de planes de mejoramiento"/>
            <x14:filter val="Reporte de correo electrónicos de envío con las cartas de gestión y alertas por proceso, correspondientes al tercer trimestre 2022"/>
            <x14:filter val="Reporte de divulgaciones a los responsables por correo electronico de las recomendaciones de los informes de la Veeduria Distrital"/>
            <x14:filter val="Reporte de oportunidad en la atencion de solicitudes de información del sistema de información misional corte 15 de diciembre"/>
            <x14:filter val="reporte de seguimiento a la implementacion del Plan de Preservación Digital corte cuarto trimestre 2022"/>
            <x14:filter val="reporte de seguimiento a la implementacion del Plan de Seguridad y Privacidad de la Información corte cuarto trimestre 2022"/>
            <x14:filter val="Reporte de seguimiento a la implementacion del Sistema de gestión de continuidad del negocio"/>
            <x14:filter val="Reporte de seguimiento al avance del Plan de ajuste y sostenibilidad MIPG 2021 corte tercer trimestre 2022."/>
            <x14:filter val="Reporte de seguimiento al avance del Plan de Participación Ciudadana corte tercer trimestre 2021."/>
            <x14:filter val="Reporte de seguimiento de las acciones de mejora a cargo de la DADE y sus subdirecciones tecnicas, con sus respectivas evidencias"/>
            <x14:filter val="Reporte trimestral de las minutas actualizadas._x000a_Minutas de servicio de apoyo alimentario actualizadas."/>
            <x14:filter val="Reporte trimestral de valoración de casos referenciados por la Secretaría de Salud y valorados por SDIS"/>
            <x14:filter val="Reportes de seguimiento a la implementacion de los proyectos de inversion corte noviembre 2022"/>
            <x14:filter val="Reportes de seguimiento: Un por cada política Mujer y Equidad de Género, de Atención a Víctimas del Conflicto Armado Interno, de Actividades Sexuales Pagas y de Prevención y Prevención y Atención del Consumo de Sustancias Psicoactivas."/>
            <x14:filter val="reportes mensuales de disponibilidad de la infraestructura tecnológica, sistemas de información y servicios conexos a cuarto trimestre 2022"/>
            <x14:filter val="Reportes mensuales de personas en listados de priorización por servicio, modalidad o estrategia"/>
            <x14:filter val="Reportes mensuales de seguimiento al Plan Anual de Adquisiciones en el aplicativo ERP SEVEN corte cuarto trimestre 2022"/>
            <x14:filter val="Respuesta a las tutelas contestadas en el periodo"/>
            <x14:filter val="Respuesta y/o traslado de las denuncias en el periodo"/>
            <x14:filter val="Seguimiento Plan de Ajuste MIPG del Trimestre - Carpeta de evidencias del Plan"/>
            <x14:filter val="Seguimiento trimestral al cumplimiento del Plan de Comunicaciones"/>
            <x14:filter val="Sistematización de requerimientos y respuestas de Control Político - semestre I de 2021"/>
            <x14:filter val="Un (1) informe de gestión de las aciones desarrolladas para la Inspección y Vigilancia de 2 nuevos servicios sociales implementando los estandares de calidad"/>
            <x14:filter val="Un informe con las alertas identificadas sobre la ejecución de los planes de acción de las políticas públicas que lidera o participa la SDIS"/>
            <x14:filter val="Un informe con las alertas identificadas sobre la ejecución de los planes Plan de Ajuste y sostenibilidad de MIPG, Plan de Participacion Ciudadana, Plan Anticorrupción y de Atencion al Ciudadano, Plan Estrategico de Tecnologias de la Informacion, Plan de Seguridad y Privacidad de la Informacion, Plan de Preservacion Digital a Largo plazo"/>
            <x14:filter val="Un reporte de gestión de la realización de las actividades de divulgación de la información definidas para la vigencia en le marco de la política de comunicaciones correspondiente al cuarto trimestre"/>
          </mc:Choice>
          <mc:Fallback>
            <filter val="- Cronograma de actividades con fechas programadas_x000a_- Soportes que den cuenta de las actividades ejecutadas"/>
            <filter val="_x000a_Informe de implementación del sistema de gestión"/>
            <filter val="1 acta por mes (octubre, noviembre, diciembre)"/>
            <filter val="Actas de asistencia técnica para el seguimiento a la implementación de la PPDFHC, la PPA y los compromisos adquiridos respecto a otras políticas públicas"/>
            <filter val="Actas de pruebas representativas realizadas"/>
            <filter val="Actas de reunión y Matriz de registro de articulaciones"/>
            <filter val="Actas de reunión y/o listados de asistencia de las jornadas de sensibilización, en el período a reportar."/>
            <filter val="Actas de seguimiento a la asistencia técnica para la implementación de los lineamientos correspondientes a las modalidades de servicio"/>
            <filter val="Actas de sesiones de política pública de infancia y adolescencia de acuerdo con la periodicidad establecida normativamente:  2 CODIA, 3 COLIAS y 2 NODO CODIA"/>
            <filter val="Actas del CODFHC y del CODA"/>
            <filter val="Actas elaboradas de acuerdo con las sesiones realizadas"/>
            <filter val="Autoevaluación anual del SGSST"/>
            <filter val="Base de datos DATASET_NCS, DATAMART-Sistema para el Registro de Beneficiarios -SIRBE"/>
            <filter val="Base de datos de predios actualizada"/>
            <filter val="Certificiones de conciliación judicial y extrajudicial en el periodo"/>
            <filter val="Decreto Distrital modificatorio del Decreto 460 de 2008 sancionado"/>
            <filter val="Documento de Anexo técnico de servicio social con visto bueno de la Subdirección técnica respectiva"/>
            <filter val="Documento de criterios para las asistencia técnica a los FDL"/>
            <filter val="Documento de la Política Pública de Infancia y Adolescencia 2023-2033"/>
            <filter val="Documento de lineamientos para la Política de Calidad de los Servicios Sociales elaborado"/>
            <filter val="Documento de resultados evaluación del servicio de apoyos económicos para la juventud"/>
            <filter val="Documento de sistematización acuerdo con la programación"/>
            <filter val="Documento final del ejercicio de analítica descriptiva de la actualizacion del sistema de informacion misional"/>
            <filter val="Documento final Plan Estratégico de Tecnologías de la Información actualizado y aprobado por el Comité Institucional de Gestión y Desempeño"/>
            <filter val="Documento final propuesta de actualización Indice de Pobreza Multidimensional"/>
            <filter val="Documento tecnico final de procedimiento de salida de los servicios sociales y listados de egreso de servicios sociales"/>
            <filter val="Documentos definitivos de las 20 panorámicas locales"/>
            <filter val="Evidencias del Plan de Ajuste MIPG del Trimestre"/>
            <filter val="Formatos de seguimiento y gestión diligenciados en el periodo"/>
            <filter val="Informe anual de la implementación del Plan de Acción de la Política pública para las familias"/>
            <filter val="Informe de  implementación de la estategia de innovación social"/>
            <filter val="Informe de  implementación del Sistema Distrital del Cuidado a través de las unidades operativas que son ancla de las manzanas del cuidado"/>
            <filter val="Informe de acompañamiento a hogares en pobreza evidente y emergente"/>
            <filter val="Informe de acompañamiento a las SLIS"/>
            <filter val="Informe de actividades realizadas por el areá fiannciera."/>
            <filter val="Informe de actividades realizadas por el area juridica."/>
            <filter val="Informe de actividades realizadas por el área jurídica."/>
            <filter val="Informe de avance de las actividades implementadas de los programas de conservación documental"/>
            <filter val="Informe de gestión datos tomados de la base de datos general de la OAD, donde refleja el estado, instruccion y cantidad de procesos vigentes en la Dependencia"/>
            <filter val="Informe de Gestión de avance de la implementación de los productos del plan de acción de la política pública de juventud"/>
            <filter val="Informe de gestión de la herramienta Aranda web para la atención de requerimientos en los servicios logísticos"/>
            <filter val="Informe de gestión SIAC publicado - tercer trimestre  2022"/>
            <filter val="Informe de implementación de la ETIS en las localidades"/>
            <filter val="Informe de implementación del plan de acción PIGA 2022 II Semestre."/>
            <filter val="Informe de implementacion del Plan de mantenimiento preventivo y evolutivo de la infraestructura y servicios Tecnológicos"/>
            <filter val="Informe de implementacion del Plan de Tratamiento de Riesgo de Seguridad Digital"/>
            <filter val="Informe de implementación del sistema de gestión"/>
            <filter val="Informe de reactivación de redes de soporte de personas adultas en pobreza oculta  y sus familias"/>
            <filter val="Informe de seguimiento a la implementación de la PPSEV"/>
            <filter val="Informe de seguimiento a la implementación de las políticas públicas competencia de las Subdirecciones adscritas a la Dirección"/>
            <filter val="Informe de seguimiento a la implementacion delPlan Estratégico de Tecnologías de la Información"/>
            <filter val="informe de seguimiento correspondiente al cuarto  trimestre mes vencido."/>
            <filter val="Informe de seguimiento correspondiente al segundo semestre de 2022"/>
            <filter val="Informe del seguimiento realizado en el Comité Institucional de Gestión y Desempeño, al cumplimiento de los objetivos institucionales._x000a_"/>
            <filter val="Informe ejecutivo de conceptos de Gestión Predial e infraestructura"/>
            <filter val="Informe final de avance de los objetivos del PINAR"/>
            <filter val="Informe general del desarrollo de los CLOPS"/>
            <filter val="Informe semestral de implementación del modelo ETIS"/>
            <filter val="Informe semestral de implementación del sistema de gestión"/>
            <filter val="Informe semestral del diseño y la implementación de los contenidos desarrollados en  escuela territorial"/>
            <filter val="Informe trimestral de implementación y seguimiento al Plan de Compras equivalente al Plan Anual de Adquisiciones PAA de la SDIS."/>
            <filter val="Informe trimestral de seguimiento que da cuenta de la implementación de los servicios sociales y el Sistema Distrital de Cuidado"/>
            <filter val="Informes de gestión de fortalecimiento y articulación para la implementación de las políticas públicas y servicios de las Subdirecciones adscritas a la Dirección del segundo semestre de 2022"/>
            <filter val="Informes ejecutivos sobre el avance del proceso de implementación de la Estrategia de territorios cuidadores."/>
            <filter val="Informes ejecutivos sobre el avance del proceso de implementación del modelo itinerante para la atención de población en flujos migratorios mixtos."/>
            <filter val="Memorandos de envio con las cartas de alerta y recomendaciones a los proyectos de inversion, del tercer trimestre 2022"/>
            <filter val="No programado"/>
            <filter val="Registro de ejecución del total de las actividades programadas para el trimestre con soportes."/>
            <filter val="reporte con las acciones realizadas para la gestión de los casos creados en la Mesa de Servicio Tecnológica corte cuarto trimestre 2022"/>
            <filter val="Reporte con las respuestas emitidas por la entidad a solicitudes realizadas por victimas del conflicto armado y alertas de la defensoría del pueblo durante el cuarto trimestre 2022"/>
            <filter val="Reporte de atencion a las solicitudes de acompañamiento a las dependencias en la formulación de planes de mejoramiento"/>
            <filter val="Reporte de correo electrónicos de envío con las cartas de gestión y alertas por proceso, correspondientes al tercer trimestre 2022"/>
            <filter val="Reporte de divulgaciones a los responsables por correo electronico de las recomendaciones de los informes de la Veeduria Distrital"/>
            <filter val="Reporte de oportunidad en la atencion de solicitudes de información del sistema de información misional corte 15 de diciembre"/>
            <filter val="reporte de seguimiento a la implementacion del Plan de Preservación Digital corte cuarto trimestre 2022"/>
            <filter val="reporte de seguimiento a la implementacion del Plan de Seguridad y Privacidad de la Información corte cuarto trimestre 2022"/>
            <filter val="Reporte de seguimiento a la implementacion del Sistema de gestión de continuidad del negocio"/>
            <filter val="Reporte de seguimiento al avance del Plan de ajuste y sostenibilidad MIPG 2021 corte tercer trimestre 2022."/>
            <filter val="Reporte de seguimiento al avance del Plan de Participación Ciudadana corte tercer trimestre 2021."/>
            <filter val="Reporte de seguimiento de las acciones de mejora a cargo de la DADE y sus subdirecciones tecnicas, con sus respectivas evidencias"/>
            <filter val="Reporte trimestral de las minutas actualizadas._x000a_Minutas de servicio de apoyo alimentario actualizadas."/>
            <filter val="Reporte trimestral de valoración de casos referenciados por la Secretaría de Salud y valorados por SDIS"/>
            <filter val="Reportes de seguimiento a la implementacion de los proyectos de inversion corte noviembre 2022"/>
            <filter val="Reportes de seguimiento: Un por cada política Mujer y Equidad de Género, de Atención a Víctimas del Conflicto Armado Interno, de Actividades Sexuales Pagas y de Prevención y Prevención y Atención del Consumo de Sustancias Psicoactivas."/>
            <filter val="reportes mensuales de disponibilidad de la infraestructura tecnológica, sistemas de información y servicios conexos a cuarto trimestre 2022"/>
            <filter val="Reportes mensuales de personas en listados de priorización por servicio, modalidad o estrategia"/>
            <filter val="Reportes mensuales de seguimiento al Plan Anual de Adquisiciones en el aplicativo ERP SEVEN corte cuarto trimestre 2022"/>
            <filter val="Respuesta a las tutelas contestadas en el periodo"/>
            <filter val="Respuesta y/o traslado de las denuncias en el periodo"/>
            <filter val="Seguimiento Plan de Ajuste MIPG del Trimestre - Carpeta de evidencias del Plan"/>
            <filter val="Seguimiento trimestral al cumplimiento del Plan de Comunicaciones"/>
            <filter val="Sistematización de requerimientos y respuestas de Control Político - semestre I de 2021"/>
            <filter val="Un (1) informe de gestión de las aciones desarrolladas para la Inspección y Vigilancia de 2 nuevos servicios sociales implementando los estandares de calidad"/>
            <filter val="Un informe con las alertas identificadas sobre la ejecución de los planes de acción de las políticas públicas que lidera o participa la SDIS"/>
            <filter val="Un reporte de gestión de la realización de las actividades de divulgación de la información definidas para la vigencia en le marco de la política de comunicaciones correspondiente al cuarto trimestre"/>
          </mc:Fallback>
        </mc:AlternateContent>
      </filters>
    </filterColumn>
  </autoFilter>
  <tableColumns count="42">
    <tableColumn id="1" xr3:uid="{312A1359-7820-4F7C-A819-1D7B9BB1399C}" name="Meta plan de desarrollo" dataDxfId="320"/>
    <tableColumn id="2" xr3:uid="{FFF2E13A-38F8-44A0-BC33-238F24EC3DFE}" name="Objetivo estratégico sectorial" dataDxfId="319"/>
    <tableColumn id="3" xr3:uid="{8885BE81-2FA0-47B0-9F12-54B5989F0666}" name="Meta sectorial" dataDxfId="318"/>
    <tableColumn id="4" xr3:uid="{88E7065E-1C97-47E1-873A-499D6C0EF78D}" name="Objetivo estratégico 2020-2024" dataDxfId="317"/>
    <tableColumn id="5" xr3:uid="{12468CA9-AC8C-48A5-8ADE-1E5DE3BFD4A8}" name="Metas 2020-2024" dataDxfId="316"/>
    <tableColumn id="6" xr3:uid="{B0F6582D-0322-4A35-8674-659E543D1E47}" name="Política o componente MIPG" dataDxfId="315"/>
    <tableColumn id="7" xr3:uid="{AB5313F1-2B12-47FD-A843-24FC3EEAF92A}" name="Proceso relacionado" dataDxfId="314"/>
    <tableColumn id="8" xr3:uid="{68077FCC-410F-4137-8331-67FDBC04E1AB}" name="Fuente de financiación " dataDxfId="313"/>
    <tableColumn id="9" xr3:uid="{284E8DDF-A00B-4A5F-ACB7-7DC65904C952}" name="Proyecto de inversión" dataDxfId="312"/>
    <tableColumn id="10" xr3:uid="{36E742FE-9C0D-4FCA-A9CB-6D7306AE63C9}" name="Meta proyecto de inversión " dataDxfId="311"/>
    <tableColumn id="11" xr3:uid="{331AAB94-D4F5-4364-8EAB-F158997AF829}" name="Plan asociado" dataDxfId="310"/>
    <tableColumn id="12" xr3:uid="{48522063-86D5-47D0-BADA-49ACE066B188}" name="Plan de acción política pública asociada" dataDxfId="309"/>
    <tableColumn id="13" xr3:uid="{A725A9B1-398D-4863-9F6C-CAFD17F18BFD}" name="Número de Actividad / Acción" dataDxfId="308"/>
    <tableColumn id="14" xr3:uid="{55F4F3A7-B311-4793-BAB5-9D0F56C88CE6}" name="Actividades / Acciones" dataDxfId="307"/>
    <tableColumn id="15" xr3:uid="{3865449B-EF00-4612-B4D4-BB357297C466}" name="Meta Actividad/ Acción" dataDxfId="306"/>
    <tableColumn id="16" xr3:uid="{BCBDF665-FAB1-4C5A-8F0D-C812AA7FFC18}" name="Suma programación anual" dataDxfId="305"/>
    <tableColumn id="17" xr3:uid="{6617E45D-6D08-4E1E-8168-D7D249571CC4}" name="Tendencia de meta" dataDxfId="304"/>
    <tableColumn id="18" xr3:uid="{6E336AFD-ADD0-44E4-B6AE-20EF001BA64B}" name="Nombre del indicador de la meta" dataDxfId="303"/>
    <tableColumn id="19" xr3:uid="{C60F327B-C424-4762-884D-A81FF4DFDC6B}" name="Fórmula del indicador ó índice" dataDxfId="302"/>
    <tableColumn id="20" xr3:uid="{657ADA78-8131-4DD5-991F-A01DAEB8E004}" name="Fecha inicio_x000a_DD/MM/AAAA" dataDxfId="301"/>
    <tableColumn id="21" xr3:uid="{34F55C37-D866-49FF-A4E3-0D21A1D95197}" name="Fecha finalización_x000a_DD/MM/AAAA" dataDxfId="300"/>
    <tableColumn id="22" xr3:uid="{0B57D2A9-ED2F-40CC-B365-DFAE2827278B}" name="Dependencia responsable" dataDxfId="299"/>
    <tableColumn id="23" xr3:uid="{034B2D5A-316E-43D1-A731-C886D8997107}" name="Evidencias programadas_x000a_I trimestre" dataDxfId="298"/>
    <tableColumn id="24" xr3:uid="{D8BCA2CC-F082-4D58-8708-876B16FBBF12}" name="Programación  meta_x000a_I trimestre " dataDxfId="297"/>
    <tableColumn id="25" xr3:uid="{532CAE8C-E269-42BA-B78E-1261F67AA871}" name="Avance cuantitativo_x000a_I trimestre" dataDxfId="296"/>
    <tableColumn id="26" xr3:uid="{8D6E65E6-93BC-4A44-9C3C-36AA2EA0FA40}" name="Porcentaje de cumplimiento _x000a_I trimestre" dataDxfId="295">
      <calculatedColumnFormula>(Z15/Y15)</calculatedColumnFormula>
    </tableColumn>
    <tableColumn id="27" xr3:uid="{278BEFCC-D815-4C82-A130-AFEF0F00AC42}" name="Avance cualitativo_x000a_I trimestre" dataDxfId="294"/>
    <tableColumn id="28" xr3:uid="{C8C3BB4C-4257-44DE-ABE7-4B8EA22317DE}" name="Revisión segunda línea de defensa" dataDxfId="293"/>
    <tableColumn id="29" xr3:uid="{64C6CCCD-639D-4A65-A55A-3F6DBCFCC249}" name="Evidencias programadas_x000a_II trimestre" dataDxfId="292"/>
    <tableColumn id="30" xr3:uid="{F1989BB6-6104-478A-9CFA-61C1502C2537}" name="Programación  meta_x000a_II trimestre " dataDxfId="291"/>
    <tableColumn id="31" xr3:uid="{334D0352-E14C-4661-A6D8-43B1E42FAE1E}" name="Avance cuantitativo_x000a_II trimestre" dataDxfId="290"/>
    <tableColumn id="32" xr3:uid="{99478A85-67A1-4609-A5EB-5B08146A6FD1}" name="Porcentaje de cumplimiento _x000a_II trimestre" dataDxfId="289">
      <calculatedColumnFormula>(AF15/AE15)</calculatedColumnFormula>
    </tableColumn>
    <tableColumn id="33" xr3:uid="{328682E1-0743-4BB1-8C7A-FF9B881FF980}" name="Avance cualitativo_x000a_II trimestre" dataDxfId="288"/>
    <tableColumn id="34" xr3:uid="{DF8D2918-71DA-4FE0-B6EF-59A936735B06}" name="Revisión segunda línea de defensa2" dataDxfId="287"/>
    <tableColumn id="35" xr3:uid="{D4106BB8-C197-41F2-B6F4-FDC42528D2ED}" name="Evidencias programadas_x000a_III trimestre" dataDxfId="286"/>
    <tableColumn id="36" xr3:uid="{08EE7B67-8386-4126-903B-437143ABC92B}" name="Programación  meta_x000a_III trimestre " dataDxfId="285"/>
    <tableColumn id="37" xr3:uid="{E474000B-095A-420C-880B-D04E090B8506}" name="Avance cuantitativo_x000a_III trimestre" dataDxfId="284"/>
    <tableColumn id="38" xr3:uid="{0F50751B-F2F7-4D61-984D-2BDB22D71DCF}" name="Porcentaje de cumplimiento _x000a_III trimestre" dataDxfId="283"/>
    <tableColumn id="39" xr3:uid="{61E4C382-BB26-40D1-AF8A-CA056E9172A5}" name="Avance cualitativo_x000a_III trimestre" dataDxfId="282"/>
    <tableColumn id="40" xr3:uid="{7DA127CF-A5B3-403A-A9FE-7E91DB6D276B}" name="Revisión segunda línea de defensa3" dataDxfId="281"/>
    <tableColumn id="41" xr3:uid="{8AF71ABC-798B-4904-AFBF-22BC12502431}" name="Evidencias programadas_x000a_IV trimestre" dataDxfId="280"/>
    <tableColumn id="42" xr3:uid="{9833D2BA-E336-4B7F-A68B-399318B177B5}" name="Programación  meta_x000a_IV trimestre " dataDxfId="279"/>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79FFBFD-8B4A-428D-911E-CEDADF717374}" name="metaproyecto" displayName="metaproyecto" ref="B7:L106" totalsRowShown="0" headerRowDxfId="278" tableBorderDxfId="277">
  <autoFilter ref="B7:L106" xr:uid="{C8AEDE25-A267-4E3D-9D2F-F4DEE31C2F4F}"/>
  <tableColumns count="11">
    <tableColumn id="1" xr3:uid="{3556E353-A1B1-4CD9-A48E-DE13D215764C}" name="CÓDIGO PROYECTO" dataDxfId="276" totalsRowDxfId="275"/>
    <tableColumn id="13" xr3:uid="{E6B27AE0-D20F-4783-AF03-E7F304FFA528}" name="NOMBRE PROYECTO" dataDxfId="274" totalsRowDxfId="273"/>
    <tableColumn id="3" xr3:uid="{181D59C1-108D-497F-891E-27354B8587DE}" name="OBJETIVO GENERAL PROYECTO DE INVERSIÓN" dataDxfId="272" totalsRowDxfId="271"/>
    <tableColumn id="2" xr3:uid="{5F9056BD-1789-4AA7-9764-E3714C9EB920}" name="META" dataDxfId="270" totalsRowDxfId="269"/>
    <tableColumn id="12" xr3:uid="{6764F532-DAE0-42F6-9C9B-8A3EF65CF2FD}" name="DESCRIPCIÓN META" dataDxfId="268" totalsRowDxfId="267"/>
    <tableColumn id="10" xr3:uid="{16A8B5CC-818F-44BD-BB97-B0A0146C78F3}" name="PERIODICIDAD DE MEDICIÓN" dataDxfId="266" totalsRowDxfId="265"/>
    <tableColumn id="5" xr3:uid="{58F9E568-2255-4AED-9073-C7D312A1AEBA}" name="TIPO DE META" dataDxfId="264" totalsRowDxfId="263"/>
    <tableColumn id="15" xr3:uid="{DA58A8AD-F29A-45C6-BFE1-B9D36EEAF3D3}" name="PROGRAMADO CUATRIENO " dataDxfId="262" totalsRowDxfId="261"/>
    <tableColumn id="18" xr3:uid="{48E12899-531B-448F-9EEE-A48068A9C82B}" name="PROGRAMADO 2022" dataDxfId="260"/>
    <tableColumn id="8" xr3:uid="{C47EDC97-E360-4FCF-8138-F71FC7DDFF82}" name="EJECUTADO MARZO" dataDxfId="259"/>
    <tableColumn id="9" xr3:uid="{955C980B-65B4-4214-8D34-F3A3F5A3B470}" name="EJECUTADO JUNIO2" dataDxfId="258"/>
  </tableColumns>
  <tableStyleInfo name="TableStyleMedium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A565023-B6C0-4291-931A-82CAE78A8EE1}" name="metaspdd" displayName="metaspdd" ref="D7:J61" totalsRowShown="0" headerRowDxfId="257" dataDxfId="255" headerRowBorderDxfId="256" tableBorderDxfId="254" totalsRowBorderDxfId="253">
  <autoFilter ref="D7:J61" xr:uid="{F6113849-11A9-43AB-857A-11319A47B387}"/>
  <sortState xmlns:xlrd2="http://schemas.microsoft.com/office/spreadsheetml/2017/richdata2" ref="D8:I61">
    <sortCondition ref="E7"/>
  </sortState>
  <tableColumns count="7">
    <tableColumn id="1" xr3:uid="{F5E864ED-B1EF-4B66-BA10-9A5B92F59402}" name="PROYECTO ASOCIADO " totalsRowDxfId="252"/>
    <tableColumn id="2" xr3:uid="{6591C35A-68BC-4592-AC95-D1C437573A56}" name="CODIGO META SECTORIAL" totalsRowDxfId="251"/>
    <tableColumn id="21" xr3:uid="{AB698A56-ACE5-4B8C-8257-4E1AF6CC681A}" name="DESCRIPCIÓN META SECTORIAL " totalsRowDxfId="250"/>
    <tableColumn id="7" xr3:uid="{7A98C04B-F152-4F6F-ABD8-ED3C0CE3FF30}" name="NOMBRE INDICADOR" dataDxfId="249" totalsRowDxfId="248"/>
    <tableColumn id="24" xr3:uid="{DA96F72E-4AE4-4EF2-A4D4-56E635DDC748}" name="PROGRAMADO CUATRIENIO " dataDxfId="247" totalsRowDxfId="246"/>
    <tableColumn id="26" xr3:uid="{B8D9E394-1EFE-4B10-98DD-FF5B0830246D}" name="MAGNITUD PROGRAMADO 2022" dataDxfId="245" totalsRowDxfId="244"/>
    <tableColumn id="3" xr3:uid="{DFF6DD29-C9B6-4AD3-B0C9-26077B17B236}" name="EJECUTADO 31 MARZO" dataDxfId="243"/>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microsoft.com/office/2019/04/relationships/namedSheetView" Target="../namedSheetViews/namedSheetView1.xml"/></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120"/>
  <sheetViews>
    <sheetView topLeftCell="A4" zoomScale="90" zoomScaleNormal="90" workbookViewId="0">
      <selection activeCell="D5" sqref="D5"/>
    </sheetView>
  </sheetViews>
  <sheetFormatPr baseColWidth="10" defaultColWidth="11.42578125" defaultRowHeight="111" customHeight="1" x14ac:dyDescent="0.25"/>
  <cols>
    <col min="1" max="1" width="21.85546875" style="1" customWidth="1"/>
    <col min="2" max="2" width="19.42578125" style="1" customWidth="1"/>
    <col min="3" max="3" width="22.28515625" style="1" customWidth="1"/>
    <col min="4" max="4" width="20.140625" style="1" customWidth="1"/>
    <col min="5" max="5" width="18.7109375" style="1" customWidth="1"/>
    <col min="6" max="6" width="14.7109375" style="1" bestFit="1" customWidth="1"/>
    <col min="7" max="7" width="20.42578125" style="2" customWidth="1"/>
    <col min="8" max="8" width="16.28515625" style="2" customWidth="1"/>
    <col min="9" max="9" width="17" style="1" customWidth="1"/>
    <col min="10" max="10" width="11.42578125" style="1"/>
    <col min="11" max="11" width="16.42578125" style="2" customWidth="1"/>
    <col min="12" max="12" width="21.7109375" style="2" customWidth="1"/>
    <col min="13" max="13" width="18.7109375" style="1" customWidth="1"/>
    <col min="14" max="14" width="11.28515625" style="1" bestFit="1" customWidth="1"/>
    <col min="15" max="15" width="10.42578125" style="12" bestFit="1" customWidth="1"/>
    <col min="16" max="16" width="13" style="1" customWidth="1"/>
    <col min="17" max="17" width="36.28515625" style="1" customWidth="1"/>
    <col min="18" max="16384" width="11.42578125" style="1"/>
  </cols>
  <sheetData>
    <row r="1" spans="1:17" s="3" customFormat="1" ht="48.75" customHeight="1" x14ac:dyDescent="0.25">
      <c r="A1" s="13" t="s">
        <v>0</v>
      </c>
      <c r="B1" s="13" t="s">
        <v>1</v>
      </c>
      <c r="C1" s="13" t="s">
        <v>2</v>
      </c>
      <c r="D1" s="14" t="s">
        <v>3</v>
      </c>
      <c r="E1" s="15" t="s">
        <v>4</v>
      </c>
      <c r="F1" s="15" t="s">
        <v>5</v>
      </c>
      <c r="G1" s="18" t="s">
        <v>6</v>
      </c>
      <c r="H1" s="18" t="s">
        <v>7</v>
      </c>
      <c r="I1" s="16" t="s">
        <v>8</v>
      </c>
      <c r="J1" s="16" t="s">
        <v>9</v>
      </c>
      <c r="K1" s="18" t="s">
        <v>10</v>
      </c>
      <c r="L1" s="18" t="s">
        <v>11</v>
      </c>
      <c r="M1" s="16" t="s">
        <v>12</v>
      </c>
      <c r="N1" s="16" t="s">
        <v>13</v>
      </c>
      <c r="O1" s="17" t="s">
        <v>14</v>
      </c>
      <c r="P1" s="17" t="s">
        <v>15</v>
      </c>
      <c r="Q1" s="16" t="s">
        <v>16</v>
      </c>
    </row>
    <row r="2" spans="1:17" ht="111" customHeight="1" x14ac:dyDescent="0.25">
      <c r="A2" s="11" t="s">
        <v>17</v>
      </c>
      <c r="B2" s="2" t="s">
        <v>18</v>
      </c>
      <c r="C2" s="2" t="s">
        <v>19</v>
      </c>
      <c r="D2" s="2" t="s">
        <v>20</v>
      </c>
      <c r="E2" s="1" t="s">
        <v>21</v>
      </c>
      <c r="F2" s="5" t="s">
        <v>22</v>
      </c>
      <c r="G2" s="6" t="s">
        <v>23</v>
      </c>
      <c r="H2" s="6" t="s">
        <v>24</v>
      </c>
      <c r="I2" s="2" t="s">
        <v>25</v>
      </c>
      <c r="J2" s="1" t="s">
        <v>26</v>
      </c>
      <c r="K2" s="4" t="s">
        <v>27</v>
      </c>
      <c r="L2" s="4" t="s">
        <v>28</v>
      </c>
      <c r="M2" s="2" t="s">
        <v>29</v>
      </c>
      <c r="N2" s="1" t="s">
        <v>30</v>
      </c>
      <c r="O2" s="12">
        <v>44562</v>
      </c>
      <c r="P2" s="12">
        <v>44592</v>
      </c>
      <c r="Q2" s="1" t="s">
        <v>31</v>
      </c>
    </row>
    <row r="3" spans="1:17" ht="111" customHeight="1" x14ac:dyDescent="0.25">
      <c r="A3" s="11" t="s">
        <v>32</v>
      </c>
      <c r="B3" s="2" t="s">
        <v>33</v>
      </c>
      <c r="C3" s="2" t="s">
        <v>34</v>
      </c>
      <c r="D3" s="2" t="s">
        <v>35</v>
      </c>
      <c r="E3" s="1" t="s">
        <v>36</v>
      </c>
      <c r="F3" s="5" t="s">
        <v>37</v>
      </c>
      <c r="G3" s="6" t="s">
        <v>38</v>
      </c>
      <c r="H3" s="6" t="s">
        <v>39</v>
      </c>
      <c r="I3" s="2" t="s">
        <v>40</v>
      </c>
      <c r="J3" s="1" t="s">
        <v>41</v>
      </c>
      <c r="K3" s="2" t="s">
        <v>42</v>
      </c>
      <c r="L3" s="19" t="s">
        <v>43</v>
      </c>
      <c r="M3" s="2" t="s">
        <v>44</v>
      </c>
      <c r="N3" s="1" t="s">
        <v>45</v>
      </c>
      <c r="O3" s="12">
        <v>44593</v>
      </c>
      <c r="P3" s="12">
        <v>44620</v>
      </c>
      <c r="Q3" s="1" t="s">
        <v>46</v>
      </c>
    </row>
    <row r="4" spans="1:17" ht="111" customHeight="1" x14ac:dyDescent="0.25">
      <c r="A4" s="11" t="s">
        <v>47</v>
      </c>
      <c r="B4" s="2" t="s">
        <v>48</v>
      </c>
      <c r="C4" s="2" t="s">
        <v>49</v>
      </c>
      <c r="D4" s="2" t="s">
        <v>50</v>
      </c>
      <c r="E4" s="1" t="s">
        <v>51</v>
      </c>
      <c r="F4" s="5" t="s">
        <v>52</v>
      </c>
      <c r="G4" s="6" t="s">
        <v>53</v>
      </c>
      <c r="H4" s="6" t="s">
        <v>54</v>
      </c>
      <c r="I4" s="2" t="s">
        <v>55</v>
      </c>
      <c r="J4" s="1" t="s">
        <v>56</v>
      </c>
      <c r="K4" s="2" t="s">
        <v>57</v>
      </c>
      <c r="L4" s="19" t="s">
        <v>58</v>
      </c>
      <c r="M4" s="2" t="s">
        <v>59</v>
      </c>
      <c r="N4" s="1" t="s">
        <v>60</v>
      </c>
      <c r="O4" s="12">
        <v>44621</v>
      </c>
      <c r="P4" s="12">
        <v>44651</v>
      </c>
      <c r="Q4" s="1" t="s">
        <v>61</v>
      </c>
    </row>
    <row r="5" spans="1:17" ht="111" customHeight="1" x14ac:dyDescent="0.25">
      <c r="A5" s="11" t="s">
        <v>62</v>
      </c>
      <c r="B5" s="2" t="s">
        <v>63</v>
      </c>
      <c r="C5" s="2" t="s">
        <v>64</v>
      </c>
      <c r="D5" s="2" t="s">
        <v>65</v>
      </c>
      <c r="E5" s="2" t="s">
        <v>66</v>
      </c>
      <c r="F5" s="5" t="s">
        <v>67</v>
      </c>
      <c r="G5" s="6" t="s">
        <v>68</v>
      </c>
      <c r="H5" s="6" t="s">
        <v>69</v>
      </c>
      <c r="J5" s="1" t="s">
        <v>70</v>
      </c>
      <c r="K5" s="4" t="s">
        <v>71</v>
      </c>
      <c r="L5" s="19" t="s">
        <v>72</v>
      </c>
      <c r="M5" s="2" t="s">
        <v>73</v>
      </c>
      <c r="O5" s="12">
        <v>44652</v>
      </c>
      <c r="P5" s="12">
        <v>44681</v>
      </c>
      <c r="Q5" s="1" t="s">
        <v>74</v>
      </c>
    </row>
    <row r="6" spans="1:17" ht="111" customHeight="1" x14ac:dyDescent="0.25">
      <c r="A6" s="11" t="s">
        <v>75</v>
      </c>
      <c r="B6" s="4" t="s">
        <v>76</v>
      </c>
      <c r="C6" s="2" t="s">
        <v>77</v>
      </c>
      <c r="D6" s="2" t="s">
        <v>78</v>
      </c>
      <c r="E6" s="4" t="s">
        <v>79</v>
      </c>
      <c r="F6" s="5" t="s">
        <v>80</v>
      </c>
      <c r="G6" s="5" t="s">
        <v>81</v>
      </c>
      <c r="H6" s="5" t="s">
        <v>82</v>
      </c>
      <c r="J6" s="1" t="s">
        <v>83</v>
      </c>
      <c r="K6" s="2" t="s">
        <v>84</v>
      </c>
      <c r="L6" s="19" t="s">
        <v>85</v>
      </c>
      <c r="M6" s="2" t="s">
        <v>86</v>
      </c>
      <c r="O6" s="12">
        <v>44682</v>
      </c>
      <c r="P6" s="12">
        <v>44712</v>
      </c>
      <c r="Q6" s="1" t="s">
        <v>87</v>
      </c>
    </row>
    <row r="7" spans="1:17" ht="111" customHeight="1" x14ac:dyDescent="0.25">
      <c r="A7" s="11" t="s">
        <v>88</v>
      </c>
      <c r="B7" s="4" t="s">
        <v>89</v>
      </c>
      <c r="C7" s="2" t="s">
        <v>90</v>
      </c>
      <c r="D7" s="2" t="s">
        <v>91</v>
      </c>
      <c r="F7" s="5" t="s">
        <v>92</v>
      </c>
      <c r="G7" s="7" t="s">
        <v>93</v>
      </c>
      <c r="H7" s="7" t="s">
        <v>94</v>
      </c>
      <c r="J7" s="1" t="s">
        <v>95</v>
      </c>
      <c r="K7" s="2" t="s">
        <v>96</v>
      </c>
      <c r="L7" s="19" t="s">
        <v>97</v>
      </c>
      <c r="M7" s="2" t="s">
        <v>98</v>
      </c>
      <c r="O7" s="12">
        <v>44713</v>
      </c>
      <c r="P7" s="12">
        <v>44742</v>
      </c>
      <c r="Q7" s="1" t="s">
        <v>99</v>
      </c>
    </row>
    <row r="8" spans="1:17" ht="111" customHeight="1" x14ac:dyDescent="0.25">
      <c r="A8" s="11" t="s">
        <v>100</v>
      </c>
      <c r="C8" s="2" t="s">
        <v>101</v>
      </c>
      <c r="D8" s="4" t="s">
        <v>102</v>
      </c>
      <c r="F8" s="5" t="s">
        <v>103</v>
      </c>
      <c r="G8" s="6" t="s">
        <v>104</v>
      </c>
      <c r="H8" s="6" t="s">
        <v>105</v>
      </c>
      <c r="J8" s="1" t="s">
        <v>106</v>
      </c>
      <c r="K8" s="2" t="s">
        <v>107</v>
      </c>
      <c r="L8" s="19" t="s">
        <v>108</v>
      </c>
      <c r="M8" s="2" t="s">
        <v>109</v>
      </c>
      <c r="O8" s="12">
        <v>44743</v>
      </c>
      <c r="P8" s="12">
        <v>44773</v>
      </c>
      <c r="Q8" s="1" t="s">
        <v>110</v>
      </c>
    </row>
    <row r="9" spans="1:17" ht="111" customHeight="1" x14ac:dyDescent="0.25">
      <c r="A9" s="11" t="s">
        <v>111</v>
      </c>
      <c r="C9" s="2" t="s">
        <v>112</v>
      </c>
      <c r="D9" s="4" t="s">
        <v>113</v>
      </c>
      <c r="F9" s="5" t="s">
        <v>114</v>
      </c>
      <c r="G9" s="7" t="s">
        <v>115</v>
      </c>
      <c r="H9" s="7" t="s">
        <v>116</v>
      </c>
      <c r="J9" s="1" t="s">
        <v>117</v>
      </c>
      <c r="K9" s="2" t="s">
        <v>118</v>
      </c>
      <c r="L9" s="19" t="s">
        <v>119</v>
      </c>
      <c r="M9" s="2" t="s">
        <v>120</v>
      </c>
      <c r="O9" s="12">
        <v>44774</v>
      </c>
      <c r="P9" s="12">
        <v>44804</v>
      </c>
      <c r="Q9" s="1" t="s">
        <v>121</v>
      </c>
    </row>
    <row r="10" spans="1:17" ht="111" customHeight="1" x14ac:dyDescent="0.25">
      <c r="A10" s="11" t="s">
        <v>122</v>
      </c>
      <c r="C10" s="2" t="s">
        <v>123</v>
      </c>
      <c r="E10" s="1" t="s">
        <v>124</v>
      </c>
      <c r="F10" s="8" t="s">
        <v>125</v>
      </c>
      <c r="G10" s="6" t="s">
        <v>126</v>
      </c>
      <c r="H10" s="6" t="s">
        <v>127</v>
      </c>
      <c r="J10" s="1" t="s">
        <v>128</v>
      </c>
      <c r="K10" s="2" t="s">
        <v>129</v>
      </c>
      <c r="L10" s="19" t="s">
        <v>130</v>
      </c>
      <c r="M10" s="2" t="s">
        <v>131</v>
      </c>
      <c r="O10" s="12">
        <v>44805</v>
      </c>
      <c r="P10" s="12">
        <v>44834</v>
      </c>
      <c r="Q10" s="1" t="s">
        <v>132</v>
      </c>
    </row>
    <row r="11" spans="1:17" ht="111" customHeight="1" x14ac:dyDescent="0.25">
      <c r="A11" s="11" t="s">
        <v>133</v>
      </c>
      <c r="C11" s="2" t="s">
        <v>134</v>
      </c>
      <c r="F11" s="8" t="s">
        <v>135</v>
      </c>
      <c r="G11" s="7" t="s">
        <v>136</v>
      </c>
      <c r="H11" s="7" t="s">
        <v>137</v>
      </c>
      <c r="J11" s="1" t="s">
        <v>138</v>
      </c>
      <c r="K11" s="2" t="s">
        <v>139</v>
      </c>
      <c r="L11" s="4" t="s">
        <v>140</v>
      </c>
      <c r="M11" s="2" t="s">
        <v>141</v>
      </c>
      <c r="O11" s="12">
        <v>44835</v>
      </c>
      <c r="P11" s="12">
        <v>44865</v>
      </c>
      <c r="Q11" s="1" t="s">
        <v>142</v>
      </c>
    </row>
    <row r="12" spans="1:17" ht="111" customHeight="1" x14ac:dyDescent="0.25">
      <c r="A12" s="11" t="s">
        <v>143</v>
      </c>
      <c r="C12" s="2" t="s">
        <v>144</v>
      </c>
      <c r="F12" s="8" t="s">
        <v>145</v>
      </c>
      <c r="G12" s="7" t="s">
        <v>146</v>
      </c>
      <c r="H12" s="7" t="s">
        <v>147</v>
      </c>
      <c r="J12" s="1" t="s">
        <v>148</v>
      </c>
      <c r="K12" s="2" t="s">
        <v>149</v>
      </c>
      <c r="L12" s="19" t="s">
        <v>150</v>
      </c>
      <c r="M12" s="2" t="s">
        <v>151</v>
      </c>
      <c r="O12" s="12">
        <v>44866</v>
      </c>
      <c r="P12" s="12">
        <v>44895</v>
      </c>
      <c r="Q12" s="1" t="s">
        <v>152</v>
      </c>
    </row>
    <row r="13" spans="1:17" ht="111" customHeight="1" x14ac:dyDescent="0.25">
      <c r="A13" s="11" t="s">
        <v>153</v>
      </c>
      <c r="C13" s="2" t="s">
        <v>154</v>
      </c>
      <c r="F13" s="8" t="s">
        <v>155</v>
      </c>
      <c r="G13" s="6" t="s">
        <v>156</v>
      </c>
      <c r="H13" s="6" t="s">
        <v>157</v>
      </c>
      <c r="J13" s="1" t="s">
        <v>158</v>
      </c>
      <c r="K13" s="2" t="s">
        <v>159</v>
      </c>
      <c r="L13" s="19" t="s">
        <v>160</v>
      </c>
      <c r="M13" s="2" t="s">
        <v>161</v>
      </c>
      <c r="O13" s="12">
        <v>44896</v>
      </c>
      <c r="P13" s="12">
        <v>44926</v>
      </c>
      <c r="Q13" s="1" t="s">
        <v>162</v>
      </c>
    </row>
    <row r="14" spans="1:17" ht="111" customHeight="1" x14ac:dyDescent="0.25">
      <c r="A14" s="11" t="s">
        <v>163</v>
      </c>
      <c r="C14" s="2" t="s">
        <v>164</v>
      </c>
      <c r="F14" s="8" t="s">
        <v>165</v>
      </c>
      <c r="G14" s="6" t="s">
        <v>166</v>
      </c>
      <c r="H14" s="6" t="s">
        <v>167</v>
      </c>
      <c r="J14" s="1" t="s">
        <v>168</v>
      </c>
      <c r="K14" s="2" t="s">
        <v>169</v>
      </c>
      <c r="L14" s="19" t="s">
        <v>170</v>
      </c>
      <c r="M14" s="2" t="s">
        <v>171</v>
      </c>
      <c r="Q14" s="1" t="s">
        <v>172</v>
      </c>
    </row>
    <row r="15" spans="1:17" ht="111" customHeight="1" x14ac:dyDescent="0.25">
      <c r="A15" s="11" t="s">
        <v>173</v>
      </c>
      <c r="C15" s="4" t="s">
        <v>174</v>
      </c>
      <c r="F15" s="8" t="s">
        <v>175</v>
      </c>
      <c r="G15" s="6" t="s">
        <v>176</v>
      </c>
      <c r="H15" s="6" t="s">
        <v>177</v>
      </c>
      <c r="J15" s="1" t="s">
        <v>178</v>
      </c>
      <c r="K15" s="2" t="s">
        <v>179</v>
      </c>
      <c r="L15" s="19" t="s">
        <v>180</v>
      </c>
      <c r="M15" s="2" t="s">
        <v>181</v>
      </c>
      <c r="Q15" s="1" t="s">
        <v>182</v>
      </c>
    </row>
    <row r="16" spans="1:17" ht="111" customHeight="1" x14ac:dyDescent="0.25">
      <c r="A16" s="11" t="s">
        <v>183</v>
      </c>
      <c r="C16" s="4" t="s">
        <v>184</v>
      </c>
      <c r="F16" s="5" t="s">
        <v>185</v>
      </c>
      <c r="G16" s="7" t="s">
        <v>186</v>
      </c>
      <c r="H16" s="7" t="s">
        <v>187</v>
      </c>
      <c r="J16" s="1" t="s">
        <v>188</v>
      </c>
      <c r="K16" s="2" t="s">
        <v>189</v>
      </c>
      <c r="L16" s="2" t="s">
        <v>190</v>
      </c>
      <c r="M16" s="2" t="s">
        <v>191</v>
      </c>
      <c r="Q16" s="1" t="s">
        <v>192</v>
      </c>
    </row>
    <row r="17" spans="1:17" ht="111" customHeight="1" x14ac:dyDescent="0.25">
      <c r="A17" s="11" t="s">
        <v>193</v>
      </c>
      <c r="F17" s="5" t="s">
        <v>194</v>
      </c>
      <c r="G17" s="7" t="s">
        <v>167</v>
      </c>
      <c r="H17" s="7" t="s">
        <v>195</v>
      </c>
      <c r="J17" s="1" t="s">
        <v>196</v>
      </c>
      <c r="K17" s="4" t="s">
        <v>56</v>
      </c>
      <c r="L17" s="4" t="s">
        <v>197</v>
      </c>
      <c r="M17" s="2" t="s">
        <v>198</v>
      </c>
      <c r="Q17" s="1" t="s">
        <v>199</v>
      </c>
    </row>
    <row r="18" spans="1:17" ht="111" customHeight="1" x14ac:dyDescent="0.25">
      <c r="A18" s="11" t="s">
        <v>200</v>
      </c>
      <c r="F18" s="5" t="s">
        <v>201</v>
      </c>
      <c r="G18" s="6" t="s">
        <v>202</v>
      </c>
      <c r="H18" s="6" t="s">
        <v>203</v>
      </c>
      <c r="J18" s="1" t="s">
        <v>204</v>
      </c>
      <c r="K18" s="2" t="s">
        <v>205</v>
      </c>
      <c r="L18" s="19" t="s">
        <v>206</v>
      </c>
      <c r="M18" s="2" t="s">
        <v>207</v>
      </c>
      <c r="Q18" s="1" t="s">
        <v>208</v>
      </c>
    </row>
    <row r="19" spans="1:17" ht="111" customHeight="1" x14ac:dyDescent="0.25">
      <c r="A19" s="11" t="s">
        <v>209</v>
      </c>
      <c r="F19" s="5" t="s">
        <v>210</v>
      </c>
      <c r="G19" s="6" t="s">
        <v>211</v>
      </c>
      <c r="H19" s="6" t="s">
        <v>212</v>
      </c>
      <c r="J19" s="1" t="s">
        <v>213</v>
      </c>
      <c r="K19" s="2" t="s">
        <v>214</v>
      </c>
      <c r="L19" s="19" t="s">
        <v>215</v>
      </c>
      <c r="M19" s="2" t="s">
        <v>216</v>
      </c>
      <c r="Q19" s="1" t="s">
        <v>217</v>
      </c>
    </row>
    <row r="20" spans="1:17" ht="111" customHeight="1" x14ac:dyDescent="0.25">
      <c r="A20" s="11" t="s">
        <v>218</v>
      </c>
      <c r="F20" s="5" t="s">
        <v>219</v>
      </c>
      <c r="G20" s="6" t="s">
        <v>220</v>
      </c>
      <c r="H20" s="6" t="s">
        <v>221</v>
      </c>
      <c r="J20" s="4" t="s">
        <v>222</v>
      </c>
      <c r="K20" s="2" t="s">
        <v>223</v>
      </c>
      <c r="L20" s="19" t="s">
        <v>224</v>
      </c>
      <c r="M20" s="4" t="s">
        <v>225</v>
      </c>
      <c r="Q20" s="1" t="s">
        <v>226</v>
      </c>
    </row>
    <row r="21" spans="1:17" ht="111" customHeight="1" x14ac:dyDescent="0.25">
      <c r="A21" s="11" t="s">
        <v>227</v>
      </c>
      <c r="F21" s="9" t="s">
        <v>228</v>
      </c>
      <c r="G21" s="6" t="s">
        <v>229</v>
      </c>
      <c r="H21" s="6" t="s">
        <v>230</v>
      </c>
      <c r="J21" s="4" t="s">
        <v>231</v>
      </c>
      <c r="K21" s="4" t="s">
        <v>70</v>
      </c>
      <c r="L21" s="19" t="s">
        <v>232</v>
      </c>
      <c r="M21" s="4" t="s">
        <v>233</v>
      </c>
      <c r="Q21" s="1" t="s">
        <v>234</v>
      </c>
    </row>
    <row r="22" spans="1:17" ht="111" customHeight="1" x14ac:dyDescent="0.25">
      <c r="A22" s="11" t="s">
        <v>235</v>
      </c>
      <c r="F22" s="5" t="s">
        <v>236</v>
      </c>
      <c r="H22" s="4" t="s">
        <v>237</v>
      </c>
      <c r="J22" s="4" t="s">
        <v>238</v>
      </c>
      <c r="K22" s="2" t="s">
        <v>239</v>
      </c>
      <c r="L22" s="19" t="s">
        <v>240</v>
      </c>
      <c r="Q22" s="1" t="s">
        <v>241</v>
      </c>
    </row>
    <row r="23" spans="1:17" ht="111" customHeight="1" x14ac:dyDescent="0.25">
      <c r="A23" s="11" t="s">
        <v>242</v>
      </c>
      <c r="F23" s="5" t="s">
        <v>243</v>
      </c>
      <c r="J23" s="4" t="s">
        <v>244</v>
      </c>
      <c r="K23" s="2" t="s">
        <v>245</v>
      </c>
      <c r="L23" s="19" t="s">
        <v>246</v>
      </c>
      <c r="Q23" s="1" t="s">
        <v>247</v>
      </c>
    </row>
    <row r="24" spans="1:17" ht="111" customHeight="1" x14ac:dyDescent="0.25">
      <c r="A24" s="11" t="s">
        <v>248</v>
      </c>
      <c r="F24" s="5" t="s">
        <v>249</v>
      </c>
      <c r="J24" s="4" t="s">
        <v>250</v>
      </c>
      <c r="K24" s="2" t="s">
        <v>251</v>
      </c>
      <c r="L24" s="19" t="s">
        <v>252</v>
      </c>
      <c r="Q24" s="1" t="s">
        <v>253</v>
      </c>
    </row>
    <row r="25" spans="1:17" ht="111" customHeight="1" x14ac:dyDescent="0.25">
      <c r="A25" s="11" t="s">
        <v>254</v>
      </c>
      <c r="F25" s="5" t="s">
        <v>255</v>
      </c>
      <c r="K25" s="2" t="s">
        <v>256</v>
      </c>
      <c r="L25" s="4" t="s">
        <v>257</v>
      </c>
      <c r="Q25" s="1" t="s">
        <v>258</v>
      </c>
    </row>
    <row r="26" spans="1:17" ht="111" customHeight="1" x14ac:dyDescent="0.25">
      <c r="A26" s="11" t="s">
        <v>259</v>
      </c>
      <c r="F26" s="5" t="s">
        <v>260</v>
      </c>
      <c r="K26" s="4" t="s">
        <v>83</v>
      </c>
      <c r="Q26" s="1" t="s">
        <v>261</v>
      </c>
    </row>
    <row r="27" spans="1:17" ht="111" customHeight="1" x14ac:dyDescent="0.25">
      <c r="A27" s="11" t="s">
        <v>262</v>
      </c>
      <c r="F27" s="5" t="s">
        <v>263</v>
      </c>
      <c r="K27" s="2" t="s">
        <v>264</v>
      </c>
      <c r="Q27" s="1" t="s">
        <v>265</v>
      </c>
    </row>
    <row r="28" spans="1:17" ht="111" customHeight="1" x14ac:dyDescent="0.25">
      <c r="A28" s="11" t="s">
        <v>266</v>
      </c>
      <c r="F28" s="5" t="s">
        <v>267</v>
      </c>
      <c r="K28" s="2" t="s">
        <v>268</v>
      </c>
      <c r="Q28" s="1" t="s">
        <v>269</v>
      </c>
    </row>
    <row r="29" spans="1:17" ht="111" customHeight="1" x14ac:dyDescent="0.25">
      <c r="A29" s="11" t="s">
        <v>270</v>
      </c>
      <c r="F29" s="5" t="s">
        <v>271</v>
      </c>
      <c r="K29" s="2" t="s">
        <v>272</v>
      </c>
      <c r="Q29" s="1" t="s">
        <v>273</v>
      </c>
    </row>
    <row r="30" spans="1:17" ht="111" customHeight="1" x14ac:dyDescent="0.25">
      <c r="A30" s="11" t="s">
        <v>274</v>
      </c>
      <c r="F30" s="5" t="s">
        <v>275</v>
      </c>
      <c r="K30" s="2" t="s">
        <v>276</v>
      </c>
      <c r="Q30" s="1" t="s">
        <v>277</v>
      </c>
    </row>
    <row r="31" spans="1:17" ht="111" customHeight="1" x14ac:dyDescent="0.25">
      <c r="A31" s="11" t="s">
        <v>278</v>
      </c>
      <c r="F31" s="5" t="s">
        <v>279</v>
      </c>
      <c r="K31" s="2" t="s">
        <v>280</v>
      </c>
      <c r="Q31" s="1" t="s">
        <v>281</v>
      </c>
    </row>
    <row r="32" spans="1:17" ht="111" customHeight="1" x14ac:dyDescent="0.25">
      <c r="A32" s="11" t="s">
        <v>282</v>
      </c>
      <c r="F32" s="5" t="s">
        <v>283</v>
      </c>
      <c r="K32" s="4" t="s">
        <v>95</v>
      </c>
      <c r="Q32" s="1" t="s">
        <v>284</v>
      </c>
    </row>
    <row r="33" spans="1:17" ht="111" customHeight="1" x14ac:dyDescent="0.25">
      <c r="A33" s="11" t="s">
        <v>285</v>
      </c>
      <c r="F33" s="5" t="s">
        <v>286</v>
      </c>
      <c r="K33" s="2" t="s">
        <v>287</v>
      </c>
      <c r="Q33" s="1" t="s">
        <v>288</v>
      </c>
    </row>
    <row r="34" spans="1:17" ht="111" customHeight="1" x14ac:dyDescent="0.25">
      <c r="A34" s="11" t="s">
        <v>289</v>
      </c>
      <c r="F34" s="5" t="s">
        <v>290</v>
      </c>
      <c r="K34" s="2" t="s">
        <v>291</v>
      </c>
      <c r="Q34" s="1" t="s">
        <v>292</v>
      </c>
    </row>
    <row r="35" spans="1:17" ht="111" customHeight="1" x14ac:dyDescent="0.25">
      <c r="A35" s="11" t="s">
        <v>293</v>
      </c>
      <c r="F35" s="5" t="s">
        <v>294</v>
      </c>
      <c r="K35" s="2" t="s">
        <v>295</v>
      </c>
      <c r="Q35" s="1" t="s">
        <v>296</v>
      </c>
    </row>
    <row r="36" spans="1:17" ht="111" customHeight="1" x14ac:dyDescent="0.25">
      <c r="A36" s="11" t="s">
        <v>297</v>
      </c>
      <c r="F36" s="5" t="s">
        <v>298</v>
      </c>
      <c r="K36" s="2" t="s">
        <v>299</v>
      </c>
      <c r="Q36" s="1" t="s">
        <v>300</v>
      </c>
    </row>
    <row r="37" spans="1:17" ht="111" customHeight="1" x14ac:dyDescent="0.25">
      <c r="A37" s="11" t="s">
        <v>301</v>
      </c>
      <c r="F37" s="5" t="s">
        <v>302</v>
      </c>
      <c r="K37" s="2" t="s">
        <v>303</v>
      </c>
      <c r="Q37" s="1" t="s">
        <v>304</v>
      </c>
    </row>
    <row r="38" spans="1:17" ht="111" customHeight="1" x14ac:dyDescent="0.25">
      <c r="A38" s="11" t="s">
        <v>305</v>
      </c>
      <c r="F38" s="5" t="s">
        <v>306</v>
      </c>
      <c r="K38" s="4" t="s">
        <v>106</v>
      </c>
      <c r="Q38" s="1" t="s">
        <v>307</v>
      </c>
    </row>
    <row r="39" spans="1:17" ht="111" customHeight="1" x14ac:dyDescent="0.25">
      <c r="A39" s="11" t="s">
        <v>308</v>
      </c>
      <c r="F39" s="5" t="s">
        <v>309</v>
      </c>
      <c r="K39" s="2" t="s">
        <v>310</v>
      </c>
      <c r="Q39" s="1" t="s">
        <v>311</v>
      </c>
    </row>
    <row r="40" spans="1:17" ht="156" x14ac:dyDescent="0.25">
      <c r="A40" s="11" t="s">
        <v>312</v>
      </c>
      <c r="F40" s="5" t="s">
        <v>313</v>
      </c>
      <c r="K40" s="2" t="s">
        <v>314</v>
      </c>
      <c r="Q40" s="1" t="s">
        <v>315</v>
      </c>
    </row>
    <row r="41" spans="1:17" ht="111" customHeight="1" x14ac:dyDescent="0.25">
      <c r="A41" s="11" t="s">
        <v>316</v>
      </c>
      <c r="F41" s="5" t="s">
        <v>317</v>
      </c>
      <c r="K41" s="2" t="s">
        <v>318</v>
      </c>
      <c r="Q41" s="1" t="s">
        <v>319</v>
      </c>
    </row>
    <row r="42" spans="1:17" ht="111" customHeight="1" x14ac:dyDescent="0.25">
      <c r="A42" s="4" t="s">
        <v>320</v>
      </c>
      <c r="F42" s="5" t="s">
        <v>321</v>
      </c>
      <c r="K42" s="2" t="s">
        <v>322</v>
      </c>
      <c r="Q42" s="1" t="s">
        <v>323</v>
      </c>
    </row>
    <row r="43" spans="1:17" ht="111" customHeight="1" x14ac:dyDescent="0.25">
      <c r="F43" s="5" t="s">
        <v>324</v>
      </c>
      <c r="K43" s="2" t="s">
        <v>325</v>
      </c>
      <c r="Q43" s="1" t="s">
        <v>326</v>
      </c>
    </row>
    <row r="44" spans="1:17" ht="111" customHeight="1" x14ac:dyDescent="0.25">
      <c r="F44" s="10" t="s">
        <v>327</v>
      </c>
      <c r="K44" s="2" t="s">
        <v>328</v>
      </c>
      <c r="Q44" s="1" t="s">
        <v>329</v>
      </c>
    </row>
    <row r="45" spans="1:17" ht="111" customHeight="1" x14ac:dyDescent="0.25">
      <c r="F45" s="10" t="s">
        <v>330</v>
      </c>
      <c r="K45" s="2" t="s">
        <v>331</v>
      </c>
      <c r="Q45" s="1" t="s">
        <v>332</v>
      </c>
    </row>
    <row r="46" spans="1:17" ht="111" customHeight="1" x14ac:dyDescent="0.25">
      <c r="F46" s="5" t="s">
        <v>333</v>
      </c>
      <c r="K46" s="2" t="s">
        <v>334</v>
      </c>
      <c r="Q46" s="1" t="s">
        <v>335</v>
      </c>
    </row>
    <row r="47" spans="1:17" ht="111" customHeight="1" x14ac:dyDescent="0.25">
      <c r="F47" s="4" t="s">
        <v>336</v>
      </c>
      <c r="K47" s="4" t="s">
        <v>337</v>
      </c>
    </row>
    <row r="48" spans="1:17" ht="111" customHeight="1" x14ac:dyDescent="0.25">
      <c r="F48" s="4" t="s">
        <v>338</v>
      </c>
      <c r="K48" s="2" t="s">
        <v>339</v>
      </c>
    </row>
    <row r="49" spans="11:11" ht="111" customHeight="1" x14ac:dyDescent="0.25">
      <c r="K49" s="2" t="s">
        <v>340</v>
      </c>
    </row>
    <row r="50" spans="11:11" ht="111" customHeight="1" x14ac:dyDescent="0.25">
      <c r="K50" s="2" t="s">
        <v>341</v>
      </c>
    </row>
    <row r="51" spans="11:11" ht="111" customHeight="1" x14ac:dyDescent="0.25">
      <c r="K51" s="2" t="s">
        <v>342</v>
      </c>
    </row>
    <row r="52" spans="11:11" ht="111" customHeight="1" x14ac:dyDescent="0.25">
      <c r="K52" s="2" t="s">
        <v>343</v>
      </c>
    </row>
    <row r="53" spans="11:11" ht="111" customHeight="1" x14ac:dyDescent="0.25">
      <c r="K53" s="2" t="s">
        <v>344</v>
      </c>
    </row>
    <row r="54" spans="11:11" ht="111" customHeight="1" x14ac:dyDescent="0.25">
      <c r="K54" s="4" t="s">
        <v>128</v>
      </c>
    </row>
    <row r="55" spans="11:11" ht="111" customHeight="1" x14ac:dyDescent="0.25">
      <c r="K55" s="2" t="s">
        <v>345</v>
      </c>
    </row>
    <row r="56" spans="11:11" ht="111" customHeight="1" x14ac:dyDescent="0.25">
      <c r="K56" s="2" t="s">
        <v>346</v>
      </c>
    </row>
    <row r="57" spans="11:11" ht="111" customHeight="1" x14ac:dyDescent="0.25">
      <c r="K57" s="2" t="s">
        <v>347</v>
      </c>
    </row>
    <row r="58" spans="11:11" ht="111" customHeight="1" x14ac:dyDescent="0.25">
      <c r="K58" s="2" t="s">
        <v>348</v>
      </c>
    </row>
    <row r="59" spans="11:11" ht="111" customHeight="1" x14ac:dyDescent="0.25">
      <c r="K59" s="2" t="s">
        <v>349</v>
      </c>
    </row>
    <row r="60" spans="11:11" ht="111" customHeight="1" x14ac:dyDescent="0.25">
      <c r="K60" s="2" t="s">
        <v>350</v>
      </c>
    </row>
    <row r="61" spans="11:11" ht="111" customHeight="1" x14ac:dyDescent="0.25">
      <c r="K61" s="2" t="s">
        <v>351</v>
      </c>
    </row>
    <row r="62" spans="11:11" ht="111" customHeight="1" x14ac:dyDescent="0.25">
      <c r="K62" s="2" t="s">
        <v>352</v>
      </c>
    </row>
    <row r="63" spans="11:11" ht="111" customHeight="1" x14ac:dyDescent="0.25">
      <c r="K63" s="2" t="s">
        <v>353</v>
      </c>
    </row>
    <row r="64" spans="11:11" ht="111" customHeight="1" x14ac:dyDescent="0.25">
      <c r="K64" s="2" t="s">
        <v>354</v>
      </c>
    </row>
    <row r="65" spans="11:11" ht="111" customHeight="1" x14ac:dyDescent="0.25">
      <c r="K65" s="2" t="s">
        <v>355</v>
      </c>
    </row>
    <row r="66" spans="11:11" ht="111" customHeight="1" x14ac:dyDescent="0.25">
      <c r="K66" s="4" t="s">
        <v>356</v>
      </c>
    </row>
    <row r="67" spans="11:11" ht="111" customHeight="1" x14ac:dyDescent="0.25">
      <c r="K67" s="2" t="s">
        <v>357</v>
      </c>
    </row>
    <row r="68" spans="11:11" ht="111" customHeight="1" x14ac:dyDescent="0.25">
      <c r="K68" s="2" t="s">
        <v>358</v>
      </c>
    </row>
    <row r="69" spans="11:11" ht="111" customHeight="1" x14ac:dyDescent="0.25">
      <c r="K69" s="2" t="s">
        <v>359</v>
      </c>
    </row>
    <row r="70" spans="11:11" ht="111" customHeight="1" x14ac:dyDescent="0.25">
      <c r="K70" s="2" t="s">
        <v>360</v>
      </c>
    </row>
    <row r="71" spans="11:11" ht="111" customHeight="1" x14ac:dyDescent="0.25">
      <c r="K71" s="2" t="s">
        <v>361</v>
      </c>
    </row>
    <row r="72" spans="11:11" ht="111" customHeight="1" x14ac:dyDescent="0.25">
      <c r="K72" s="2" t="s">
        <v>362</v>
      </c>
    </row>
    <row r="73" spans="11:11" ht="111" customHeight="1" x14ac:dyDescent="0.25">
      <c r="K73" s="2" t="s">
        <v>363</v>
      </c>
    </row>
    <row r="74" spans="11:11" ht="111" customHeight="1" x14ac:dyDescent="0.25">
      <c r="K74" s="4" t="s">
        <v>148</v>
      </c>
    </row>
    <row r="75" spans="11:11" ht="111" customHeight="1" x14ac:dyDescent="0.25">
      <c r="K75" s="2" t="s">
        <v>364</v>
      </c>
    </row>
    <row r="76" spans="11:11" ht="111" customHeight="1" x14ac:dyDescent="0.25">
      <c r="K76" s="2" t="s">
        <v>365</v>
      </c>
    </row>
    <row r="77" spans="11:11" ht="111" customHeight="1" x14ac:dyDescent="0.25">
      <c r="K77" s="2" t="s">
        <v>366</v>
      </c>
    </row>
    <row r="78" spans="11:11" ht="111" customHeight="1" x14ac:dyDescent="0.25">
      <c r="K78" s="2" t="s">
        <v>367</v>
      </c>
    </row>
    <row r="79" spans="11:11" ht="111" customHeight="1" x14ac:dyDescent="0.25">
      <c r="K79" s="4" t="s">
        <v>158</v>
      </c>
    </row>
    <row r="80" spans="11:11" ht="111" customHeight="1" x14ac:dyDescent="0.25">
      <c r="K80" s="2" t="s">
        <v>368</v>
      </c>
    </row>
    <row r="81" spans="11:11" ht="111" customHeight="1" x14ac:dyDescent="0.25">
      <c r="K81" s="2" t="s">
        <v>369</v>
      </c>
    </row>
    <row r="82" spans="11:11" ht="111" customHeight="1" x14ac:dyDescent="0.25">
      <c r="K82" s="2" t="s">
        <v>370</v>
      </c>
    </row>
    <row r="83" spans="11:11" ht="111" customHeight="1" x14ac:dyDescent="0.25">
      <c r="K83" s="4" t="s">
        <v>371</v>
      </c>
    </row>
    <row r="84" spans="11:11" ht="111" customHeight="1" x14ac:dyDescent="0.25">
      <c r="K84" s="2" t="s">
        <v>372</v>
      </c>
    </row>
    <row r="85" spans="11:11" ht="111" customHeight="1" x14ac:dyDescent="0.25">
      <c r="K85" s="2" t="s">
        <v>373</v>
      </c>
    </row>
    <row r="86" spans="11:11" ht="111" customHeight="1" x14ac:dyDescent="0.25">
      <c r="K86" s="2" t="s">
        <v>374</v>
      </c>
    </row>
    <row r="87" spans="11:11" ht="111" customHeight="1" x14ac:dyDescent="0.25">
      <c r="K87" s="2" t="s">
        <v>375</v>
      </c>
    </row>
    <row r="88" spans="11:11" ht="111" customHeight="1" x14ac:dyDescent="0.25">
      <c r="K88" s="4" t="s">
        <v>178</v>
      </c>
    </row>
    <row r="89" spans="11:11" ht="111" customHeight="1" x14ac:dyDescent="0.25">
      <c r="K89" s="2" t="s">
        <v>376</v>
      </c>
    </row>
    <row r="90" spans="11:11" ht="111" customHeight="1" x14ac:dyDescent="0.25">
      <c r="K90" s="2" t="s">
        <v>377</v>
      </c>
    </row>
    <row r="91" spans="11:11" ht="111" customHeight="1" x14ac:dyDescent="0.25">
      <c r="K91" s="2" t="s">
        <v>378</v>
      </c>
    </row>
    <row r="92" spans="11:11" ht="111" customHeight="1" x14ac:dyDescent="0.25">
      <c r="K92" s="2" t="s">
        <v>379</v>
      </c>
    </row>
    <row r="93" spans="11:11" ht="111" customHeight="1" x14ac:dyDescent="0.25">
      <c r="K93" s="2" t="s">
        <v>380</v>
      </c>
    </row>
    <row r="94" spans="11:11" ht="111" customHeight="1" x14ac:dyDescent="0.25">
      <c r="K94" s="4" t="s">
        <v>188</v>
      </c>
    </row>
    <row r="95" spans="11:11" ht="111" customHeight="1" x14ac:dyDescent="0.25">
      <c r="K95" s="2" t="s">
        <v>381</v>
      </c>
    </row>
    <row r="96" spans="11:11" ht="111" customHeight="1" x14ac:dyDescent="0.25">
      <c r="K96" s="2" t="s">
        <v>382</v>
      </c>
    </row>
    <row r="97" spans="11:11" ht="111" customHeight="1" x14ac:dyDescent="0.25">
      <c r="K97" s="2" t="s">
        <v>383</v>
      </c>
    </row>
    <row r="98" spans="11:11" ht="111" customHeight="1" x14ac:dyDescent="0.25">
      <c r="K98" s="2" t="s">
        <v>384</v>
      </c>
    </row>
    <row r="99" spans="11:11" ht="111" customHeight="1" x14ac:dyDescent="0.25">
      <c r="K99" s="2" t="s">
        <v>385</v>
      </c>
    </row>
    <row r="100" spans="11:11" ht="111" customHeight="1" x14ac:dyDescent="0.25">
      <c r="K100" s="4" t="s">
        <v>196</v>
      </c>
    </row>
    <row r="101" spans="11:11" ht="111" customHeight="1" x14ac:dyDescent="0.25">
      <c r="K101" s="2" t="s">
        <v>386</v>
      </c>
    </row>
    <row r="102" spans="11:11" ht="111" customHeight="1" x14ac:dyDescent="0.25">
      <c r="K102" s="2" t="s">
        <v>387</v>
      </c>
    </row>
    <row r="103" spans="11:11" ht="111" customHeight="1" x14ac:dyDescent="0.25">
      <c r="K103" s="2" t="s">
        <v>388</v>
      </c>
    </row>
    <row r="104" spans="11:11" ht="111" customHeight="1" x14ac:dyDescent="0.25">
      <c r="K104" s="2" t="s">
        <v>389</v>
      </c>
    </row>
    <row r="105" spans="11:11" ht="111" customHeight="1" x14ac:dyDescent="0.25">
      <c r="K105" s="4" t="s">
        <v>204</v>
      </c>
    </row>
    <row r="106" spans="11:11" ht="111" customHeight="1" x14ac:dyDescent="0.25">
      <c r="K106" s="2" t="s">
        <v>390</v>
      </c>
    </row>
    <row r="107" spans="11:11" ht="111" customHeight="1" x14ac:dyDescent="0.25">
      <c r="K107" s="2" t="s">
        <v>391</v>
      </c>
    </row>
    <row r="108" spans="11:11" ht="111" customHeight="1" x14ac:dyDescent="0.25">
      <c r="K108" s="2" t="s">
        <v>392</v>
      </c>
    </row>
    <row r="109" spans="11:11" ht="111" customHeight="1" x14ac:dyDescent="0.25">
      <c r="K109" s="2" t="s">
        <v>393</v>
      </c>
    </row>
    <row r="110" spans="11:11" ht="111" customHeight="1" x14ac:dyDescent="0.25">
      <c r="K110" s="2" t="s">
        <v>394</v>
      </c>
    </row>
    <row r="111" spans="11:11" ht="111" customHeight="1" x14ac:dyDescent="0.25">
      <c r="K111" s="2" t="s">
        <v>395</v>
      </c>
    </row>
    <row r="112" spans="11:11" ht="111" customHeight="1" x14ac:dyDescent="0.25">
      <c r="K112" s="2" t="s">
        <v>396</v>
      </c>
    </row>
    <row r="113" spans="11:11" ht="111" customHeight="1" x14ac:dyDescent="0.25">
      <c r="K113" s="4" t="s">
        <v>213</v>
      </c>
    </row>
    <row r="114" spans="11:11" ht="111" customHeight="1" x14ac:dyDescent="0.25">
      <c r="K114" s="2" t="s">
        <v>397</v>
      </c>
    </row>
    <row r="115" spans="11:11" ht="111" customHeight="1" x14ac:dyDescent="0.25">
      <c r="K115" s="2" t="s">
        <v>398</v>
      </c>
    </row>
    <row r="116" spans="11:11" ht="111" customHeight="1" x14ac:dyDescent="0.25">
      <c r="K116" s="2" t="s">
        <v>399</v>
      </c>
    </row>
    <row r="117" spans="11:11" ht="111" customHeight="1" x14ac:dyDescent="0.25">
      <c r="K117" s="2" t="s">
        <v>400</v>
      </c>
    </row>
    <row r="118" spans="11:11" ht="111" customHeight="1" x14ac:dyDescent="0.25">
      <c r="K118" s="2" t="s">
        <v>401</v>
      </c>
    </row>
    <row r="119" spans="11:11" ht="111" customHeight="1" x14ac:dyDescent="0.25">
      <c r="K119" s="4" t="s">
        <v>402</v>
      </c>
    </row>
    <row r="120" spans="11:11" ht="111" customHeight="1" x14ac:dyDescent="0.25">
      <c r="K120" s="4" t="s">
        <v>403</v>
      </c>
    </row>
  </sheetData>
  <autoFilter ref="A1:Q120" xr:uid="{00000000-0001-0000-0000-000000000000}"/>
  <dataValidations count="2">
    <dataValidation type="list" allowBlank="1" showInputMessage="1" showErrorMessage="1" sqref="B1" xr:uid="{00000000-0002-0000-0000-000000000000}">
      <formula1>$B$2:$B$5</formula1>
    </dataValidation>
    <dataValidation type="list" allowBlank="1" showInputMessage="1" showErrorMessage="1" sqref="A1" xr:uid="{00000000-0002-0000-0000-000001000000}">
      <formula1>$A$2:$A$12</formula1>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64A29-ED16-48B2-9108-13B87056D218}">
  <sheetPr>
    <tabColor theme="5" tint="0.59999389629810485"/>
  </sheetPr>
  <dimension ref="A1"/>
  <sheetViews>
    <sheetView showGridLines="0" tabSelected="1" workbookViewId="0">
      <selection activeCell="J9" sqref="J9"/>
    </sheetView>
  </sheetViews>
  <sheetFormatPr baseColWidth="10" defaultColWidth="11.42578125" defaultRowHeight="15" x14ac:dyDescent="0.25"/>
  <cols>
    <col min="5" max="5" width="34.42578125" customWidth="1"/>
  </cols>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7B317-6221-4286-BA41-39DA892BACB6}">
  <dimension ref="B2:E6"/>
  <sheetViews>
    <sheetView workbookViewId="0">
      <selection activeCell="A7" sqref="A7"/>
    </sheetView>
  </sheetViews>
  <sheetFormatPr baseColWidth="10" defaultColWidth="11.42578125" defaultRowHeight="15" x14ac:dyDescent="0.25"/>
  <cols>
    <col min="2" max="2" width="14.42578125" customWidth="1"/>
    <col min="3" max="3" width="17" customWidth="1"/>
    <col min="4" max="4" width="42" customWidth="1"/>
    <col min="5" max="5" width="40.85546875" bestFit="1" customWidth="1"/>
  </cols>
  <sheetData>
    <row r="2" spans="2:5" x14ac:dyDescent="0.25">
      <c r="B2" s="43" t="s">
        <v>404</v>
      </c>
      <c r="C2" s="42" t="s">
        <v>405</v>
      </c>
      <c r="D2" s="42" t="s">
        <v>406</v>
      </c>
      <c r="E2" s="42" t="s">
        <v>407</v>
      </c>
    </row>
    <row r="3" spans="2:5" ht="28.5" x14ac:dyDescent="0.25">
      <c r="B3" s="41" t="s">
        <v>408</v>
      </c>
      <c r="C3" s="41" t="s">
        <v>409</v>
      </c>
      <c r="D3" s="40" t="s">
        <v>410</v>
      </c>
      <c r="E3" s="40" t="s">
        <v>411</v>
      </c>
    </row>
    <row r="4" spans="2:5" ht="42.75" x14ac:dyDescent="0.25">
      <c r="B4" s="41" t="s">
        <v>412</v>
      </c>
      <c r="C4" s="41" t="s">
        <v>413</v>
      </c>
      <c r="D4" s="40" t="s">
        <v>414</v>
      </c>
      <c r="E4" s="40" t="s">
        <v>411</v>
      </c>
    </row>
    <row r="5" spans="2:5" ht="128.25" x14ac:dyDescent="0.25">
      <c r="B5" s="41" t="s">
        <v>415</v>
      </c>
      <c r="C5" s="41" t="s">
        <v>416</v>
      </c>
      <c r="D5" s="40" t="s">
        <v>417</v>
      </c>
      <c r="E5" s="40" t="s">
        <v>418</v>
      </c>
    </row>
    <row r="6" spans="2:5" ht="156.75" x14ac:dyDescent="0.25">
      <c r="B6" s="41" t="s">
        <v>419</v>
      </c>
      <c r="C6" s="41" t="s">
        <v>420</v>
      </c>
      <c r="D6" s="40" t="s">
        <v>421</v>
      </c>
      <c r="E6" s="40" t="s">
        <v>422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CC187"/>
  <sheetViews>
    <sheetView showGridLines="0" zoomScale="70" zoomScaleNormal="70" workbookViewId="0"/>
  </sheetViews>
  <sheetFormatPr baseColWidth="10" defaultColWidth="34.42578125" defaultRowHeight="14.25" x14ac:dyDescent="0.2"/>
  <cols>
    <col min="1" max="1" width="13.5703125" style="165" customWidth="1"/>
    <col min="2" max="2" width="29.28515625" style="165" customWidth="1"/>
    <col min="3" max="3" width="30.7109375" style="165" customWidth="1"/>
    <col min="4" max="4" width="23.28515625" style="165" customWidth="1"/>
    <col min="5" max="5" width="27.140625" style="165" customWidth="1"/>
    <col min="6" max="6" width="20.28515625" style="165" customWidth="1"/>
    <col min="7" max="7" width="25.85546875" style="165" customWidth="1"/>
    <col min="8" max="8" width="25.140625" style="165" customWidth="1"/>
    <col min="9" max="9" width="18" style="165" customWidth="1"/>
    <col min="10" max="10" width="28.42578125" style="165" customWidth="1"/>
    <col min="11" max="12" width="28" style="165" customWidth="1"/>
    <col min="13" max="13" width="30.7109375" style="165" customWidth="1"/>
    <col min="14" max="14" width="13.28515625" style="24" customWidth="1"/>
    <col min="15" max="15" width="52.7109375" style="169" customWidth="1"/>
    <col min="16" max="16" width="34.42578125" style="24" customWidth="1"/>
    <col min="17" max="17" width="14.85546875" style="210" hidden="1" customWidth="1"/>
    <col min="18" max="18" width="34.42578125" style="24" customWidth="1"/>
    <col min="19" max="19" width="37.5703125" style="165" customWidth="1"/>
    <col min="20" max="20" width="23.7109375" style="165" customWidth="1"/>
    <col min="21" max="21" width="19.7109375" style="211" customWidth="1"/>
    <col min="22" max="22" width="12.28515625" style="211" customWidth="1"/>
    <col min="23" max="23" width="34.42578125" style="166" customWidth="1"/>
    <col min="24" max="24" width="39.85546875" style="165" customWidth="1"/>
    <col min="25" max="25" width="20.7109375" style="21" customWidth="1"/>
    <col min="26" max="26" width="19.85546875" style="219" customWidth="1"/>
    <col min="27" max="27" width="20.42578125" style="220" customWidth="1"/>
    <col min="28" max="28" width="27" style="168" customWidth="1"/>
    <col min="29" max="29" width="17" style="167" customWidth="1"/>
    <col min="30" max="30" width="39.42578125" style="165" customWidth="1"/>
    <col min="31" max="31" width="23" style="21" customWidth="1"/>
    <col min="32" max="32" width="19.28515625" style="22" customWidth="1"/>
    <col min="33" max="33" width="25.42578125" style="22" customWidth="1"/>
    <col min="34" max="34" width="70.42578125" style="38" customWidth="1"/>
    <col min="35" max="35" width="48" style="38" customWidth="1"/>
    <col min="36" max="36" width="34.42578125" style="165" customWidth="1"/>
    <col min="37" max="38" width="34.42578125" style="21" customWidth="1"/>
    <col min="39" max="39" width="19.7109375" style="157" customWidth="1"/>
    <col min="40" max="40" width="53.28515625" style="102" customWidth="1"/>
    <col min="41" max="41" width="34.42578125" style="165" customWidth="1"/>
    <col min="42" max="42" width="34.42578125" style="169" customWidth="1"/>
    <col min="43" max="43" width="16.28515625" style="21" customWidth="1"/>
    <col min="44" max="44" width="20" style="21" customWidth="1"/>
    <col min="45" max="45" width="32.140625" style="157" customWidth="1"/>
    <col min="46" max="46" width="63.140625" style="165" customWidth="1"/>
    <col min="47" max="47" width="43.5703125" style="23" customWidth="1"/>
    <col min="48" max="48" width="21.28515625" style="165" customWidth="1"/>
    <col min="49" max="49" width="24.42578125" style="21" bestFit="1" customWidth="1"/>
    <col min="50" max="50" width="20.28515625" style="219" bestFit="1" customWidth="1"/>
    <col min="51" max="51" width="28.7109375" style="21" bestFit="1" customWidth="1"/>
    <col min="52" max="52" width="25.7109375" style="165" bestFit="1" customWidth="1"/>
    <col min="53" max="16384" width="34.42578125" style="165"/>
  </cols>
  <sheetData>
    <row r="1" spans="1:81" x14ac:dyDescent="0.2">
      <c r="N1" s="21"/>
      <c r="O1" s="165"/>
      <c r="P1" s="21"/>
      <c r="Q1" s="22"/>
      <c r="R1" s="21"/>
    </row>
    <row r="2" spans="1:81" x14ac:dyDescent="0.2">
      <c r="B2" s="749"/>
      <c r="C2" s="750"/>
      <c r="D2" s="726" t="s">
        <v>423</v>
      </c>
      <c r="E2" s="727"/>
      <c r="F2" s="727"/>
      <c r="G2" s="727"/>
      <c r="H2" s="727"/>
      <c r="I2" s="727"/>
      <c r="J2" s="727"/>
      <c r="K2" s="727"/>
      <c r="L2" s="727"/>
      <c r="M2" s="727"/>
      <c r="N2" s="727"/>
      <c r="O2" s="727"/>
      <c r="P2" s="727"/>
      <c r="Q2" s="727"/>
      <c r="R2" s="727"/>
      <c r="S2" s="727"/>
      <c r="T2" s="727"/>
      <c r="U2" s="727"/>
      <c r="V2" s="727"/>
      <c r="W2" s="727"/>
      <c r="X2" s="727"/>
      <c r="Y2" s="727"/>
      <c r="Z2" s="728"/>
      <c r="AA2" s="729"/>
      <c r="AB2" s="730"/>
      <c r="AC2" s="727"/>
      <c r="AD2" s="727"/>
      <c r="AE2" s="727"/>
      <c r="AF2" s="727"/>
      <c r="AG2" s="727"/>
      <c r="AH2" s="727"/>
      <c r="AI2" s="727"/>
      <c r="AJ2" s="727"/>
      <c r="AK2" s="727"/>
      <c r="AL2" s="727"/>
      <c r="AM2" s="727"/>
      <c r="AN2" s="731"/>
      <c r="AO2" s="727"/>
      <c r="AP2" s="727"/>
      <c r="AQ2" s="727"/>
      <c r="AR2" s="744" t="s">
        <v>424</v>
      </c>
      <c r="AS2" s="745"/>
      <c r="AT2" s="745"/>
      <c r="AU2" s="746"/>
      <c r="AV2" s="128"/>
    </row>
    <row r="3" spans="1:81" x14ac:dyDescent="0.2">
      <c r="B3" s="751"/>
      <c r="C3" s="752"/>
      <c r="D3" s="732"/>
      <c r="E3" s="733"/>
      <c r="F3" s="733"/>
      <c r="G3" s="733"/>
      <c r="H3" s="733"/>
      <c r="I3" s="733"/>
      <c r="J3" s="733"/>
      <c r="K3" s="733"/>
      <c r="L3" s="733"/>
      <c r="M3" s="733"/>
      <c r="N3" s="733"/>
      <c r="O3" s="733"/>
      <c r="P3" s="733"/>
      <c r="Q3" s="733"/>
      <c r="R3" s="733"/>
      <c r="S3" s="733"/>
      <c r="T3" s="733"/>
      <c r="U3" s="733"/>
      <c r="V3" s="733"/>
      <c r="W3" s="733"/>
      <c r="X3" s="733"/>
      <c r="Y3" s="733"/>
      <c r="Z3" s="734"/>
      <c r="AA3" s="735"/>
      <c r="AB3" s="736"/>
      <c r="AC3" s="733"/>
      <c r="AD3" s="733"/>
      <c r="AE3" s="733"/>
      <c r="AF3" s="733"/>
      <c r="AG3" s="733"/>
      <c r="AH3" s="733"/>
      <c r="AI3" s="733"/>
      <c r="AJ3" s="733"/>
      <c r="AK3" s="733"/>
      <c r="AL3" s="733"/>
      <c r="AM3" s="733"/>
      <c r="AN3" s="737"/>
      <c r="AO3" s="733"/>
      <c r="AP3" s="733"/>
      <c r="AQ3" s="733"/>
      <c r="AR3" s="744" t="s">
        <v>425</v>
      </c>
      <c r="AS3" s="745"/>
      <c r="AT3" s="745"/>
      <c r="AU3" s="746"/>
      <c r="AV3" s="128"/>
    </row>
    <row r="4" spans="1:81" x14ac:dyDescent="0.2">
      <c r="B4" s="751"/>
      <c r="C4" s="752"/>
      <c r="D4" s="732"/>
      <c r="E4" s="733"/>
      <c r="F4" s="733"/>
      <c r="G4" s="733"/>
      <c r="H4" s="733"/>
      <c r="I4" s="733"/>
      <c r="J4" s="733"/>
      <c r="K4" s="733"/>
      <c r="L4" s="733"/>
      <c r="M4" s="733"/>
      <c r="N4" s="733"/>
      <c r="O4" s="733"/>
      <c r="P4" s="733"/>
      <c r="Q4" s="733"/>
      <c r="R4" s="733"/>
      <c r="S4" s="733"/>
      <c r="T4" s="733"/>
      <c r="U4" s="733"/>
      <c r="V4" s="733"/>
      <c r="W4" s="733"/>
      <c r="X4" s="733"/>
      <c r="Y4" s="733"/>
      <c r="Z4" s="734"/>
      <c r="AA4" s="735"/>
      <c r="AB4" s="736"/>
      <c r="AC4" s="733"/>
      <c r="AD4" s="733"/>
      <c r="AE4" s="733"/>
      <c r="AF4" s="733"/>
      <c r="AG4" s="733"/>
      <c r="AH4" s="733"/>
      <c r="AI4" s="733"/>
      <c r="AJ4" s="733"/>
      <c r="AK4" s="733"/>
      <c r="AL4" s="733"/>
      <c r="AM4" s="733"/>
      <c r="AN4" s="737"/>
      <c r="AO4" s="733"/>
      <c r="AP4" s="733"/>
      <c r="AQ4" s="733"/>
      <c r="AR4" s="744" t="s">
        <v>426</v>
      </c>
      <c r="AS4" s="745"/>
      <c r="AT4" s="745"/>
      <c r="AU4" s="746"/>
      <c r="AV4" s="128"/>
    </row>
    <row r="5" spans="1:81" x14ac:dyDescent="0.2">
      <c r="B5" s="753"/>
      <c r="C5" s="754"/>
      <c r="D5" s="738"/>
      <c r="E5" s="739"/>
      <c r="F5" s="739"/>
      <c r="G5" s="739"/>
      <c r="H5" s="739"/>
      <c r="I5" s="739"/>
      <c r="J5" s="739"/>
      <c r="K5" s="739"/>
      <c r="L5" s="739"/>
      <c r="M5" s="739"/>
      <c r="N5" s="739"/>
      <c r="O5" s="739"/>
      <c r="P5" s="739"/>
      <c r="Q5" s="739"/>
      <c r="R5" s="739"/>
      <c r="S5" s="739"/>
      <c r="T5" s="739"/>
      <c r="U5" s="739"/>
      <c r="V5" s="739"/>
      <c r="W5" s="739"/>
      <c r="X5" s="739"/>
      <c r="Y5" s="739"/>
      <c r="Z5" s="740"/>
      <c r="AA5" s="741"/>
      <c r="AB5" s="742"/>
      <c r="AC5" s="739"/>
      <c r="AD5" s="739"/>
      <c r="AE5" s="739"/>
      <c r="AF5" s="739"/>
      <c r="AG5" s="739"/>
      <c r="AH5" s="739"/>
      <c r="AI5" s="739"/>
      <c r="AJ5" s="739"/>
      <c r="AK5" s="739"/>
      <c r="AL5" s="739"/>
      <c r="AM5" s="739"/>
      <c r="AN5" s="743"/>
      <c r="AO5" s="739"/>
      <c r="AP5" s="739"/>
      <c r="AQ5" s="739"/>
      <c r="AR5" s="744" t="s">
        <v>427</v>
      </c>
      <c r="AS5" s="745"/>
      <c r="AT5" s="745"/>
      <c r="AU5" s="746"/>
      <c r="AV5" s="128"/>
    </row>
    <row r="6" spans="1:81" x14ac:dyDescent="0.2">
      <c r="B6" s="38"/>
      <c r="C6" s="38"/>
      <c r="D6" s="38"/>
      <c r="E6" s="38"/>
      <c r="F6" s="38"/>
      <c r="G6" s="38"/>
      <c r="H6" s="38"/>
      <c r="I6" s="38"/>
      <c r="J6" s="38"/>
      <c r="K6" s="38"/>
      <c r="L6" s="38"/>
      <c r="M6" s="38"/>
      <c r="N6" s="22"/>
      <c r="O6" s="38"/>
      <c r="P6" s="22"/>
      <c r="Q6" s="22"/>
      <c r="R6" s="22"/>
      <c r="S6" s="38"/>
      <c r="T6" s="38"/>
      <c r="U6" s="22"/>
      <c r="V6" s="22"/>
      <c r="W6" s="38"/>
      <c r="X6" s="38"/>
      <c r="Y6" s="22"/>
      <c r="Z6" s="221"/>
      <c r="AA6" s="222"/>
      <c r="AB6" s="39"/>
      <c r="AC6" s="130"/>
      <c r="AD6" s="38"/>
      <c r="AE6" s="22"/>
      <c r="AJ6" s="38"/>
      <c r="AK6" s="22"/>
      <c r="AL6" s="22"/>
      <c r="AM6" s="158"/>
      <c r="AO6" s="38"/>
      <c r="AP6" s="153"/>
      <c r="AQ6" s="22"/>
      <c r="AR6" s="22"/>
      <c r="AS6" s="158"/>
      <c r="AT6" s="38"/>
    </row>
    <row r="7" spans="1:81" x14ac:dyDescent="0.2">
      <c r="B7" s="131" t="s">
        <v>428</v>
      </c>
      <c r="C7" s="762" t="s">
        <v>429</v>
      </c>
      <c r="D7" s="763"/>
      <c r="E7" s="763"/>
      <c r="F7" s="763"/>
      <c r="G7" s="763"/>
      <c r="H7" s="763"/>
      <c r="I7" s="763"/>
      <c r="J7" s="763"/>
      <c r="K7" s="763"/>
      <c r="L7" s="763"/>
      <c r="M7" s="763"/>
      <c r="N7" s="763"/>
      <c r="O7" s="763"/>
      <c r="P7" s="763"/>
      <c r="Q7" s="763"/>
      <c r="R7" s="763"/>
      <c r="S7" s="763"/>
      <c r="T7" s="763"/>
      <c r="U7" s="763"/>
      <c r="V7" s="763"/>
      <c r="W7" s="763"/>
      <c r="X7" s="763"/>
      <c r="Y7" s="763"/>
      <c r="Z7" s="764"/>
      <c r="AA7" s="765"/>
      <c r="AB7" s="766"/>
      <c r="AC7" s="763"/>
      <c r="AD7" s="763"/>
      <c r="AE7" s="763"/>
      <c r="AF7" s="763"/>
      <c r="AG7" s="763"/>
      <c r="AH7" s="763"/>
      <c r="AI7" s="763"/>
      <c r="AJ7" s="763"/>
      <c r="AK7" s="763"/>
      <c r="AL7" s="763"/>
      <c r="AM7" s="763"/>
      <c r="AN7" s="767"/>
      <c r="AO7" s="763"/>
      <c r="AP7" s="763"/>
      <c r="AQ7" s="763"/>
      <c r="AR7" s="763"/>
      <c r="AS7" s="763"/>
      <c r="AT7" s="763"/>
      <c r="AU7" s="746"/>
    </row>
    <row r="8" spans="1:81" x14ac:dyDescent="0.2">
      <c r="B8" s="131" t="s">
        <v>430</v>
      </c>
      <c r="C8" s="768" t="s">
        <v>431</v>
      </c>
      <c r="D8" s="769"/>
      <c r="E8" s="769"/>
      <c r="F8" s="769"/>
      <c r="G8" s="769"/>
      <c r="H8" s="769"/>
      <c r="I8" s="769"/>
      <c r="J8" s="769"/>
      <c r="K8" s="769"/>
      <c r="L8" s="769"/>
      <c r="M8" s="769"/>
      <c r="N8" s="769"/>
      <c r="O8" s="769"/>
      <c r="P8" s="769"/>
      <c r="Q8" s="769"/>
      <c r="R8" s="769"/>
      <c r="S8" s="769"/>
      <c r="T8" s="769"/>
      <c r="U8" s="769"/>
      <c r="V8" s="769"/>
      <c r="W8" s="769"/>
      <c r="X8" s="769"/>
      <c r="Y8" s="769"/>
      <c r="Z8" s="770"/>
      <c r="AA8" s="771"/>
      <c r="AB8" s="772"/>
      <c r="AC8" s="769"/>
      <c r="AD8" s="769"/>
      <c r="AE8" s="769"/>
      <c r="AF8" s="769"/>
      <c r="AG8" s="769"/>
      <c r="AH8" s="769"/>
      <c r="AI8" s="769"/>
      <c r="AJ8" s="769"/>
      <c r="AK8" s="769"/>
      <c r="AL8" s="769"/>
      <c r="AM8" s="769"/>
      <c r="AN8" s="773"/>
      <c r="AO8" s="769"/>
      <c r="AP8" s="769"/>
      <c r="AQ8" s="769"/>
      <c r="AR8" s="769"/>
      <c r="AS8" s="769"/>
      <c r="AT8" s="769"/>
      <c r="AU8" s="774"/>
    </row>
    <row r="9" spans="1:81" x14ac:dyDescent="0.2">
      <c r="B9" s="131" t="s">
        <v>432</v>
      </c>
      <c r="C9" s="768" t="s">
        <v>433</v>
      </c>
      <c r="D9" s="769"/>
      <c r="E9" s="769"/>
      <c r="F9" s="769"/>
      <c r="G9" s="769"/>
      <c r="H9" s="769"/>
      <c r="I9" s="769"/>
      <c r="J9" s="769"/>
      <c r="K9" s="769"/>
      <c r="L9" s="769"/>
      <c r="M9" s="769"/>
      <c r="N9" s="769"/>
      <c r="O9" s="769"/>
      <c r="P9" s="769"/>
      <c r="Q9" s="769"/>
      <c r="R9" s="769"/>
      <c r="S9" s="769"/>
      <c r="T9" s="769"/>
      <c r="U9" s="769"/>
      <c r="V9" s="769"/>
      <c r="W9" s="769"/>
      <c r="X9" s="769"/>
      <c r="Y9" s="769"/>
      <c r="Z9" s="770"/>
      <c r="AA9" s="771"/>
      <c r="AB9" s="772"/>
      <c r="AC9" s="769"/>
      <c r="AD9" s="769"/>
      <c r="AE9" s="769"/>
      <c r="AF9" s="769"/>
      <c r="AG9" s="769"/>
      <c r="AH9" s="769"/>
      <c r="AI9" s="769"/>
      <c r="AJ9" s="769"/>
      <c r="AK9" s="769"/>
      <c r="AL9" s="769"/>
      <c r="AM9" s="769"/>
      <c r="AN9" s="773"/>
      <c r="AO9" s="769"/>
      <c r="AP9" s="769"/>
      <c r="AQ9" s="769"/>
      <c r="AR9" s="769"/>
      <c r="AS9" s="769"/>
      <c r="AT9" s="769"/>
      <c r="AU9" s="774"/>
    </row>
    <row r="10" spans="1:81" x14ac:dyDescent="0.2">
      <c r="N10" s="21"/>
      <c r="O10" s="165"/>
      <c r="P10" s="21"/>
      <c r="Q10" s="22"/>
      <c r="R10" s="21"/>
      <c r="U10" s="21"/>
      <c r="V10" s="21"/>
      <c r="W10" s="165"/>
    </row>
    <row r="11" spans="1:81" x14ac:dyDescent="0.2">
      <c r="B11" s="756" t="s">
        <v>434</v>
      </c>
      <c r="C11" s="757"/>
      <c r="D11" s="758"/>
      <c r="E11" s="756" t="s">
        <v>435</v>
      </c>
      <c r="F11" s="758"/>
      <c r="G11" s="780" t="s">
        <v>436</v>
      </c>
      <c r="H11" s="780"/>
      <c r="I11" s="780"/>
      <c r="J11" s="780"/>
      <c r="K11" s="780"/>
      <c r="L11" s="780"/>
      <c r="M11" s="780"/>
      <c r="N11" s="780"/>
      <c r="O11" s="780"/>
      <c r="P11" s="780"/>
      <c r="Q11" s="780"/>
      <c r="R11" s="780"/>
      <c r="S11" s="780"/>
      <c r="T11" s="780"/>
      <c r="U11" s="780"/>
      <c r="V11" s="780"/>
      <c r="W11" s="780"/>
      <c r="X11" s="780"/>
      <c r="Y11" s="780"/>
      <c r="Z11" s="782"/>
      <c r="AA11" s="783"/>
      <c r="AB11" s="784"/>
      <c r="AC11" s="780"/>
      <c r="AD11" s="780"/>
      <c r="AE11" s="780"/>
      <c r="AF11" s="780"/>
      <c r="AG11" s="780"/>
      <c r="AH11" s="780"/>
      <c r="AI11" s="780"/>
      <c r="AJ11" s="780"/>
      <c r="AK11" s="780"/>
      <c r="AL11" s="780"/>
      <c r="AM11" s="780"/>
      <c r="AN11" s="785"/>
      <c r="AO11" s="780"/>
      <c r="AP11" s="780"/>
      <c r="AQ11" s="780"/>
      <c r="AR11" s="780"/>
      <c r="AS11" s="780"/>
      <c r="AT11" s="780"/>
      <c r="AU11" s="786"/>
    </row>
    <row r="12" spans="1:81" x14ac:dyDescent="0.2">
      <c r="B12" s="759"/>
      <c r="C12" s="760"/>
      <c r="D12" s="761"/>
      <c r="E12" s="759"/>
      <c r="F12" s="761"/>
      <c r="G12" s="780" t="s">
        <v>437</v>
      </c>
      <c r="H12" s="780"/>
      <c r="I12" s="780"/>
      <c r="J12" s="780"/>
      <c r="K12" s="780"/>
      <c r="L12" s="780"/>
      <c r="M12" s="780"/>
      <c r="N12" s="775"/>
      <c r="O12" s="775"/>
      <c r="P12" s="775"/>
      <c r="Q12" s="775"/>
      <c r="R12" s="775"/>
      <c r="S12" s="775"/>
      <c r="T12" s="775"/>
      <c r="U12" s="775"/>
      <c r="V12" s="775"/>
      <c r="W12" s="775"/>
      <c r="X12" s="775"/>
      <c r="Y12" s="775"/>
      <c r="Z12" s="776"/>
      <c r="AA12" s="777"/>
      <c r="AB12" s="778"/>
      <c r="AC12" s="775"/>
      <c r="AD12" s="775"/>
      <c r="AE12" s="775"/>
      <c r="AF12" s="775"/>
      <c r="AG12" s="775"/>
      <c r="AH12" s="775"/>
      <c r="AI12" s="775"/>
      <c r="AJ12" s="775"/>
      <c r="AK12" s="775"/>
      <c r="AL12" s="775"/>
      <c r="AM12" s="775"/>
      <c r="AN12" s="779"/>
      <c r="AO12" s="775"/>
      <c r="AP12" s="775"/>
      <c r="AQ12" s="775"/>
      <c r="AR12" s="775"/>
      <c r="AS12" s="775"/>
      <c r="AT12" s="775"/>
      <c r="AU12" s="748"/>
    </row>
    <row r="13" spans="1:81" x14ac:dyDescent="0.2">
      <c r="B13" s="759"/>
      <c r="C13" s="760"/>
      <c r="D13" s="761"/>
      <c r="E13" s="759"/>
      <c r="F13" s="761"/>
      <c r="G13" s="781"/>
      <c r="H13" s="781"/>
      <c r="I13" s="781"/>
      <c r="J13" s="781"/>
      <c r="K13" s="781"/>
      <c r="L13" s="781"/>
      <c r="M13" s="781"/>
      <c r="N13" s="724" t="s">
        <v>438</v>
      </c>
      <c r="O13" s="724"/>
      <c r="P13" s="724"/>
      <c r="Q13" s="724"/>
      <c r="R13" s="724"/>
      <c r="S13" s="724"/>
      <c r="T13" s="724"/>
      <c r="U13" s="724"/>
      <c r="V13" s="724"/>
      <c r="W13" s="724"/>
      <c r="X13" s="787" t="s">
        <v>439</v>
      </c>
      <c r="Y13" s="787"/>
      <c r="Z13" s="788" t="s">
        <v>440</v>
      </c>
      <c r="AA13" s="789"/>
      <c r="AB13" s="790"/>
      <c r="AC13" s="724"/>
      <c r="AD13" s="787" t="s">
        <v>441</v>
      </c>
      <c r="AE13" s="787"/>
      <c r="AF13" s="724" t="s">
        <v>442</v>
      </c>
      <c r="AG13" s="724"/>
      <c r="AH13" s="724"/>
      <c r="AI13" s="724"/>
      <c r="AJ13" s="787" t="s">
        <v>443</v>
      </c>
      <c r="AK13" s="787"/>
      <c r="AL13" s="724" t="s">
        <v>444</v>
      </c>
      <c r="AM13" s="724"/>
      <c r="AN13" s="725"/>
      <c r="AO13" s="724"/>
      <c r="AP13" s="787" t="s">
        <v>445</v>
      </c>
      <c r="AQ13" s="787"/>
      <c r="AR13" s="747" t="s">
        <v>446</v>
      </c>
      <c r="AS13" s="747"/>
      <c r="AT13" s="747"/>
      <c r="AU13" s="748"/>
      <c r="AW13" s="755" t="s">
        <v>447</v>
      </c>
      <c r="AX13" s="755"/>
      <c r="AY13" s="755"/>
      <c r="AZ13" s="755"/>
    </row>
    <row r="14" spans="1:81" ht="15" x14ac:dyDescent="0.2">
      <c r="B14" s="132" t="s">
        <v>448</v>
      </c>
      <c r="C14" s="133" t="s">
        <v>449</v>
      </c>
      <c r="D14" s="133" t="s">
        <v>450</v>
      </c>
      <c r="E14" s="133" t="s">
        <v>3</v>
      </c>
      <c r="F14" s="133" t="s">
        <v>5</v>
      </c>
      <c r="G14" s="134" t="s">
        <v>451</v>
      </c>
      <c r="H14" s="134" t="s">
        <v>7</v>
      </c>
      <c r="I14" s="134" t="s">
        <v>452</v>
      </c>
      <c r="J14" s="134" t="s">
        <v>9</v>
      </c>
      <c r="K14" s="134" t="s">
        <v>10</v>
      </c>
      <c r="L14" s="134" t="s">
        <v>11</v>
      </c>
      <c r="M14" s="134" t="s">
        <v>453</v>
      </c>
      <c r="N14" s="196" t="s">
        <v>454</v>
      </c>
      <c r="O14" s="134" t="s">
        <v>455</v>
      </c>
      <c r="P14" s="196" t="s">
        <v>456</v>
      </c>
      <c r="Q14" s="196" t="s">
        <v>457</v>
      </c>
      <c r="R14" s="196" t="s">
        <v>458</v>
      </c>
      <c r="S14" s="134" t="s">
        <v>459</v>
      </c>
      <c r="T14" s="134" t="s">
        <v>460</v>
      </c>
      <c r="U14" s="196" t="s">
        <v>461</v>
      </c>
      <c r="V14" s="196" t="s">
        <v>462</v>
      </c>
      <c r="W14" s="135" t="s">
        <v>16</v>
      </c>
      <c r="X14" s="134" t="s">
        <v>463</v>
      </c>
      <c r="Y14" s="196" t="s">
        <v>464</v>
      </c>
      <c r="Z14" s="223" t="s">
        <v>465</v>
      </c>
      <c r="AA14" s="224" t="s">
        <v>466</v>
      </c>
      <c r="AB14" s="136" t="s">
        <v>467</v>
      </c>
      <c r="AC14" s="135" t="s">
        <v>468</v>
      </c>
      <c r="AD14" s="134" t="s">
        <v>469</v>
      </c>
      <c r="AE14" s="196" t="s">
        <v>470</v>
      </c>
      <c r="AF14" s="223" t="s">
        <v>471</v>
      </c>
      <c r="AG14" s="223" t="s">
        <v>472</v>
      </c>
      <c r="AH14" s="135" t="s">
        <v>473</v>
      </c>
      <c r="AI14" s="135" t="s">
        <v>474</v>
      </c>
      <c r="AJ14" s="134" t="s">
        <v>475</v>
      </c>
      <c r="AK14" s="196" t="s">
        <v>476</v>
      </c>
      <c r="AL14" s="223" t="s">
        <v>477</v>
      </c>
      <c r="AM14" s="235" t="s">
        <v>478</v>
      </c>
      <c r="AN14" s="105" t="s">
        <v>479</v>
      </c>
      <c r="AO14" s="135" t="s">
        <v>480</v>
      </c>
      <c r="AP14" s="135" t="s">
        <v>481</v>
      </c>
      <c r="AQ14" s="106" t="s">
        <v>482</v>
      </c>
      <c r="AR14" s="162" t="s">
        <v>483</v>
      </c>
      <c r="AS14" s="163" t="s">
        <v>484</v>
      </c>
      <c r="AT14" s="164" t="s">
        <v>446</v>
      </c>
      <c r="AU14" s="245" t="s">
        <v>468</v>
      </c>
      <c r="AV14" s="165" t="s">
        <v>485</v>
      </c>
      <c r="AW14" s="252" t="s">
        <v>486</v>
      </c>
      <c r="AX14" s="252" t="s">
        <v>487</v>
      </c>
      <c r="AY14" s="252" t="s">
        <v>488</v>
      </c>
      <c r="AZ14" s="137" t="s">
        <v>489</v>
      </c>
    </row>
    <row r="15" spans="1:81" s="141" customFormat="1" x14ac:dyDescent="0.2">
      <c r="A15" s="127"/>
      <c r="B15" s="138" t="s">
        <v>320</v>
      </c>
      <c r="C15" s="71" t="s">
        <v>76</v>
      </c>
      <c r="D15" s="71" t="s">
        <v>184</v>
      </c>
      <c r="E15" s="71" t="s">
        <v>102</v>
      </c>
      <c r="F15" s="71" t="s">
        <v>338</v>
      </c>
      <c r="G15" s="71" t="s">
        <v>490</v>
      </c>
      <c r="H15" s="71" t="s">
        <v>212</v>
      </c>
      <c r="I15" s="71" t="s">
        <v>25</v>
      </c>
      <c r="J15" s="71" t="s">
        <v>222</v>
      </c>
      <c r="K15" s="71" t="s">
        <v>403</v>
      </c>
      <c r="L15" s="71" t="s">
        <v>257</v>
      </c>
      <c r="M15" s="71" t="s">
        <v>491</v>
      </c>
      <c r="N15" s="45">
        <v>1</v>
      </c>
      <c r="O15" s="71" t="s">
        <v>492</v>
      </c>
      <c r="P15" s="45">
        <v>2</v>
      </c>
      <c r="Q15" s="45" t="e">
        <f>+Y15+AE15+AK15+AQ15</f>
        <v>#VALUE!</v>
      </c>
      <c r="R15" s="45" t="s">
        <v>45</v>
      </c>
      <c r="S15" s="71" t="s">
        <v>493</v>
      </c>
      <c r="T15" s="71" t="s">
        <v>494</v>
      </c>
      <c r="U15" s="212">
        <v>44562</v>
      </c>
      <c r="V15" s="45" t="s">
        <v>495</v>
      </c>
      <c r="W15" s="71" t="s">
        <v>31</v>
      </c>
      <c r="X15" s="71" t="s">
        <v>496</v>
      </c>
      <c r="Y15" s="45" t="s">
        <v>496</v>
      </c>
      <c r="Z15" s="45" t="s">
        <v>496</v>
      </c>
      <c r="AA15" s="45" t="s">
        <v>496</v>
      </c>
      <c r="AB15" s="71" t="s">
        <v>496</v>
      </c>
      <c r="AC15" s="71" t="s">
        <v>496</v>
      </c>
      <c r="AD15" s="71" t="s">
        <v>497</v>
      </c>
      <c r="AE15" s="45">
        <v>1</v>
      </c>
      <c r="AF15" s="45">
        <v>1</v>
      </c>
      <c r="AG15" s="48">
        <f t="shared" ref="AG15" si="0">(AF15/AE15)</f>
        <v>1</v>
      </c>
      <c r="AH15" s="71" t="s">
        <v>498</v>
      </c>
      <c r="AI15" s="170" t="s">
        <v>499</v>
      </c>
      <c r="AJ15" s="71" t="s">
        <v>496</v>
      </c>
      <c r="AK15" s="45" t="s">
        <v>496</v>
      </c>
      <c r="AL15" s="45" t="s">
        <v>496</v>
      </c>
      <c r="AM15" s="45" t="s">
        <v>496</v>
      </c>
      <c r="AN15" s="71" t="s">
        <v>496</v>
      </c>
      <c r="AO15" s="71" t="s">
        <v>496</v>
      </c>
      <c r="AP15" s="71" t="s">
        <v>500</v>
      </c>
      <c r="AQ15" s="63">
        <v>1</v>
      </c>
      <c r="AR15" s="37">
        <v>1</v>
      </c>
      <c r="AS15" s="159">
        <f>(+Tabla4[[#This Row],[Programación  meta
IV trimestre ]]/AR15)</f>
        <v>1</v>
      </c>
      <c r="AT15" s="140" t="s">
        <v>501</v>
      </c>
      <c r="AU15" s="33" t="s">
        <v>502</v>
      </c>
      <c r="AV15" s="165" t="s">
        <v>485</v>
      </c>
      <c r="AW15" s="85">
        <f>+Tabla4[[#This Row],[Programación  meta
II trimestre ]]+Tabla4[[#This Row],[Programación  meta
IV trimestre ]]</f>
        <v>2</v>
      </c>
      <c r="AX15" s="84">
        <f>+Tabla4[[#This Row],[Avance cuantitativo
II trimestre]]+AR15</f>
        <v>2</v>
      </c>
      <c r="AY15" s="86">
        <f>+(AX15/AW15)</f>
        <v>1</v>
      </c>
      <c r="AZ15" s="89" t="s">
        <v>503</v>
      </c>
      <c r="BA15" s="127" t="s">
        <v>504</v>
      </c>
      <c r="BB15" s="127" t="s">
        <v>504</v>
      </c>
      <c r="BC15" s="127" t="s">
        <v>504</v>
      </c>
      <c r="BD15" s="127" t="s">
        <v>504</v>
      </c>
      <c r="BE15" s="127" t="s">
        <v>504</v>
      </c>
      <c r="BF15" s="127" t="s">
        <v>504</v>
      </c>
      <c r="BG15" s="127" t="s">
        <v>504</v>
      </c>
      <c r="BH15" s="127" t="s">
        <v>504</v>
      </c>
      <c r="BI15" s="127" t="s">
        <v>504</v>
      </c>
      <c r="BJ15" s="127" t="s">
        <v>504</v>
      </c>
      <c r="BK15" s="127" t="s">
        <v>504</v>
      </c>
      <c r="BL15" s="127" t="s">
        <v>504</v>
      </c>
      <c r="BM15" s="127" t="s">
        <v>504</v>
      </c>
      <c r="BN15" s="127" t="s">
        <v>504</v>
      </c>
      <c r="BO15" s="127" t="s">
        <v>504</v>
      </c>
      <c r="BP15" s="127" t="s">
        <v>504</v>
      </c>
      <c r="BQ15" s="127" t="s">
        <v>504</v>
      </c>
      <c r="BR15" s="127" t="s">
        <v>504</v>
      </c>
      <c r="BS15" s="127" t="s">
        <v>504</v>
      </c>
      <c r="BT15" s="127" t="s">
        <v>504</v>
      </c>
      <c r="BU15" s="127" t="s">
        <v>504</v>
      </c>
      <c r="BV15" s="127" t="s">
        <v>504</v>
      </c>
      <c r="BW15" s="127" t="s">
        <v>504</v>
      </c>
      <c r="BX15" s="127" t="s">
        <v>504</v>
      </c>
      <c r="BY15" s="127" t="s">
        <v>504</v>
      </c>
      <c r="BZ15" s="127" t="s">
        <v>504</v>
      </c>
      <c r="CA15" s="127" t="s">
        <v>504</v>
      </c>
      <c r="CB15" s="127" t="s">
        <v>504</v>
      </c>
      <c r="CC15" s="127" t="s">
        <v>504</v>
      </c>
    </row>
    <row r="16" spans="1:81" s="169" customFormat="1" x14ac:dyDescent="0.2">
      <c r="A16" s="173"/>
      <c r="B16" s="174" t="s">
        <v>289</v>
      </c>
      <c r="C16" s="170" t="s">
        <v>18</v>
      </c>
      <c r="D16" s="170" t="s">
        <v>505</v>
      </c>
      <c r="E16" s="170" t="s">
        <v>50</v>
      </c>
      <c r="F16" s="170" t="s">
        <v>313</v>
      </c>
      <c r="G16" s="170" t="s">
        <v>220</v>
      </c>
      <c r="H16" s="170" t="s">
        <v>212</v>
      </c>
      <c r="I16" s="170" t="s">
        <v>25</v>
      </c>
      <c r="J16" s="170" t="s">
        <v>106</v>
      </c>
      <c r="K16" s="170" t="s">
        <v>322</v>
      </c>
      <c r="L16" s="170" t="s">
        <v>257</v>
      </c>
      <c r="M16" s="170" t="s">
        <v>225</v>
      </c>
      <c r="N16" s="47">
        <v>2</v>
      </c>
      <c r="O16" s="170" t="s">
        <v>506</v>
      </c>
      <c r="P16" s="47">
        <v>12</v>
      </c>
      <c r="Q16" s="47">
        <f>+Y16+AE16+AK16+AQ16</f>
        <v>12</v>
      </c>
      <c r="R16" s="47" t="s">
        <v>45</v>
      </c>
      <c r="S16" s="170" t="s">
        <v>507</v>
      </c>
      <c r="T16" s="170" t="s">
        <v>508</v>
      </c>
      <c r="U16" s="213">
        <v>44562</v>
      </c>
      <c r="V16" s="47" t="s">
        <v>495</v>
      </c>
      <c r="W16" s="170" t="s">
        <v>162</v>
      </c>
      <c r="X16" s="170" t="s">
        <v>509</v>
      </c>
      <c r="Y16" s="47">
        <v>3</v>
      </c>
      <c r="Z16" s="47">
        <v>3</v>
      </c>
      <c r="AA16" s="58">
        <f>(Z16/Y16)</f>
        <v>1</v>
      </c>
      <c r="AB16" s="62" t="s">
        <v>510</v>
      </c>
      <c r="AC16" s="175" t="s">
        <v>511</v>
      </c>
      <c r="AD16" s="170" t="s">
        <v>509</v>
      </c>
      <c r="AE16" s="47">
        <v>3</v>
      </c>
      <c r="AF16" s="47">
        <v>3</v>
      </c>
      <c r="AG16" s="49">
        <f t="shared" ref="AG16:AG46" si="1">(AF16/AE16)</f>
        <v>1</v>
      </c>
      <c r="AH16" s="170" t="s">
        <v>512</v>
      </c>
      <c r="AI16" s="170" t="s">
        <v>511</v>
      </c>
      <c r="AJ16" s="170" t="s">
        <v>509</v>
      </c>
      <c r="AK16" s="47">
        <v>3</v>
      </c>
      <c r="AL16" s="45">
        <v>3</v>
      </c>
      <c r="AM16" s="25">
        <f>+(Tabla4[[#This Row],[Avance cuantitativo
III trimestre]]/Tabla4[[#This Row],[Programación  meta
III trimestre ]])*100%</f>
        <v>1</v>
      </c>
      <c r="AN16" s="107" t="s">
        <v>513</v>
      </c>
      <c r="AO16" s="170" t="s">
        <v>511</v>
      </c>
      <c r="AP16" s="170" t="s">
        <v>509</v>
      </c>
      <c r="AQ16" s="103">
        <v>3</v>
      </c>
      <c r="AR16" s="37">
        <v>3</v>
      </c>
      <c r="AS16" s="159">
        <f>(+Tabla4[[#This Row],[Programación  meta
IV trimestre ]]/AR16)</f>
        <v>1</v>
      </c>
      <c r="AT16" s="99" t="s">
        <v>514</v>
      </c>
      <c r="AU16" s="26" t="s">
        <v>502</v>
      </c>
      <c r="AV16" s="165" t="s">
        <v>485</v>
      </c>
      <c r="AW16" s="85">
        <f>+Tabla4[[#This Row],[Programación  meta
I trimestre ]]+Tabla4[[#This Row],[Programación  meta
II trimestre ]]+Tabla4[[#This Row],[Programación  meta
III trimestre ]]+Tabla4[[#This Row],[Programación  meta
IV trimestre ]]</f>
        <v>12</v>
      </c>
      <c r="AX16" s="84">
        <f>+Tabla4[[#This Row],[Avance cuantitativo
I trimestre]]+Tabla4[[#This Row],[Avance cuantitativo
II trimestre]]+Tabla4[[#This Row],[Avance cuantitativo
III trimestre]]+AR16</f>
        <v>12</v>
      </c>
      <c r="AY16" s="86">
        <f t="shared" ref="AY16:AY79" si="2">+(AX16/AW16)</f>
        <v>1</v>
      </c>
      <c r="AZ16" s="89" t="s">
        <v>503</v>
      </c>
      <c r="BA16" s="173"/>
      <c r="BB16" s="176"/>
      <c r="BC16" s="176"/>
      <c r="BD16" s="176"/>
      <c r="BE16" s="176"/>
      <c r="BF16" s="176"/>
      <c r="BG16" s="176"/>
      <c r="BH16" s="176"/>
      <c r="BI16" s="176"/>
      <c r="BJ16" s="176"/>
      <c r="BK16" s="176"/>
      <c r="BL16" s="176"/>
      <c r="BM16" s="176"/>
      <c r="BN16" s="176"/>
      <c r="BO16" s="176"/>
      <c r="BP16" s="176"/>
      <c r="BQ16" s="176"/>
      <c r="BR16" s="176"/>
      <c r="BS16" s="176"/>
      <c r="BT16" s="176"/>
      <c r="BU16" s="176"/>
      <c r="BV16" s="176"/>
      <c r="BW16" s="176"/>
      <c r="BX16" s="176"/>
      <c r="BY16" s="176"/>
      <c r="BZ16" s="176"/>
      <c r="CA16" s="176"/>
      <c r="CB16" s="176"/>
      <c r="CC16" s="176"/>
    </row>
    <row r="17" spans="1:81" s="169" customFormat="1" x14ac:dyDescent="0.2">
      <c r="A17" s="173"/>
      <c r="B17" s="174" t="s">
        <v>289</v>
      </c>
      <c r="C17" s="170" t="s">
        <v>18</v>
      </c>
      <c r="D17" s="170" t="s">
        <v>505</v>
      </c>
      <c r="E17" s="170" t="s">
        <v>50</v>
      </c>
      <c r="F17" s="170" t="s">
        <v>313</v>
      </c>
      <c r="G17" s="170" t="s">
        <v>220</v>
      </c>
      <c r="H17" s="170" t="s">
        <v>212</v>
      </c>
      <c r="I17" s="170" t="s">
        <v>25</v>
      </c>
      <c r="J17" s="170" t="s">
        <v>106</v>
      </c>
      <c r="K17" s="170" t="s">
        <v>322</v>
      </c>
      <c r="L17" s="170" t="s">
        <v>257</v>
      </c>
      <c r="M17" s="170" t="s">
        <v>225</v>
      </c>
      <c r="N17" s="47">
        <v>3</v>
      </c>
      <c r="O17" s="170" t="s">
        <v>515</v>
      </c>
      <c r="P17" s="49">
        <v>1</v>
      </c>
      <c r="Q17" s="25">
        <f>+AQ17</f>
        <v>1</v>
      </c>
      <c r="R17" s="47" t="s">
        <v>60</v>
      </c>
      <c r="S17" s="170" t="s">
        <v>516</v>
      </c>
      <c r="T17" s="170" t="s">
        <v>517</v>
      </c>
      <c r="U17" s="213">
        <v>44562</v>
      </c>
      <c r="V17" s="47" t="s">
        <v>495</v>
      </c>
      <c r="W17" s="170" t="s">
        <v>162</v>
      </c>
      <c r="X17" s="71" t="s">
        <v>496</v>
      </c>
      <c r="Y17" s="45" t="s">
        <v>496</v>
      </c>
      <c r="Z17" s="45" t="s">
        <v>496</v>
      </c>
      <c r="AA17" s="45" t="s">
        <v>496</v>
      </c>
      <c r="AB17" s="71" t="s">
        <v>496</v>
      </c>
      <c r="AC17" s="71" t="s">
        <v>496</v>
      </c>
      <c r="AD17" s="170" t="s">
        <v>496</v>
      </c>
      <c r="AE17" s="47" t="s">
        <v>496</v>
      </c>
      <c r="AF17" s="47" t="s">
        <v>496</v>
      </c>
      <c r="AG17" s="47" t="s">
        <v>496</v>
      </c>
      <c r="AH17" s="170" t="s">
        <v>496</v>
      </c>
      <c r="AI17" s="170" t="s">
        <v>496</v>
      </c>
      <c r="AJ17" s="170" t="s">
        <v>518</v>
      </c>
      <c r="AK17" s="49">
        <v>0.5</v>
      </c>
      <c r="AL17" s="49">
        <v>0.5</v>
      </c>
      <c r="AM17" s="25">
        <f>+(Tabla4[[#This Row],[Avance cuantitativo
III trimestre]]/Tabla4[[#This Row],[Programación  meta
III trimestre ]])*100%</f>
        <v>1</v>
      </c>
      <c r="AN17" s="107" t="s">
        <v>519</v>
      </c>
      <c r="AO17" s="170" t="s">
        <v>511</v>
      </c>
      <c r="AP17" s="170" t="s">
        <v>520</v>
      </c>
      <c r="AQ17" s="64">
        <v>1</v>
      </c>
      <c r="AR17" s="92">
        <v>1</v>
      </c>
      <c r="AS17" s="159">
        <f>(+Tabla4[[#This Row],[Programación  meta
IV trimestre ]]/AR17)</f>
        <v>1</v>
      </c>
      <c r="AT17" s="99" t="s">
        <v>521</v>
      </c>
      <c r="AU17" s="26" t="s">
        <v>522</v>
      </c>
      <c r="AV17" s="165" t="s">
        <v>485</v>
      </c>
      <c r="AW17" s="87">
        <f>+Tabla4[[#This Row],[Suma programación anual]]</f>
        <v>1</v>
      </c>
      <c r="AX17" s="86">
        <f>+AR17</f>
        <v>1</v>
      </c>
      <c r="AY17" s="86">
        <f t="shared" si="2"/>
        <v>1</v>
      </c>
      <c r="AZ17" s="89" t="s">
        <v>503</v>
      </c>
      <c r="BA17" s="173"/>
      <c r="BB17" s="176"/>
      <c r="BC17" s="176"/>
      <c r="BD17" s="176"/>
      <c r="BE17" s="176"/>
      <c r="BF17" s="176"/>
      <c r="BG17" s="176"/>
      <c r="BH17" s="176"/>
      <c r="BI17" s="176"/>
      <c r="BJ17" s="176"/>
      <c r="BK17" s="176"/>
      <c r="BL17" s="176"/>
      <c r="BM17" s="176"/>
      <c r="BN17" s="176"/>
      <c r="BO17" s="176"/>
      <c r="BP17" s="176"/>
      <c r="BQ17" s="176"/>
      <c r="BR17" s="176"/>
      <c r="BS17" s="176"/>
      <c r="BT17" s="176"/>
      <c r="BU17" s="176"/>
      <c r="BV17" s="176"/>
      <c r="BW17" s="176"/>
      <c r="BX17" s="176"/>
      <c r="BY17" s="176"/>
      <c r="BZ17" s="176"/>
      <c r="CA17" s="176"/>
      <c r="CB17" s="176"/>
      <c r="CC17" s="176"/>
    </row>
    <row r="18" spans="1:81" s="169" customFormat="1" x14ac:dyDescent="0.2">
      <c r="A18" s="173"/>
      <c r="B18" s="174" t="s">
        <v>320</v>
      </c>
      <c r="C18" s="170" t="s">
        <v>48</v>
      </c>
      <c r="D18" s="170" t="s">
        <v>164</v>
      </c>
      <c r="E18" s="170" t="s">
        <v>35</v>
      </c>
      <c r="F18" s="170" t="s">
        <v>336</v>
      </c>
      <c r="G18" s="170" t="s">
        <v>220</v>
      </c>
      <c r="H18" s="170" t="s">
        <v>147</v>
      </c>
      <c r="I18" s="170" t="s">
        <v>25</v>
      </c>
      <c r="J18" s="170" t="s">
        <v>106</v>
      </c>
      <c r="K18" s="170" t="s">
        <v>318</v>
      </c>
      <c r="L18" s="170" t="s">
        <v>257</v>
      </c>
      <c r="M18" s="170" t="s">
        <v>59</v>
      </c>
      <c r="N18" s="47">
        <v>4</v>
      </c>
      <c r="O18" s="170" t="s">
        <v>523</v>
      </c>
      <c r="P18" s="49">
        <v>1</v>
      </c>
      <c r="Q18" s="25">
        <f>+AQ18</f>
        <v>1</v>
      </c>
      <c r="R18" s="47" t="s">
        <v>60</v>
      </c>
      <c r="S18" s="170" t="s">
        <v>524</v>
      </c>
      <c r="T18" s="170" t="s">
        <v>525</v>
      </c>
      <c r="U18" s="213">
        <v>44562</v>
      </c>
      <c r="V18" s="47" t="s">
        <v>495</v>
      </c>
      <c r="W18" s="170" t="s">
        <v>162</v>
      </c>
      <c r="X18" s="71" t="s">
        <v>496</v>
      </c>
      <c r="Y18" s="45" t="s">
        <v>496</v>
      </c>
      <c r="Z18" s="45" t="s">
        <v>496</v>
      </c>
      <c r="AA18" s="45" t="s">
        <v>496</v>
      </c>
      <c r="AB18" s="71" t="s">
        <v>496</v>
      </c>
      <c r="AC18" s="71" t="s">
        <v>496</v>
      </c>
      <c r="AD18" s="170" t="s">
        <v>496</v>
      </c>
      <c r="AE18" s="47" t="s">
        <v>496</v>
      </c>
      <c r="AF18" s="47" t="s">
        <v>496</v>
      </c>
      <c r="AG18" s="47" t="s">
        <v>496</v>
      </c>
      <c r="AH18" s="170" t="s">
        <v>496</v>
      </c>
      <c r="AI18" s="170" t="s">
        <v>496</v>
      </c>
      <c r="AJ18" s="170" t="s">
        <v>526</v>
      </c>
      <c r="AK18" s="49">
        <v>0.5</v>
      </c>
      <c r="AL18" s="49">
        <v>0</v>
      </c>
      <c r="AM18" s="25">
        <f>+(Tabla4[[#This Row],[Avance cuantitativo
III trimestre]]/Tabla4[[#This Row],[Programación  meta
III trimestre ]])*100%</f>
        <v>0</v>
      </c>
      <c r="AN18" s="107" t="s">
        <v>527</v>
      </c>
      <c r="AO18" s="170" t="s">
        <v>528</v>
      </c>
      <c r="AP18" s="170" t="s">
        <v>529</v>
      </c>
      <c r="AQ18" s="64">
        <v>1</v>
      </c>
      <c r="AR18" s="92">
        <v>1</v>
      </c>
      <c r="AS18" s="159">
        <f>(+Tabla4[[#This Row],[Programación  meta
IV trimestre ]]/AR18)</f>
        <v>1</v>
      </c>
      <c r="AT18" s="99" t="s">
        <v>530</v>
      </c>
      <c r="AU18" s="26" t="s">
        <v>531</v>
      </c>
      <c r="AV18" s="165" t="s">
        <v>485</v>
      </c>
      <c r="AW18" s="87">
        <f>+Tabla4[[#This Row],[Suma programación anual]]</f>
        <v>1</v>
      </c>
      <c r="AX18" s="86">
        <f>+AR18</f>
        <v>1</v>
      </c>
      <c r="AY18" s="86">
        <f t="shared" si="2"/>
        <v>1</v>
      </c>
      <c r="AZ18" s="89" t="s">
        <v>503</v>
      </c>
      <c r="BA18" s="173"/>
      <c r="BB18" s="176"/>
      <c r="BC18" s="176"/>
      <c r="BD18" s="176"/>
      <c r="BE18" s="176"/>
      <c r="BF18" s="176"/>
      <c r="BG18" s="176"/>
      <c r="BH18" s="176"/>
      <c r="BI18" s="176"/>
      <c r="BJ18" s="176"/>
      <c r="BK18" s="176"/>
      <c r="BL18" s="176"/>
      <c r="BM18" s="176"/>
      <c r="BN18" s="176"/>
      <c r="BO18" s="176"/>
      <c r="BP18" s="176"/>
      <c r="BQ18" s="176"/>
      <c r="BR18" s="176"/>
      <c r="BS18" s="176"/>
      <c r="BT18" s="176"/>
      <c r="BU18" s="176"/>
      <c r="BV18" s="176"/>
      <c r="BW18" s="176"/>
      <c r="BX18" s="176"/>
      <c r="BY18" s="176"/>
      <c r="BZ18" s="176"/>
      <c r="CA18" s="176"/>
      <c r="CB18" s="176"/>
      <c r="CC18" s="176"/>
    </row>
    <row r="19" spans="1:81" s="169" customFormat="1" x14ac:dyDescent="0.2">
      <c r="A19" s="173"/>
      <c r="B19" s="174" t="s">
        <v>320</v>
      </c>
      <c r="C19" s="170" t="s">
        <v>48</v>
      </c>
      <c r="D19" s="170" t="s">
        <v>174</v>
      </c>
      <c r="E19" s="170" t="s">
        <v>50</v>
      </c>
      <c r="F19" s="170" t="s">
        <v>336</v>
      </c>
      <c r="G19" s="170" t="s">
        <v>220</v>
      </c>
      <c r="H19" s="170" t="s">
        <v>147</v>
      </c>
      <c r="I19" s="170" t="s">
        <v>25</v>
      </c>
      <c r="J19" s="170" t="s">
        <v>106</v>
      </c>
      <c r="K19" s="170" t="s">
        <v>318</v>
      </c>
      <c r="L19" s="170" t="s">
        <v>257</v>
      </c>
      <c r="M19" s="170" t="s">
        <v>225</v>
      </c>
      <c r="N19" s="47">
        <v>5</v>
      </c>
      <c r="O19" s="170" t="s">
        <v>532</v>
      </c>
      <c r="P19" s="49">
        <v>1</v>
      </c>
      <c r="Q19" s="25">
        <f>+AQ19</f>
        <v>1</v>
      </c>
      <c r="R19" s="47" t="s">
        <v>60</v>
      </c>
      <c r="S19" s="170" t="s">
        <v>533</v>
      </c>
      <c r="T19" s="170" t="s">
        <v>534</v>
      </c>
      <c r="U19" s="213">
        <v>44562</v>
      </c>
      <c r="V19" s="47" t="s">
        <v>495</v>
      </c>
      <c r="W19" s="170" t="s">
        <v>162</v>
      </c>
      <c r="X19" s="71" t="s">
        <v>496</v>
      </c>
      <c r="Y19" s="45" t="s">
        <v>496</v>
      </c>
      <c r="Z19" s="45" t="s">
        <v>496</v>
      </c>
      <c r="AA19" s="45" t="s">
        <v>496</v>
      </c>
      <c r="AB19" s="71" t="s">
        <v>496</v>
      </c>
      <c r="AC19" s="71" t="s">
        <v>496</v>
      </c>
      <c r="AD19" s="170" t="s">
        <v>496</v>
      </c>
      <c r="AE19" s="47" t="s">
        <v>496</v>
      </c>
      <c r="AF19" s="47" t="s">
        <v>496</v>
      </c>
      <c r="AG19" s="47" t="s">
        <v>496</v>
      </c>
      <c r="AH19" s="170" t="s">
        <v>496</v>
      </c>
      <c r="AI19" s="170" t="s">
        <v>496</v>
      </c>
      <c r="AJ19" s="170" t="s">
        <v>535</v>
      </c>
      <c r="AK19" s="49">
        <v>0.5</v>
      </c>
      <c r="AL19" s="49">
        <v>0</v>
      </c>
      <c r="AM19" s="25">
        <f>+(Tabla4[[#This Row],[Avance cuantitativo
III trimestre]]/Tabla4[[#This Row],[Programación  meta
III trimestre ]])*100%</f>
        <v>0</v>
      </c>
      <c r="AN19" s="107" t="s">
        <v>536</v>
      </c>
      <c r="AO19" s="170" t="s">
        <v>528</v>
      </c>
      <c r="AP19" s="170" t="s">
        <v>537</v>
      </c>
      <c r="AQ19" s="64">
        <v>1</v>
      </c>
      <c r="AR19" s="92">
        <v>1</v>
      </c>
      <c r="AS19" s="159">
        <f>(+Tabla4[[#This Row],[Programación  meta
IV trimestre ]]/AR19)</f>
        <v>1</v>
      </c>
      <c r="AT19" s="99" t="s">
        <v>538</v>
      </c>
      <c r="AU19" s="26" t="s">
        <v>531</v>
      </c>
      <c r="AV19" s="165" t="s">
        <v>485</v>
      </c>
      <c r="AW19" s="87">
        <f>+Tabla4[[#This Row],[Suma programación anual]]</f>
        <v>1</v>
      </c>
      <c r="AX19" s="86">
        <f>+AR19</f>
        <v>1</v>
      </c>
      <c r="AY19" s="86">
        <f t="shared" si="2"/>
        <v>1</v>
      </c>
      <c r="AZ19" s="89" t="s">
        <v>503</v>
      </c>
      <c r="BA19" s="173"/>
      <c r="BB19" s="176"/>
      <c r="BC19" s="176"/>
      <c r="BD19" s="176"/>
      <c r="BE19" s="176"/>
      <c r="BF19" s="176"/>
      <c r="BG19" s="176"/>
      <c r="BH19" s="176"/>
      <c r="BI19" s="176"/>
      <c r="BJ19" s="176"/>
      <c r="BK19" s="176"/>
      <c r="BL19" s="176"/>
      <c r="BM19" s="176"/>
      <c r="BN19" s="176"/>
      <c r="BO19" s="176"/>
      <c r="BP19" s="176"/>
      <c r="BQ19" s="176"/>
      <c r="BR19" s="176"/>
      <c r="BS19" s="176"/>
      <c r="BT19" s="176"/>
      <c r="BU19" s="176"/>
      <c r="BV19" s="176"/>
      <c r="BW19" s="176"/>
      <c r="BX19" s="176"/>
      <c r="BY19" s="176"/>
      <c r="BZ19" s="176"/>
      <c r="CA19" s="176"/>
      <c r="CB19" s="176"/>
      <c r="CC19" s="176"/>
    </row>
    <row r="20" spans="1:81" s="169" customFormat="1" x14ac:dyDescent="0.2">
      <c r="A20" s="173"/>
      <c r="B20" s="174" t="s">
        <v>320</v>
      </c>
      <c r="C20" s="170" t="s">
        <v>63</v>
      </c>
      <c r="D20" s="170" t="s">
        <v>49</v>
      </c>
      <c r="E20" s="170" t="s">
        <v>20</v>
      </c>
      <c r="F20" s="170" t="s">
        <v>336</v>
      </c>
      <c r="G20" s="170" t="s">
        <v>186</v>
      </c>
      <c r="H20" s="170" t="s">
        <v>82</v>
      </c>
      <c r="I20" s="170" t="s">
        <v>25</v>
      </c>
      <c r="J20" s="170" t="s">
        <v>106</v>
      </c>
      <c r="K20" s="170" t="s">
        <v>325</v>
      </c>
      <c r="L20" s="170" t="s">
        <v>257</v>
      </c>
      <c r="M20" s="170" t="s">
        <v>233</v>
      </c>
      <c r="N20" s="47">
        <v>6</v>
      </c>
      <c r="O20" s="170" t="s">
        <v>539</v>
      </c>
      <c r="P20" s="47">
        <v>2</v>
      </c>
      <c r="Q20" s="47" t="e">
        <f>+Y20+AE20+AK20+AQ20</f>
        <v>#VALUE!</v>
      </c>
      <c r="R20" s="47" t="s">
        <v>45</v>
      </c>
      <c r="S20" s="170" t="s">
        <v>540</v>
      </c>
      <c r="T20" s="170" t="s">
        <v>541</v>
      </c>
      <c r="U20" s="213">
        <v>44562</v>
      </c>
      <c r="V20" s="47" t="s">
        <v>495</v>
      </c>
      <c r="W20" s="170" t="s">
        <v>162</v>
      </c>
      <c r="X20" s="71" t="s">
        <v>496</v>
      </c>
      <c r="Y20" s="45" t="s">
        <v>496</v>
      </c>
      <c r="Z20" s="45" t="s">
        <v>496</v>
      </c>
      <c r="AA20" s="45" t="s">
        <v>496</v>
      </c>
      <c r="AB20" s="71" t="s">
        <v>496</v>
      </c>
      <c r="AC20" s="71" t="s">
        <v>496</v>
      </c>
      <c r="AD20" s="170" t="s">
        <v>542</v>
      </c>
      <c r="AE20" s="47">
        <v>1</v>
      </c>
      <c r="AF20" s="47">
        <v>1</v>
      </c>
      <c r="AG20" s="49">
        <f t="shared" si="1"/>
        <v>1</v>
      </c>
      <c r="AH20" s="170" t="s">
        <v>543</v>
      </c>
      <c r="AI20" s="170" t="s">
        <v>544</v>
      </c>
      <c r="AJ20" s="170" t="s">
        <v>496</v>
      </c>
      <c r="AK20" s="45" t="s">
        <v>496</v>
      </c>
      <c r="AL20" s="45" t="s">
        <v>496</v>
      </c>
      <c r="AM20" s="45" t="s">
        <v>496</v>
      </c>
      <c r="AN20" s="178" t="s">
        <v>545</v>
      </c>
      <c r="AO20" s="170" t="s">
        <v>496</v>
      </c>
      <c r="AP20" s="170" t="s">
        <v>542</v>
      </c>
      <c r="AQ20" s="103">
        <v>1</v>
      </c>
      <c r="AR20" s="37">
        <v>1</v>
      </c>
      <c r="AS20" s="159">
        <f>(+Tabla4[[#This Row],[Programación  meta
IV trimestre ]]/AR20)</f>
        <v>1</v>
      </c>
      <c r="AT20" s="99" t="s">
        <v>546</v>
      </c>
      <c r="AU20" s="26" t="s">
        <v>522</v>
      </c>
      <c r="AV20" s="165" t="s">
        <v>485</v>
      </c>
      <c r="AW20" s="85">
        <f>+Tabla4[[#This Row],[Programación  meta
II trimestre ]]+Tabla4[[#This Row],[Programación  meta
IV trimestre ]]</f>
        <v>2</v>
      </c>
      <c r="AX20" s="84">
        <f>+Tabla4[[#This Row],[Avance cuantitativo
II trimestre]]+AR20</f>
        <v>2</v>
      </c>
      <c r="AY20" s="86">
        <f t="shared" si="2"/>
        <v>1</v>
      </c>
      <c r="AZ20" s="89" t="s">
        <v>503</v>
      </c>
      <c r="BA20" s="173"/>
      <c r="BB20" s="176"/>
      <c r="BC20" s="176"/>
      <c r="BD20" s="176"/>
      <c r="BE20" s="176"/>
      <c r="BF20" s="176"/>
      <c r="BG20" s="176"/>
      <c r="BH20" s="176"/>
      <c r="BI20" s="176"/>
      <c r="BJ20" s="176"/>
      <c r="BK20" s="176"/>
      <c r="BL20" s="176"/>
      <c r="BM20" s="176"/>
      <c r="BN20" s="176"/>
      <c r="BO20" s="176"/>
      <c r="BP20" s="176"/>
      <c r="BQ20" s="176"/>
      <c r="BR20" s="176"/>
      <c r="BS20" s="176"/>
      <c r="BT20" s="176"/>
      <c r="BU20" s="176"/>
      <c r="BV20" s="176"/>
      <c r="BW20" s="176"/>
      <c r="BX20" s="176"/>
      <c r="BY20" s="176"/>
      <c r="BZ20" s="176"/>
      <c r="CA20" s="176"/>
      <c r="CB20" s="176"/>
      <c r="CC20" s="176"/>
    </row>
    <row r="21" spans="1:81" s="169" customFormat="1" x14ac:dyDescent="0.2">
      <c r="A21" s="179"/>
      <c r="B21" s="174" t="s">
        <v>320</v>
      </c>
      <c r="C21" s="170" t="s">
        <v>48</v>
      </c>
      <c r="D21" s="170" t="s">
        <v>174</v>
      </c>
      <c r="E21" s="170" t="s">
        <v>547</v>
      </c>
      <c r="F21" s="170" t="s">
        <v>336</v>
      </c>
      <c r="G21" s="170" t="s">
        <v>186</v>
      </c>
      <c r="H21" s="170" t="s">
        <v>212</v>
      </c>
      <c r="I21" s="170" t="s">
        <v>25</v>
      </c>
      <c r="J21" s="170" t="s">
        <v>106</v>
      </c>
      <c r="K21" s="170" t="s">
        <v>325</v>
      </c>
      <c r="L21" s="170" t="s">
        <v>257</v>
      </c>
      <c r="M21" s="170" t="s">
        <v>225</v>
      </c>
      <c r="N21" s="47">
        <v>7</v>
      </c>
      <c r="O21" s="177" t="s">
        <v>548</v>
      </c>
      <c r="P21" s="49">
        <v>1</v>
      </c>
      <c r="Q21" s="25">
        <f>+AQ21</f>
        <v>1</v>
      </c>
      <c r="R21" s="47" t="s">
        <v>60</v>
      </c>
      <c r="S21" s="177" t="s">
        <v>549</v>
      </c>
      <c r="T21" s="170" t="s">
        <v>550</v>
      </c>
      <c r="U21" s="214">
        <v>44562</v>
      </c>
      <c r="V21" s="47" t="s">
        <v>495</v>
      </c>
      <c r="W21" s="170" t="s">
        <v>162</v>
      </c>
      <c r="X21" s="71" t="s">
        <v>496</v>
      </c>
      <c r="Y21" s="45" t="s">
        <v>496</v>
      </c>
      <c r="Z21" s="45" t="s">
        <v>496</v>
      </c>
      <c r="AA21" s="45" t="s">
        <v>496</v>
      </c>
      <c r="AB21" s="71" t="s">
        <v>496</v>
      </c>
      <c r="AC21" s="71" t="s">
        <v>496</v>
      </c>
      <c r="AD21" s="177" t="s">
        <v>551</v>
      </c>
      <c r="AE21" s="198">
        <v>0.5</v>
      </c>
      <c r="AF21" s="49">
        <v>0.5</v>
      </c>
      <c r="AG21" s="49">
        <f t="shared" si="1"/>
        <v>1</v>
      </c>
      <c r="AH21" s="170" t="s">
        <v>552</v>
      </c>
      <c r="AI21" s="170" t="s">
        <v>511</v>
      </c>
      <c r="AJ21" s="170" t="s">
        <v>496</v>
      </c>
      <c r="AK21" s="45" t="s">
        <v>496</v>
      </c>
      <c r="AL21" s="45" t="s">
        <v>496</v>
      </c>
      <c r="AM21" s="45" t="s">
        <v>496</v>
      </c>
      <c r="AN21" s="71" t="s">
        <v>496</v>
      </c>
      <c r="AO21" s="170" t="s">
        <v>496</v>
      </c>
      <c r="AP21" s="170" t="s">
        <v>553</v>
      </c>
      <c r="AQ21" s="48">
        <v>1</v>
      </c>
      <c r="AR21" s="92">
        <v>1</v>
      </c>
      <c r="AS21" s="159">
        <f>(+Tabla4[[#This Row],[Programación  meta
IV trimestre ]]/AR21)</f>
        <v>1</v>
      </c>
      <c r="AT21" s="99" t="s">
        <v>554</v>
      </c>
      <c r="AU21" s="26" t="s">
        <v>502</v>
      </c>
      <c r="AV21" s="165" t="s">
        <v>485</v>
      </c>
      <c r="AW21" s="87">
        <f>+Tabla4[[#This Row],[Suma programación anual]]</f>
        <v>1</v>
      </c>
      <c r="AX21" s="86">
        <f>+AR21</f>
        <v>1</v>
      </c>
      <c r="AY21" s="86">
        <f t="shared" si="2"/>
        <v>1</v>
      </c>
      <c r="AZ21" s="89" t="s">
        <v>503</v>
      </c>
      <c r="BA21" s="179"/>
      <c r="BB21" s="176"/>
      <c r="BC21" s="176"/>
      <c r="BD21" s="176"/>
      <c r="BE21" s="176"/>
      <c r="BF21" s="176"/>
      <c r="BG21" s="176"/>
      <c r="BH21" s="176"/>
      <c r="BI21" s="176"/>
      <c r="BJ21" s="176"/>
      <c r="BK21" s="176"/>
      <c r="BL21" s="176"/>
      <c r="BM21" s="176"/>
      <c r="BN21" s="176"/>
      <c r="BO21" s="176"/>
      <c r="BP21" s="176"/>
      <c r="BQ21" s="176"/>
      <c r="BR21" s="176"/>
      <c r="BS21" s="176"/>
      <c r="BT21" s="176"/>
      <c r="BU21" s="176"/>
      <c r="BV21" s="176"/>
      <c r="BW21" s="176"/>
      <c r="BX21" s="176"/>
      <c r="BY21" s="176"/>
      <c r="BZ21" s="176"/>
      <c r="CA21" s="176"/>
      <c r="CB21" s="176"/>
      <c r="CC21" s="176"/>
    </row>
    <row r="22" spans="1:81" s="180" customFormat="1" x14ac:dyDescent="0.2">
      <c r="A22" s="179"/>
      <c r="B22" s="174" t="s">
        <v>320</v>
      </c>
      <c r="C22" s="170" t="s">
        <v>48</v>
      </c>
      <c r="D22" s="170" t="s">
        <v>174</v>
      </c>
      <c r="E22" s="170" t="s">
        <v>547</v>
      </c>
      <c r="F22" s="170" t="s">
        <v>555</v>
      </c>
      <c r="G22" s="170" t="s">
        <v>556</v>
      </c>
      <c r="H22" s="170" t="s">
        <v>557</v>
      </c>
      <c r="I22" s="170" t="s">
        <v>25</v>
      </c>
      <c r="J22" s="170" t="s">
        <v>106</v>
      </c>
      <c r="K22" s="170" t="s">
        <v>325</v>
      </c>
      <c r="L22" s="170" t="s">
        <v>257</v>
      </c>
      <c r="M22" s="170" t="s">
        <v>225</v>
      </c>
      <c r="N22" s="47">
        <v>8</v>
      </c>
      <c r="O22" s="170" t="s">
        <v>558</v>
      </c>
      <c r="P22" s="47">
        <v>4</v>
      </c>
      <c r="Q22" s="47">
        <f>+Y22+AE22+AK22+AQ22</f>
        <v>4</v>
      </c>
      <c r="R22" s="47" t="s">
        <v>45</v>
      </c>
      <c r="S22" s="170" t="s">
        <v>559</v>
      </c>
      <c r="T22" s="170" t="s">
        <v>560</v>
      </c>
      <c r="U22" s="213">
        <v>44562</v>
      </c>
      <c r="V22" s="47" t="s">
        <v>495</v>
      </c>
      <c r="W22" s="170" t="s">
        <v>162</v>
      </c>
      <c r="X22" s="170" t="s">
        <v>561</v>
      </c>
      <c r="Y22" s="47">
        <v>1</v>
      </c>
      <c r="Z22" s="47">
        <v>1</v>
      </c>
      <c r="AA22" s="58">
        <f>(Z22/Y22)</f>
        <v>1</v>
      </c>
      <c r="AB22" s="175" t="s">
        <v>562</v>
      </c>
      <c r="AC22" s="175" t="s">
        <v>511</v>
      </c>
      <c r="AD22" s="170" t="s">
        <v>561</v>
      </c>
      <c r="AE22" s="47">
        <v>1</v>
      </c>
      <c r="AF22" s="47">
        <v>1</v>
      </c>
      <c r="AG22" s="49">
        <f t="shared" si="1"/>
        <v>1</v>
      </c>
      <c r="AH22" s="170" t="s">
        <v>563</v>
      </c>
      <c r="AI22" s="170" t="s">
        <v>511</v>
      </c>
      <c r="AJ22" s="170" t="s">
        <v>561</v>
      </c>
      <c r="AK22" s="47">
        <v>1</v>
      </c>
      <c r="AL22" s="45">
        <v>1</v>
      </c>
      <c r="AM22" s="25">
        <f>+(Tabla4[[#This Row],[Avance cuantitativo
III trimestre]]/Tabla4[[#This Row],[Programación  meta
III trimestre ]])*100%</f>
        <v>1</v>
      </c>
      <c r="AN22" s="107" t="s">
        <v>545</v>
      </c>
      <c r="AO22" s="170" t="s">
        <v>511</v>
      </c>
      <c r="AP22" s="170" t="s">
        <v>561</v>
      </c>
      <c r="AQ22" s="103">
        <v>1</v>
      </c>
      <c r="AR22" s="37">
        <v>1</v>
      </c>
      <c r="AS22" s="159">
        <f>(+Tabla4[[#This Row],[Programación  meta
IV trimestre ]]/AR22)</f>
        <v>1</v>
      </c>
      <c r="AT22" s="99" t="s">
        <v>564</v>
      </c>
      <c r="AU22" s="247" t="s">
        <v>502</v>
      </c>
      <c r="AV22" s="165" t="s">
        <v>485</v>
      </c>
      <c r="AW22" s="85">
        <f>+Tabla4[[#This Row],[Programación  meta
I trimestre ]]+Tabla4[[#This Row],[Programación  meta
II trimestre ]]+Tabla4[[#This Row],[Programación  meta
III trimestre ]]+Tabla4[[#This Row],[Programación  meta
IV trimestre ]]</f>
        <v>4</v>
      </c>
      <c r="AX22" s="84">
        <f>+Tabla4[[#This Row],[Avance cuantitativo
I trimestre]]+Tabla4[[#This Row],[Avance cuantitativo
II trimestre]]+Tabla4[[#This Row],[Avance cuantitativo
III trimestre]]+AR22</f>
        <v>4</v>
      </c>
      <c r="AY22" s="86">
        <f t="shared" si="2"/>
        <v>1</v>
      </c>
      <c r="AZ22" s="89" t="s">
        <v>503</v>
      </c>
      <c r="BA22" s="179"/>
      <c r="BB22" s="179"/>
      <c r="BC22" s="179"/>
      <c r="BD22" s="179"/>
      <c r="BE22" s="179"/>
      <c r="BF22" s="179"/>
      <c r="BG22" s="179"/>
      <c r="BH22" s="179"/>
      <c r="BI22" s="179"/>
      <c r="BJ22" s="179"/>
      <c r="BK22" s="179"/>
      <c r="BL22" s="179"/>
      <c r="BM22" s="179"/>
      <c r="BN22" s="179"/>
      <c r="BO22" s="179"/>
      <c r="BP22" s="179"/>
      <c r="BQ22" s="179"/>
      <c r="BR22" s="179"/>
      <c r="BS22" s="179"/>
      <c r="BT22" s="179"/>
      <c r="BU22" s="179"/>
      <c r="BV22" s="179"/>
      <c r="BW22" s="179"/>
      <c r="BX22" s="179"/>
      <c r="BY22" s="179"/>
      <c r="BZ22" s="179"/>
      <c r="CA22" s="179"/>
      <c r="CB22" s="179"/>
      <c r="CC22" s="179"/>
    </row>
    <row r="23" spans="1:81" s="180" customFormat="1" x14ac:dyDescent="0.2">
      <c r="A23" s="179"/>
      <c r="B23" s="174" t="s">
        <v>320</v>
      </c>
      <c r="C23" s="170" t="s">
        <v>48</v>
      </c>
      <c r="D23" s="170" t="s">
        <v>174</v>
      </c>
      <c r="E23" s="170" t="s">
        <v>547</v>
      </c>
      <c r="F23" s="170" t="s">
        <v>336</v>
      </c>
      <c r="G23" s="177" t="s">
        <v>556</v>
      </c>
      <c r="H23" s="177" t="s">
        <v>39</v>
      </c>
      <c r="I23" s="177" t="s">
        <v>25</v>
      </c>
      <c r="J23" s="177" t="s">
        <v>106</v>
      </c>
      <c r="K23" s="177" t="s">
        <v>325</v>
      </c>
      <c r="L23" s="170" t="s">
        <v>257</v>
      </c>
      <c r="M23" s="170" t="s">
        <v>225</v>
      </c>
      <c r="N23" s="47">
        <v>9</v>
      </c>
      <c r="O23" s="177" t="s">
        <v>565</v>
      </c>
      <c r="P23" s="198">
        <v>1</v>
      </c>
      <c r="Q23" s="49" t="e">
        <f>(+Y23+AE23+AK23+AQ23)/2</f>
        <v>#VALUE!</v>
      </c>
      <c r="R23" s="51" t="s">
        <v>30</v>
      </c>
      <c r="S23" s="177" t="s">
        <v>566</v>
      </c>
      <c r="T23" s="177" t="s">
        <v>567</v>
      </c>
      <c r="U23" s="213">
        <v>44562</v>
      </c>
      <c r="V23" s="213">
        <v>44926</v>
      </c>
      <c r="W23" s="177" t="s">
        <v>162</v>
      </c>
      <c r="X23" s="71" t="s">
        <v>496</v>
      </c>
      <c r="Y23" s="45" t="s">
        <v>496</v>
      </c>
      <c r="Z23" s="45" t="s">
        <v>496</v>
      </c>
      <c r="AA23" s="45" t="s">
        <v>496</v>
      </c>
      <c r="AB23" s="71" t="s">
        <v>496</v>
      </c>
      <c r="AC23" s="71" t="s">
        <v>496</v>
      </c>
      <c r="AD23" s="170" t="s">
        <v>568</v>
      </c>
      <c r="AE23" s="49">
        <v>1</v>
      </c>
      <c r="AF23" s="49">
        <v>1</v>
      </c>
      <c r="AG23" s="49">
        <f t="shared" si="1"/>
        <v>1</v>
      </c>
      <c r="AH23" s="175" t="s">
        <v>569</v>
      </c>
      <c r="AI23" s="170" t="s">
        <v>511</v>
      </c>
      <c r="AJ23" s="181" t="s">
        <v>496</v>
      </c>
      <c r="AK23" s="244" t="s">
        <v>496</v>
      </c>
      <c r="AL23" s="244" t="s">
        <v>496</v>
      </c>
      <c r="AM23" s="244" t="s">
        <v>496</v>
      </c>
      <c r="AN23" s="181" t="s">
        <v>496</v>
      </c>
      <c r="AO23" s="181" t="s">
        <v>496</v>
      </c>
      <c r="AP23" s="170" t="s">
        <v>568</v>
      </c>
      <c r="AQ23" s="108">
        <v>1</v>
      </c>
      <c r="AR23" s="92">
        <v>1</v>
      </c>
      <c r="AS23" s="159">
        <f>(+Tabla4[[#This Row],[Programación  meta
IV trimestre ]]/AR23)</f>
        <v>1</v>
      </c>
      <c r="AT23" s="99" t="s">
        <v>570</v>
      </c>
      <c r="AU23" s="247" t="s">
        <v>502</v>
      </c>
      <c r="AV23" s="165" t="s">
        <v>485</v>
      </c>
      <c r="AW23" s="87">
        <f>+Tabla4[[#This Row],[Meta Actividad/ Acción]]</f>
        <v>1</v>
      </c>
      <c r="AX23" s="86">
        <f>+(Tabla4[[#This Row],[Avance cuantitativo
II trimestre]]+AR23)/2</f>
        <v>1</v>
      </c>
      <c r="AY23" s="86">
        <f t="shared" si="2"/>
        <v>1</v>
      </c>
      <c r="AZ23" s="89" t="s">
        <v>503</v>
      </c>
      <c r="BA23" s="179"/>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A23" s="176"/>
      <c r="CB23" s="176"/>
      <c r="CC23" s="176"/>
    </row>
    <row r="24" spans="1:81" s="176" customFormat="1" x14ac:dyDescent="0.2">
      <c r="A24" s="179"/>
      <c r="B24" s="174" t="s">
        <v>320</v>
      </c>
      <c r="C24" s="170" t="s">
        <v>48</v>
      </c>
      <c r="D24" s="170" t="s">
        <v>174</v>
      </c>
      <c r="E24" s="170" t="s">
        <v>547</v>
      </c>
      <c r="F24" s="170" t="s">
        <v>336</v>
      </c>
      <c r="G24" s="177" t="s">
        <v>186</v>
      </c>
      <c r="H24" s="177" t="s">
        <v>212</v>
      </c>
      <c r="I24" s="177" t="s">
        <v>25</v>
      </c>
      <c r="J24" s="177" t="s">
        <v>106</v>
      </c>
      <c r="K24" s="177" t="s">
        <v>325</v>
      </c>
      <c r="L24" s="170" t="s">
        <v>257</v>
      </c>
      <c r="M24" s="170" t="s">
        <v>225</v>
      </c>
      <c r="N24" s="47">
        <v>10</v>
      </c>
      <c r="O24" s="177" t="s">
        <v>571</v>
      </c>
      <c r="P24" s="51">
        <v>2</v>
      </c>
      <c r="Q24" s="47" t="e">
        <f>+Y24+AE24+AK24+AQ24</f>
        <v>#VALUE!</v>
      </c>
      <c r="R24" s="51" t="s">
        <v>45</v>
      </c>
      <c r="S24" s="170" t="s">
        <v>572</v>
      </c>
      <c r="T24" s="170" t="s">
        <v>573</v>
      </c>
      <c r="U24" s="213">
        <v>44562</v>
      </c>
      <c r="V24" s="47" t="s">
        <v>495</v>
      </c>
      <c r="W24" s="177" t="s">
        <v>162</v>
      </c>
      <c r="X24" s="71" t="s">
        <v>496</v>
      </c>
      <c r="Y24" s="45" t="s">
        <v>496</v>
      </c>
      <c r="Z24" s="45" t="s">
        <v>496</v>
      </c>
      <c r="AA24" s="45" t="s">
        <v>496</v>
      </c>
      <c r="AB24" s="71" t="s">
        <v>496</v>
      </c>
      <c r="AC24" s="71" t="s">
        <v>496</v>
      </c>
      <c r="AD24" s="170" t="s">
        <v>574</v>
      </c>
      <c r="AE24" s="47">
        <v>1</v>
      </c>
      <c r="AF24" s="47">
        <v>1</v>
      </c>
      <c r="AG24" s="49">
        <f t="shared" si="1"/>
        <v>1</v>
      </c>
      <c r="AH24" s="170" t="s">
        <v>575</v>
      </c>
      <c r="AI24" s="170" t="s">
        <v>511</v>
      </c>
      <c r="AJ24" s="181" t="s">
        <v>496</v>
      </c>
      <c r="AK24" s="244" t="s">
        <v>496</v>
      </c>
      <c r="AL24" s="244" t="s">
        <v>496</v>
      </c>
      <c r="AM24" s="244" t="s">
        <v>496</v>
      </c>
      <c r="AN24" s="181" t="s">
        <v>496</v>
      </c>
      <c r="AO24" s="181" t="s">
        <v>496</v>
      </c>
      <c r="AP24" s="170" t="s">
        <v>574</v>
      </c>
      <c r="AQ24" s="103">
        <v>1</v>
      </c>
      <c r="AR24" s="37">
        <v>1</v>
      </c>
      <c r="AS24" s="159">
        <f>(+Tabla4[[#This Row],[Programación  meta
IV trimestre ]]/AR24)</f>
        <v>1</v>
      </c>
      <c r="AT24" s="99" t="s">
        <v>576</v>
      </c>
      <c r="AU24" s="247" t="s">
        <v>502</v>
      </c>
      <c r="AV24" s="165" t="s">
        <v>485</v>
      </c>
      <c r="AW24" s="85">
        <f>+Tabla4[[#This Row],[Programación  meta
II trimestre ]]+Tabla4[[#This Row],[Programación  meta
IV trimestre ]]</f>
        <v>2</v>
      </c>
      <c r="AX24" s="84">
        <f>+Tabla4[[#This Row],[Avance cuantitativo
II trimestre]]+AR24</f>
        <v>2</v>
      </c>
      <c r="AY24" s="86">
        <f t="shared" si="2"/>
        <v>1</v>
      </c>
      <c r="AZ24" s="89" t="s">
        <v>503</v>
      </c>
      <c r="BA24" s="179"/>
      <c r="BB24" s="179"/>
      <c r="BC24" s="179"/>
      <c r="BD24" s="179"/>
      <c r="BE24" s="179"/>
      <c r="BF24" s="179"/>
      <c r="BG24" s="179"/>
      <c r="BH24" s="179"/>
      <c r="BI24" s="179"/>
      <c r="BJ24" s="179"/>
      <c r="BK24" s="179"/>
      <c r="BL24" s="179"/>
      <c r="BM24" s="179"/>
      <c r="BN24" s="179"/>
      <c r="BO24" s="179"/>
      <c r="BP24" s="179"/>
      <c r="BQ24" s="179"/>
      <c r="BR24" s="179"/>
      <c r="BS24" s="179"/>
      <c r="BT24" s="179"/>
      <c r="BU24" s="179"/>
      <c r="BV24" s="179"/>
      <c r="BW24" s="179"/>
      <c r="BX24" s="179"/>
      <c r="BY24" s="179"/>
      <c r="BZ24" s="179"/>
      <c r="CA24" s="179"/>
      <c r="CB24" s="179"/>
      <c r="CC24" s="179"/>
    </row>
    <row r="25" spans="1:81" s="27" customFormat="1" hidden="1" x14ac:dyDescent="0.2">
      <c r="A25" s="30"/>
      <c r="B25" s="67" t="s">
        <v>293</v>
      </c>
      <c r="C25" s="46" t="s">
        <v>48</v>
      </c>
      <c r="D25" s="46" t="s">
        <v>577</v>
      </c>
      <c r="E25" s="44" t="s">
        <v>91</v>
      </c>
      <c r="F25" s="44" t="s">
        <v>578</v>
      </c>
      <c r="G25" s="44" t="s">
        <v>186</v>
      </c>
      <c r="H25" s="44" t="s">
        <v>212</v>
      </c>
      <c r="I25" s="44" t="s">
        <v>25</v>
      </c>
      <c r="J25" s="44" t="s">
        <v>106</v>
      </c>
      <c r="K25" s="44" t="s">
        <v>402</v>
      </c>
      <c r="L25" s="44" t="s">
        <v>257</v>
      </c>
      <c r="M25" s="46" t="s">
        <v>491</v>
      </c>
      <c r="N25" s="47">
        <v>11</v>
      </c>
      <c r="O25" s="44" t="s">
        <v>579</v>
      </c>
      <c r="P25" s="48">
        <v>1</v>
      </c>
      <c r="Q25" s="49" t="e">
        <f>(+Y25+AE25+AK25+AQ25)/4</f>
        <v>#VALUE!</v>
      </c>
      <c r="R25" s="45" t="s">
        <v>30</v>
      </c>
      <c r="S25" s="44" t="s">
        <v>580</v>
      </c>
      <c r="T25" s="44" t="s">
        <v>581</v>
      </c>
      <c r="U25" s="212">
        <v>44562</v>
      </c>
      <c r="V25" s="212">
        <v>44926</v>
      </c>
      <c r="W25" s="44" t="s">
        <v>162</v>
      </c>
      <c r="X25" s="44" t="s">
        <v>582</v>
      </c>
      <c r="Y25" s="48">
        <v>1</v>
      </c>
      <c r="Z25" s="48">
        <v>1.1399999999999999</v>
      </c>
      <c r="AA25" s="58">
        <v>1</v>
      </c>
      <c r="AB25" s="60" t="s">
        <v>583</v>
      </c>
      <c r="AC25" s="61" t="s">
        <v>511</v>
      </c>
      <c r="AD25" s="44" t="s">
        <v>582</v>
      </c>
      <c r="AE25" s="48">
        <v>1</v>
      </c>
      <c r="AF25" s="49">
        <v>1</v>
      </c>
      <c r="AG25" s="49">
        <f t="shared" si="1"/>
        <v>1</v>
      </c>
      <c r="AH25" s="76" t="s">
        <v>584</v>
      </c>
      <c r="AI25" s="46" t="s">
        <v>511</v>
      </c>
      <c r="AJ25" s="181" t="s">
        <v>496</v>
      </c>
      <c r="AK25" s="244" t="s">
        <v>496</v>
      </c>
      <c r="AL25" s="244" t="s">
        <v>496</v>
      </c>
      <c r="AM25" s="244" t="s">
        <v>496</v>
      </c>
      <c r="AN25" s="181" t="s">
        <v>496</v>
      </c>
      <c r="AO25" s="181" t="s">
        <v>496</v>
      </c>
      <c r="AP25" s="44" t="s">
        <v>585</v>
      </c>
      <c r="AQ25" s="48" t="s">
        <v>496</v>
      </c>
      <c r="AR25" s="48" t="s">
        <v>496</v>
      </c>
      <c r="AS25" s="48" t="s">
        <v>496</v>
      </c>
      <c r="AT25" s="139" t="s">
        <v>496</v>
      </c>
      <c r="AU25" s="246" t="s">
        <v>496</v>
      </c>
      <c r="AV25" s="165" t="s">
        <v>485</v>
      </c>
      <c r="AW25" s="85">
        <v>0</v>
      </c>
      <c r="AX25" s="84">
        <v>0</v>
      </c>
      <c r="AY25" s="86">
        <v>0</v>
      </c>
      <c r="AZ25" s="88" t="s">
        <v>585</v>
      </c>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row>
    <row r="26" spans="1:81" s="176" customFormat="1" x14ac:dyDescent="0.2">
      <c r="A26" s="180"/>
      <c r="B26" s="174" t="s">
        <v>320</v>
      </c>
      <c r="C26" s="170" t="s">
        <v>48</v>
      </c>
      <c r="D26" s="71" t="s">
        <v>174</v>
      </c>
      <c r="E26" s="71" t="s">
        <v>102</v>
      </c>
      <c r="F26" s="71" t="s">
        <v>336</v>
      </c>
      <c r="G26" s="71" t="s">
        <v>53</v>
      </c>
      <c r="H26" s="71" t="s">
        <v>79</v>
      </c>
      <c r="I26" s="71" t="s">
        <v>55</v>
      </c>
      <c r="J26" s="71" t="s">
        <v>106</v>
      </c>
      <c r="K26" s="71" t="s">
        <v>402</v>
      </c>
      <c r="L26" s="71" t="s">
        <v>252</v>
      </c>
      <c r="M26" s="170" t="s">
        <v>225</v>
      </c>
      <c r="N26" s="47">
        <v>12</v>
      </c>
      <c r="O26" s="71" t="s">
        <v>586</v>
      </c>
      <c r="P26" s="48">
        <v>1</v>
      </c>
      <c r="Q26" s="49">
        <f>(+Y26+AE26+AK26+AQ26)/4</f>
        <v>1</v>
      </c>
      <c r="R26" s="45" t="s">
        <v>30</v>
      </c>
      <c r="S26" s="71" t="s">
        <v>587</v>
      </c>
      <c r="T26" s="71" t="s">
        <v>588</v>
      </c>
      <c r="U26" s="212">
        <v>44562</v>
      </c>
      <c r="V26" s="212">
        <v>44926</v>
      </c>
      <c r="W26" s="71" t="s">
        <v>162</v>
      </c>
      <c r="X26" s="71" t="s">
        <v>589</v>
      </c>
      <c r="Y26" s="48">
        <v>1</v>
      </c>
      <c r="Z26" s="48">
        <v>1</v>
      </c>
      <c r="AA26" s="58">
        <f>(Z26/Y26)</f>
        <v>1</v>
      </c>
      <c r="AB26" s="60" t="s">
        <v>590</v>
      </c>
      <c r="AC26" s="175" t="s">
        <v>511</v>
      </c>
      <c r="AD26" s="71" t="s">
        <v>589</v>
      </c>
      <c r="AE26" s="48">
        <v>1</v>
      </c>
      <c r="AF26" s="49">
        <v>0.88</v>
      </c>
      <c r="AG26" s="49">
        <f t="shared" si="1"/>
        <v>0.88</v>
      </c>
      <c r="AH26" s="104" t="s">
        <v>591</v>
      </c>
      <c r="AI26" s="170" t="s">
        <v>511</v>
      </c>
      <c r="AJ26" s="71" t="s">
        <v>589</v>
      </c>
      <c r="AK26" s="48">
        <v>1</v>
      </c>
      <c r="AL26" s="48">
        <v>1</v>
      </c>
      <c r="AM26" s="25">
        <f>+(Tabla4[[#This Row],[Avance cuantitativo
III trimestre]]/Tabla4[[#This Row],[Programación  meta
III trimestre ]])*100%</f>
        <v>1</v>
      </c>
      <c r="AN26" s="104" t="s">
        <v>592</v>
      </c>
      <c r="AO26" s="170" t="s">
        <v>511</v>
      </c>
      <c r="AP26" s="71" t="s">
        <v>589</v>
      </c>
      <c r="AQ26" s="693">
        <v>1</v>
      </c>
      <c r="AR26" s="691">
        <v>1</v>
      </c>
      <c r="AS26" s="687">
        <f>(+Tabla4[[#This Row],[Programación  meta
IV trimestre ]]/AR26)</f>
        <v>1</v>
      </c>
      <c r="AT26" s="104" t="s">
        <v>592</v>
      </c>
      <c r="AU26" s="28" t="s">
        <v>502</v>
      </c>
      <c r="AV26" s="165" t="s">
        <v>485</v>
      </c>
      <c r="AW26" s="87">
        <f>(+Tabla4[[#This Row],[Programación  meta
I trimestre ]]+Tabla4[[#This Row],[Programación  meta
II trimestre ]]+Tabla4[[#This Row],[Programación  meta
III trimestre ]]+Tabla4[[#This Row],[Programación  meta
IV trimestre ]])/4</f>
        <v>1</v>
      </c>
      <c r="AX26" s="86">
        <f>(+Tabla4[[#This Row],[Avance cuantitativo
I trimestre]]+Tabla4[[#This Row],[Avance cuantitativo
II trimestre]]+Tabla4[[#This Row],[Avance cuantitativo
III trimestre]]+AR26)/4</f>
        <v>0.97</v>
      </c>
      <c r="AY26" s="86">
        <f t="shared" si="2"/>
        <v>0.97</v>
      </c>
      <c r="AZ26" s="143" t="s">
        <v>593</v>
      </c>
      <c r="BA26" s="180" t="s">
        <v>594</v>
      </c>
      <c r="BB26" s="180"/>
      <c r="BC26" s="180"/>
      <c r="BD26" s="180"/>
      <c r="BE26" s="180"/>
      <c r="BF26" s="180"/>
      <c r="BG26" s="180"/>
      <c r="BH26" s="180"/>
      <c r="BI26" s="180"/>
      <c r="BJ26" s="180"/>
      <c r="BK26" s="180"/>
      <c r="BL26" s="180"/>
      <c r="BM26" s="180"/>
      <c r="BN26" s="180"/>
      <c r="BO26" s="180"/>
      <c r="BP26" s="180"/>
      <c r="BQ26" s="180"/>
      <c r="BR26" s="180"/>
      <c r="BS26" s="180"/>
      <c r="BT26" s="180"/>
      <c r="BU26" s="180"/>
      <c r="BV26" s="180"/>
      <c r="BW26" s="180"/>
      <c r="BX26" s="180"/>
      <c r="BY26" s="180"/>
      <c r="BZ26" s="180"/>
      <c r="CA26" s="180"/>
      <c r="CB26" s="180"/>
      <c r="CC26" s="180"/>
    </row>
    <row r="27" spans="1:81" s="180" customFormat="1" x14ac:dyDescent="0.2">
      <c r="B27" s="142" t="s">
        <v>305</v>
      </c>
      <c r="C27" s="170" t="s">
        <v>48</v>
      </c>
      <c r="D27" s="104" t="s">
        <v>595</v>
      </c>
      <c r="E27" s="170" t="s">
        <v>547</v>
      </c>
      <c r="F27" s="104" t="s">
        <v>298</v>
      </c>
      <c r="G27" s="104" t="s">
        <v>176</v>
      </c>
      <c r="H27" s="104" t="s">
        <v>94</v>
      </c>
      <c r="I27" s="104" t="s">
        <v>25</v>
      </c>
      <c r="J27" s="104" t="s">
        <v>138</v>
      </c>
      <c r="K27" s="104" t="s">
        <v>359</v>
      </c>
      <c r="L27" s="104" t="s">
        <v>596</v>
      </c>
      <c r="M27" s="104" t="s">
        <v>225</v>
      </c>
      <c r="N27" s="47">
        <v>13</v>
      </c>
      <c r="O27" s="104" t="s">
        <v>597</v>
      </c>
      <c r="P27" s="53">
        <v>2</v>
      </c>
      <c r="Q27" s="47" t="e">
        <f>+Y27+AE27+AK27+AQ27</f>
        <v>#VALUE!</v>
      </c>
      <c r="R27" s="53" t="s">
        <v>45</v>
      </c>
      <c r="S27" s="104" t="s">
        <v>598</v>
      </c>
      <c r="T27" s="104" t="s">
        <v>599</v>
      </c>
      <c r="U27" s="215">
        <v>44562</v>
      </c>
      <c r="V27" s="53" t="s">
        <v>495</v>
      </c>
      <c r="W27" s="104" t="s">
        <v>110</v>
      </c>
      <c r="X27" s="71" t="s">
        <v>496</v>
      </c>
      <c r="Y27" s="45" t="s">
        <v>496</v>
      </c>
      <c r="Z27" s="45" t="s">
        <v>496</v>
      </c>
      <c r="AA27" s="45" t="s">
        <v>496</v>
      </c>
      <c r="AB27" s="71" t="s">
        <v>496</v>
      </c>
      <c r="AC27" s="71" t="s">
        <v>496</v>
      </c>
      <c r="AD27" s="104" t="s">
        <v>496</v>
      </c>
      <c r="AE27" s="53" t="s">
        <v>496</v>
      </c>
      <c r="AF27" s="53" t="s">
        <v>496</v>
      </c>
      <c r="AG27" s="53" t="s">
        <v>496</v>
      </c>
      <c r="AH27" s="104" t="s">
        <v>496</v>
      </c>
      <c r="AI27" s="170" t="s">
        <v>496</v>
      </c>
      <c r="AJ27" s="104" t="s">
        <v>600</v>
      </c>
      <c r="AK27" s="53">
        <v>1</v>
      </c>
      <c r="AL27" s="45">
        <v>1</v>
      </c>
      <c r="AM27" s="25">
        <f>+(Tabla4[[#This Row],[Avance cuantitativo
III trimestre]]/Tabla4[[#This Row],[Programación  meta
III trimestre ]])*100%</f>
        <v>1</v>
      </c>
      <c r="AN27" s="110" t="s">
        <v>601</v>
      </c>
      <c r="AO27" s="170" t="s">
        <v>511</v>
      </c>
      <c r="AP27" s="104" t="s">
        <v>602</v>
      </c>
      <c r="AQ27" s="65">
        <v>1</v>
      </c>
      <c r="AR27" s="37">
        <v>1</v>
      </c>
      <c r="AS27" s="159">
        <f>(+Tabla4[[#This Row],[Programación  meta
IV trimestre ]]/AR27)</f>
        <v>1</v>
      </c>
      <c r="AT27" s="119" t="s">
        <v>603</v>
      </c>
      <c r="AU27" s="28" t="s">
        <v>502</v>
      </c>
      <c r="AV27" s="165" t="s">
        <v>485</v>
      </c>
      <c r="AW27" s="85">
        <f>+Tabla4[[#This Row],[Programación  meta
III trimestre ]]+Tabla4[[#This Row],[Programación  meta
IV trimestre ]]</f>
        <v>2</v>
      </c>
      <c r="AX27" s="84">
        <f>+Tabla4[[#This Row],[Avance cuantitativo
III trimestre]]+AR27</f>
        <v>2</v>
      </c>
      <c r="AY27" s="86">
        <f t="shared" si="2"/>
        <v>1</v>
      </c>
      <c r="AZ27" s="89" t="s">
        <v>503</v>
      </c>
    </row>
    <row r="28" spans="1:81" s="180" customFormat="1" x14ac:dyDescent="0.2">
      <c r="B28" s="138" t="s">
        <v>305</v>
      </c>
      <c r="C28" s="170" t="s">
        <v>48</v>
      </c>
      <c r="D28" s="71" t="s">
        <v>595</v>
      </c>
      <c r="E28" s="170" t="s">
        <v>547</v>
      </c>
      <c r="F28" s="71" t="s">
        <v>604</v>
      </c>
      <c r="G28" s="71" t="s">
        <v>81</v>
      </c>
      <c r="H28" s="71" t="s">
        <v>105</v>
      </c>
      <c r="I28" s="71" t="s">
        <v>25</v>
      </c>
      <c r="J28" s="71" t="s">
        <v>138</v>
      </c>
      <c r="K28" s="71" t="s">
        <v>356</v>
      </c>
      <c r="L28" s="71" t="s">
        <v>215</v>
      </c>
      <c r="M28" s="71" t="s">
        <v>225</v>
      </c>
      <c r="N28" s="47">
        <v>14</v>
      </c>
      <c r="O28" s="71" t="s">
        <v>605</v>
      </c>
      <c r="P28" s="45">
        <v>12</v>
      </c>
      <c r="Q28" s="47">
        <f>+Y28+AE28+AK28+AQ28</f>
        <v>12</v>
      </c>
      <c r="R28" s="45" t="s">
        <v>45</v>
      </c>
      <c r="S28" s="71" t="s">
        <v>606</v>
      </c>
      <c r="T28" s="71" t="s">
        <v>607</v>
      </c>
      <c r="U28" s="212">
        <v>44562</v>
      </c>
      <c r="V28" s="45" t="s">
        <v>495</v>
      </c>
      <c r="W28" s="71" t="s">
        <v>110</v>
      </c>
      <c r="X28" s="71" t="s">
        <v>608</v>
      </c>
      <c r="Y28" s="45">
        <v>3</v>
      </c>
      <c r="Z28" s="45">
        <v>3</v>
      </c>
      <c r="AA28" s="58">
        <f>(Z28/Y28)</f>
        <v>1</v>
      </c>
      <c r="AB28" s="60" t="s">
        <v>609</v>
      </c>
      <c r="AC28" s="175" t="s">
        <v>511</v>
      </c>
      <c r="AD28" s="71" t="s">
        <v>610</v>
      </c>
      <c r="AE28" s="45">
        <v>3</v>
      </c>
      <c r="AF28" s="47">
        <v>3</v>
      </c>
      <c r="AG28" s="49">
        <f t="shared" si="1"/>
        <v>1</v>
      </c>
      <c r="AH28" s="104" t="s">
        <v>611</v>
      </c>
      <c r="AI28" s="170" t="s">
        <v>511</v>
      </c>
      <c r="AJ28" s="71" t="s">
        <v>612</v>
      </c>
      <c r="AK28" s="45">
        <v>3</v>
      </c>
      <c r="AL28" s="45">
        <v>3</v>
      </c>
      <c r="AM28" s="25">
        <f>+(Tabla4[[#This Row],[Avance cuantitativo
III trimestre]]/Tabla4[[#This Row],[Programación  meta
III trimestre ]])*100%</f>
        <v>1</v>
      </c>
      <c r="AN28" s="110" t="s">
        <v>613</v>
      </c>
      <c r="AO28" s="170" t="s">
        <v>511</v>
      </c>
      <c r="AP28" s="71" t="s">
        <v>614</v>
      </c>
      <c r="AQ28" s="63">
        <v>3</v>
      </c>
      <c r="AR28" s="37">
        <v>3</v>
      </c>
      <c r="AS28" s="159">
        <f>(+Tabla4[[#This Row],[Programación  meta
IV trimestre ]]/AR28)</f>
        <v>1</v>
      </c>
      <c r="AT28" s="99" t="s">
        <v>615</v>
      </c>
      <c r="AU28" s="28" t="s">
        <v>502</v>
      </c>
      <c r="AV28" s="165" t="s">
        <v>485</v>
      </c>
      <c r="AW28" s="85">
        <f>+Tabla4[[#This Row],[Programación  meta
I trimestre ]]+Tabla4[[#This Row],[Programación  meta
II trimestre ]]+Tabla4[[#This Row],[Programación  meta
III trimestre ]]+Tabla4[[#This Row],[Programación  meta
IV trimestre ]]</f>
        <v>12</v>
      </c>
      <c r="AX28" s="84">
        <f>+Tabla4[[#This Row],[Avance cuantitativo
I trimestre]]+Tabla4[[#This Row],[Avance cuantitativo
II trimestre]]+Tabla4[[#This Row],[Avance cuantitativo
III trimestre]]+AR28</f>
        <v>12</v>
      </c>
      <c r="AY28" s="86">
        <f t="shared" si="2"/>
        <v>1</v>
      </c>
      <c r="AZ28" s="89" t="s">
        <v>503</v>
      </c>
    </row>
    <row r="29" spans="1:81" s="180" customFormat="1" x14ac:dyDescent="0.2">
      <c r="B29" s="138" t="s">
        <v>308</v>
      </c>
      <c r="C29" s="170" t="s">
        <v>48</v>
      </c>
      <c r="D29" s="71" t="s">
        <v>595</v>
      </c>
      <c r="E29" s="170" t="s">
        <v>547</v>
      </c>
      <c r="F29" s="71" t="s">
        <v>604</v>
      </c>
      <c r="G29" s="71" t="s">
        <v>93</v>
      </c>
      <c r="H29" s="71" t="s">
        <v>137</v>
      </c>
      <c r="I29" s="71" t="s">
        <v>25</v>
      </c>
      <c r="J29" s="71" t="s">
        <v>138</v>
      </c>
      <c r="K29" s="71" t="s">
        <v>362</v>
      </c>
      <c r="L29" s="71" t="s">
        <v>252</v>
      </c>
      <c r="M29" s="71" t="s">
        <v>225</v>
      </c>
      <c r="N29" s="47">
        <v>15</v>
      </c>
      <c r="O29" s="71" t="s">
        <v>616</v>
      </c>
      <c r="P29" s="48">
        <v>1</v>
      </c>
      <c r="Q29" s="49">
        <f>(+Y29+AE29+AK29+AQ29)/4</f>
        <v>1</v>
      </c>
      <c r="R29" s="45" t="s">
        <v>30</v>
      </c>
      <c r="S29" s="71" t="s">
        <v>617</v>
      </c>
      <c r="T29" s="71" t="s">
        <v>588</v>
      </c>
      <c r="U29" s="212">
        <v>44562</v>
      </c>
      <c r="V29" s="212">
        <v>44592</v>
      </c>
      <c r="W29" s="71" t="s">
        <v>110</v>
      </c>
      <c r="X29" s="71" t="s">
        <v>589</v>
      </c>
      <c r="Y29" s="48">
        <v>1</v>
      </c>
      <c r="Z29" s="48">
        <v>1</v>
      </c>
      <c r="AA29" s="58">
        <f>(Z29/Y29)</f>
        <v>1</v>
      </c>
      <c r="AB29" s="60" t="s">
        <v>618</v>
      </c>
      <c r="AC29" s="175" t="s">
        <v>511</v>
      </c>
      <c r="AD29" s="71" t="s">
        <v>589</v>
      </c>
      <c r="AE29" s="48">
        <v>1</v>
      </c>
      <c r="AF29" s="49">
        <v>1</v>
      </c>
      <c r="AG29" s="49">
        <f t="shared" si="1"/>
        <v>1</v>
      </c>
      <c r="AH29" s="104" t="s">
        <v>619</v>
      </c>
      <c r="AI29" s="170" t="s">
        <v>511</v>
      </c>
      <c r="AJ29" s="71" t="s">
        <v>589</v>
      </c>
      <c r="AK29" s="48">
        <v>1</v>
      </c>
      <c r="AL29" s="48">
        <v>1</v>
      </c>
      <c r="AM29" s="25">
        <f>+(Tabla4[[#This Row],[Avance cuantitativo
III trimestre]]/Tabla4[[#This Row],[Programación  meta
III trimestre ]])*100%</f>
        <v>1</v>
      </c>
      <c r="AN29" s="104" t="s">
        <v>620</v>
      </c>
      <c r="AO29" s="170" t="s">
        <v>511</v>
      </c>
      <c r="AP29" s="71" t="s">
        <v>589</v>
      </c>
      <c r="AQ29" s="109">
        <v>1</v>
      </c>
      <c r="AR29" s="92">
        <v>1</v>
      </c>
      <c r="AS29" s="159">
        <f>(+Tabla4[[#This Row],[Programación  meta
IV trimestre ]]/AR29)</f>
        <v>1</v>
      </c>
      <c r="AT29" s="104" t="s">
        <v>621</v>
      </c>
      <c r="AU29" s="28" t="s">
        <v>502</v>
      </c>
      <c r="AV29" s="165" t="s">
        <v>485</v>
      </c>
      <c r="AW29" s="87">
        <f>(+Tabla4[[#This Row],[Programación  meta
I trimestre ]]+Tabla4[[#This Row],[Programación  meta
II trimestre ]]+Tabla4[[#This Row],[Programación  meta
III trimestre ]]+Tabla4[[#This Row],[Programación  meta
IV trimestre ]])/4</f>
        <v>1</v>
      </c>
      <c r="AX29" s="86">
        <f>(+Tabla4[[#This Row],[Avance cuantitativo
I trimestre]]+Tabla4[[#This Row],[Avance cuantitativo
II trimestre]]+Tabla4[[#This Row],[Avance cuantitativo
III trimestre]]+AR29)/4</f>
        <v>1</v>
      </c>
      <c r="AY29" s="86">
        <f t="shared" si="2"/>
        <v>1</v>
      </c>
      <c r="AZ29" s="89" t="s">
        <v>503</v>
      </c>
    </row>
    <row r="30" spans="1:81" s="29" customFormat="1" hidden="1" x14ac:dyDescent="0.2">
      <c r="A30" s="30"/>
      <c r="B30" s="67" t="s">
        <v>320</v>
      </c>
      <c r="C30" s="46" t="s">
        <v>48</v>
      </c>
      <c r="D30" s="44" t="s">
        <v>184</v>
      </c>
      <c r="E30" s="44" t="s">
        <v>102</v>
      </c>
      <c r="F30" s="44" t="s">
        <v>338</v>
      </c>
      <c r="G30" s="44" t="s">
        <v>186</v>
      </c>
      <c r="H30" s="44" t="s">
        <v>137</v>
      </c>
      <c r="I30" s="44" t="s">
        <v>25</v>
      </c>
      <c r="J30" s="44" t="s">
        <v>138</v>
      </c>
      <c r="K30" s="44" t="s">
        <v>402</v>
      </c>
      <c r="L30" s="44" t="s">
        <v>257</v>
      </c>
      <c r="M30" s="44" t="s">
        <v>225</v>
      </c>
      <c r="N30" s="47">
        <v>16</v>
      </c>
      <c r="O30" s="44" t="s">
        <v>622</v>
      </c>
      <c r="P30" s="48">
        <v>1</v>
      </c>
      <c r="Q30" s="49" t="e">
        <f>(+Y30+AE30+AK30+AQ30)/4</f>
        <v>#VALUE!</v>
      </c>
      <c r="R30" s="45" t="s">
        <v>30</v>
      </c>
      <c r="S30" s="44" t="s">
        <v>580</v>
      </c>
      <c r="T30" s="44" t="s">
        <v>581</v>
      </c>
      <c r="U30" s="212">
        <v>44562</v>
      </c>
      <c r="V30" s="212">
        <v>44592</v>
      </c>
      <c r="W30" s="44" t="s">
        <v>110</v>
      </c>
      <c r="X30" s="44" t="s">
        <v>582</v>
      </c>
      <c r="Y30" s="48">
        <v>1</v>
      </c>
      <c r="Z30" s="48">
        <v>0.86</v>
      </c>
      <c r="AA30" s="58">
        <f>(Z30/Y30)</f>
        <v>0.86</v>
      </c>
      <c r="AB30" s="60" t="s">
        <v>583</v>
      </c>
      <c r="AC30" s="61" t="s">
        <v>623</v>
      </c>
      <c r="AD30" s="44" t="s">
        <v>582</v>
      </c>
      <c r="AE30" s="48">
        <v>1</v>
      </c>
      <c r="AF30" s="49">
        <v>1</v>
      </c>
      <c r="AG30" s="49">
        <f t="shared" si="1"/>
        <v>1</v>
      </c>
      <c r="AH30" s="76" t="s">
        <v>584</v>
      </c>
      <c r="AI30" s="46" t="s">
        <v>511</v>
      </c>
      <c r="AJ30" s="181" t="s">
        <v>496</v>
      </c>
      <c r="AK30" s="244" t="s">
        <v>496</v>
      </c>
      <c r="AL30" s="244" t="s">
        <v>496</v>
      </c>
      <c r="AM30" s="244" t="s">
        <v>496</v>
      </c>
      <c r="AN30" s="181" t="s">
        <v>496</v>
      </c>
      <c r="AO30" s="181" t="s">
        <v>496</v>
      </c>
      <c r="AP30" s="44" t="s">
        <v>585</v>
      </c>
      <c r="AQ30" s="48" t="s">
        <v>496</v>
      </c>
      <c r="AR30" s="48" t="s">
        <v>496</v>
      </c>
      <c r="AS30" s="48" t="s">
        <v>496</v>
      </c>
      <c r="AT30" s="139" t="s">
        <v>496</v>
      </c>
      <c r="AU30" s="246" t="s">
        <v>496</v>
      </c>
      <c r="AV30" s="165" t="s">
        <v>485</v>
      </c>
      <c r="AW30" s="87">
        <v>0</v>
      </c>
      <c r="AX30" s="84">
        <v>0</v>
      </c>
      <c r="AY30" s="86">
        <v>0</v>
      </c>
      <c r="AZ30" s="88" t="s">
        <v>585</v>
      </c>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row>
    <row r="31" spans="1:81" s="29" customFormat="1" hidden="1" x14ac:dyDescent="0.2">
      <c r="A31" s="30"/>
      <c r="B31" s="67" t="s">
        <v>320</v>
      </c>
      <c r="C31" s="46" t="s">
        <v>48</v>
      </c>
      <c r="D31" s="44" t="s">
        <v>184</v>
      </c>
      <c r="E31" s="44" t="s">
        <v>102</v>
      </c>
      <c r="F31" s="44" t="s">
        <v>338</v>
      </c>
      <c r="G31" s="44" t="s">
        <v>186</v>
      </c>
      <c r="H31" s="44" t="s">
        <v>137</v>
      </c>
      <c r="I31" s="44" t="s">
        <v>25</v>
      </c>
      <c r="J31" s="44" t="s">
        <v>41</v>
      </c>
      <c r="K31" s="44" t="s">
        <v>402</v>
      </c>
      <c r="L31" s="44" t="s">
        <v>257</v>
      </c>
      <c r="M31" s="44" t="s">
        <v>225</v>
      </c>
      <c r="N31" s="47">
        <v>17</v>
      </c>
      <c r="O31" s="44" t="s">
        <v>624</v>
      </c>
      <c r="P31" s="48">
        <v>1</v>
      </c>
      <c r="Q31" s="49" t="e">
        <f>(+Y31+AE31+AK31+AQ31)/4</f>
        <v>#VALUE!</v>
      </c>
      <c r="R31" s="45" t="s">
        <v>30</v>
      </c>
      <c r="S31" s="44" t="s">
        <v>580</v>
      </c>
      <c r="T31" s="44" t="s">
        <v>581</v>
      </c>
      <c r="U31" s="212">
        <v>44562</v>
      </c>
      <c r="V31" s="212">
        <v>44592</v>
      </c>
      <c r="W31" s="44" t="s">
        <v>110</v>
      </c>
      <c r="X31" s="44" t="s">
        <v>582</v>
      </c>
      <c r="Y31" s="48">
        <v>1</v>
      </c>
      <c r="Z31" s="48">
        <v>1</v>
      </c>
      <c r="AA31" s="58">
        <f>(Z31/Y31)</f>
        <v>1</v>
      </c>
      <c r="AB31" s="60" t="s">
        <v>583</v>
      </c>
      <c r="AC31" s="61" t="s">
        <v>511</v>
      </c>
      <c r="AD31" s="104" t="s">
        <v>496</v>
      </c>
      <c r="AE31" s="53" t="s">
        <v>496</v>
      </c>
      <c r="AF31" s="53" t="s">
        <v>496</v>
      </c>
      <c r="AG31" s="53" t="s">
        <v>496</v>
      </c>
      <c r="AH31" s="104" t="s">
        <v>496</v>
      </c>
      <c r="AI31" s="170" t="s">
        <v>496</v>
      </c>
      <c r="AJ31" s="181" t="s">
        <v>496</v>
      </c>
      <c r="AK31" s="244" t="s">
        <v>496</v>
      </c>
      <c r="AL31" s="244" t="s">
        <v>496</v>
      </c>
      <c r="AM31" s="244" t="s">
        <v>496</v>
      </c>
      <c r="AN31" s="181" t="s">
        <v>496</v>
      </c>
      <c r="AO31" s="181" t="s">
        <v>496</v>
      </c>
      <c r="AP31" s="44" t="s">
        <v>585</v>
      </c>
      <c r="AQ31" s="48" t="s">
        <v>496</v>
      </c>
      <c r="AR31" s="48" t="s">
        <v>496</v>
      </c>
      <c r="AS31" s="48" t="s">
        <v>496</v>
      </c>
      <c r="AT31" s="139" t="s">
        <v>496</v>
      </c>
      <c r="AU31" s="246" t="s">
        <v>496</v>
      </c>
      <c r="AV31" s="165" t="s">
        <v>485</v>
      </c>
      <c r="AW31" s="85">
        <v>0</v>
      </c>
      <c r="AX31" s="84">
        <v>0</v>
      </c>
      <c r="AY31" s="86">
        <v>0</v>
      </c>
      <c r="AZ31" s="88" t="s">
        <v>585</v>
      </c>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row>
    <row r="32" spans="1:81" s="27" customFormat="1" x14ac:dyDescent="0.2">
      <c r="A32" s="30"/>
      <c r="B32" s="67" t="s">
        <v>209</v>
      </c>
      <c r="C32" s="46" t="s">
        <v>33</v>
      </c>
      <c r="D32" s="44" t="s">
        <v>134</v>
      </c>
      <c r="E32" s="46" t="s">
        <v>50</v>
      </c>
      <c r="F32" s="44" t="s">
        <v>625</v>
      </c>
      <c r="G32" s="44" t="s">
        <v>68</v>
      </c>
      <c r="H32" s="44" t="s">
        <v>221</v>
      </c>
      <c r="I32" s="44" t="s">
        <v>25</v>
      </c>
      <c r="J32" s="44" t="s">
        <v>128</v>
      </c>
      <c r="K32" s="44" t="s">
        <v>128</v>
      </c>
      <c r="L32" s="44" t="s">
        <v>215</v>
      </c>
      <c r="M32" s="44" t="s">
        <v>161</v>
      </c>
      <c r="N32" s="47">
        <v>18</v>
      </c>
      <c r="O32" s="44" t="s">
        <v>626</v>
      </c>
      <c r="P32" s="49">
        <v>1</v>
      </c>
      <c r="Q32" s="25" t="e">
        <f>+Y32+AE32+AK32+AQ32</f>
        <v>#VALUE!</v>
      </c>
      <c r="R32" s="47" t="s">
        <v>45</v>
      </c>
      <c r="S32" s="44" t="s">
        <v>627</v>
      </c>
      <c r="T32" s="44" t="s">
        <v>628</v>
      </c>
      <c r="U32" s="212">
        <v>44562</v>
      </c>
      <c r="V32" s="212">
        <v>44651</v>
      </c>
      <c r="W32" s="44" t="s">
        <v>269</v>
      </c>
      <c r="X32" s="44" t="s">
        <v>629</v>
      </c>
      <c r="Y32" s="49">
        <v>1</v>
      </c>
      <c r="Z32" s="48">
        <v>1</v>
      </c>
      <c r="AA32" s="58">
        <f>(Z32/Y32)</f>
        <v>1</v>
      </c>
      <c r="AB32" s="71" t="s">
        <v>630</v>
      </c>
      <c r="AC32" s="46" t="s">
        <v>511</v>
      </c>
      <c r="AD32" s="104" t="s">
        <v>496</v>
      </c>
      <c r="AE32" s="53" t="s">
        <v>496</v>
      </c>
      <c r="AF32" s="53" t="s">
        <v>496</v>
      </c>
      <c r="AG32" s="53" t="s">
        <v>496</v>
      </c>
      <c r="AH32" s="104" t="s">
        <v>496</v>
      </c>
      <c r="AI32" s="170" t="s">
        <v>496</v>
      </c>
      <c r="AJ32" s="181" t="s">
        <v>496</v>
      </c>
      <c r="AK32" s="244" t="s">
        <v>496</v>
      </c>
      <c r="AL32" s="244" t="s">
        <v>496</v>
      </c>
      <c r="AM32" s="244" t="s">
        <v>496</v>
      </c>
      <c r="AN32" s="181" t="s">
        <v>496</v>
      </c>
      <c r="AO32" s="181" t="s">
        <v>496</v>
      </c>
      <c r="AP32" s="44" t="s">
        <v>496</v>
      </c>
      <c r="AQ32" s="48" t="s">
        <v>496</v>
      </c>
      <c r="AR32" s="48" t="s">
        <v>496</v>
      </c>
      <c r="AS32" s="48" t="s">
        <v>496</v>
      </c>
      <c r="AT32" s="139" t="s">
        <v>496</v>
      </c>
      <c r="AU32" s="246" t="s">
        <v>496</v>
      </c>
      <c r="AV32" s="165" t="s">
        <v>485</v>
      </c>
      <c r="AW32" s="87">
        <f>+Tabla4[[#This Row],[Programación  meta
I trimestre ]]</f>
        <v>1</v>
      </c>
      <c r="AX32" s="86">
        <f>+Tabla4[[#This Row],[Avance cuantitativo
I trimestre]]</f>
        <v>1</v>
      </c>
      <c r="AY32" s="86">
        <f t="shared" si="2"/>
        <v>1</v>
      </c>
      <c r="AZ32" s="89" t="s">
        <v>503</v>
      </c>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row>
    <row r="33" spans="1:81" s="30" customFormat="1" x14ac:dyDescent="0.2">
      <c r="B33" s="68" t="s">
        <v>262</v>
      </c>
      <c r="C33" s="54" t="s">
        <v>33</v>
      </c>
      <c r="D33" s="50" t="s">
        <v>134</v>
      </c>
      <c r="E33" s="46" t="s">
        <v>50</v>
      </c>
      <c r="F33" s="50" t="s">
        <v>165</v>
      </c>
      <c r="G33" s="50" t="s">
        <v>68</v>
      </c>
      <c r="H33" s="50" t="s">
        <v>221</v>
      </c>
      <c r="I33" s="50" t="s">
        <v>25</v>
      </c>
      <c r="J33" s="50" t="s">
        <v>128</v>
      </c>
      <c r="K33" s="50" t="s">
        <v>128</v>
      </c>
      <c r="L33" s="50" t="s">
        <v>215</v>
      </c>
      <c r="M33" s="54" t="s">
        <v>161</v>
      </c>
      <c r="N33" s="47">
        <v>19</v>
      </c>
      <c r="O33" s="50" t="s">
        <v>631</v>
      </c>
      <c r="P33" s="49">
        <v>1</v>
      </c>
      <c r="Q33" s="25" t="e">
        <f>+Y33+AE33+AK33+AQ33</f>
        <v>#VALUE!</v>
      </c>
      <c r="R33" s="47" t="s">
        <v>45</v>
      </c>
      <c r="S33" s="50" t="s">
        <v>632</v>
      </c>
      <c r="T33" s="50" t="s">
        <v>633</v>
      </c>
      <c r="U33" s="215">
        <v>44652</v>
      </c>
      <c r="V33" s="215">
        <v>44742</v>
      </c>
      <c r="W33" s="50" t="s">
        <v>269</v>
      </c>
      <c r="X33" s="71" t="s">
        <v>496</v>
      </c>
      <c r="Y33" s="45" t="s">
        <v>496</v>
      </c>
      <c r="Z33" s="45" t="s">
        <v>496</v>
      </c>
      <c r="AA33" s="45" t="s">
        <v>496</v>
      </c>
      <c r="AB33" s="71" t="s">
        <v>496</v>
      </c>
      <c r="AC33" s="71" t="s">
        <v>496</v>
      </c>
      <c r="AD33" s="70" t="s">
        <v>634</v>
      </c>
      <c r="AE33" s="49">
        <v>1</v>
      </c>
      <c r="AF33" s="49">
        <v>1</v>
      </c>
      <c r="AG33" s="49">
        <f t="shared" si="1"/>
        <v>1</v>
      </c>
      <c r="AH33" s="50" t="s">
        <v>635</v>
      </c>
      <c r="AI33" s="50" t="s">
        <v>636</v>
      </c>
      <c r="AJ33" s="181" t="s">
        <v>496</v>
      </c>
      <c r="AK33" s="244" t="s">
        <v>496</v>
      </c>
      <c r="AL33" s="244" t="s">
        <v>496</v>
      </c>
      <c r="AM33" s="244" t="s">
        <v>496</v>
      </c>
      <c r="AN33" s="181" t="s">
        <v>496</v>
      </c>
      <c r="AO33" s="181" t="s">
        <v>496</v>
      </c>
      <c r="AP33" s="50" t="s">
        <v>496</v>
      </c>
      <c r="AQ33" s="48" t="s">
        <v>496</v>
      </c>
      <c r="AR33" s="48" t="s">
        <v>496</v>
      </c>
      <c r="AS33" s="48" t="s">
        <v>496</v>
      </c>
      <c r="AT33" s="139" t="s">
        <v>496</v>
      </c>
      <c r="AU33" s="246" t="s">
        <v>496</v>
      </c>
      <c r="AV33" s="165" t="s">
        <v>485</v>
      </c>
      <c r="AW33" s="87">
        <f>+Tabla4[[#This Row],[Programación  meta
II trimestre ]]</f>
        <v>1</v>
      </c>
      <c r="AX33" s="86">
        <f>+Tabla4[[#This Row],[Avance cuantitativo
II trimestre]]</f>
        <v>1</v>
      </c>
      <c r="AY33" s="86">
        <f t="shared" si="2"/>
        <v>1</v>
      </c>
      <c r="AZ33" s="89" t="s">
        <v>503</v>
      </c>
    </row>
    <row r="34" spans="1:81" s="30" customFormat="1" hidden="1" x14ac:dyDescent="0.2">
      <c r="B34" s="67" t="s">
        <v>320</v>
      </c>
      <c r="C34" s="46" t="s">
        <v>48</v>
      </c>
      <c r="D34" s="44" t="s">
        <v>184</v>
      </c>
      <c r="E34" s="44" t="s">
        <v>102</v>
      </c>
      <c r="F34" s="44" t="s">
        <v>338</v>
      </c>
      <c r="G34" s="44" t="s">
        <v>186</v>
      </c>
      <c r="H34" s="44" t="s">
        <v>69</v>
      </c>
      <c r="I34" s="44" t="s">
        <v>25</v>
      </c>
      <c r="J34" s="44" t="s">
        <v>128</v>
      </c>
      <c r="K34" s="44" t="s">
        <v>402</v>
      </c>
      <c r="L34" s="44" t="s">
        <v>257</v>
      </c>
      <c r="M34" s="44" t="s">
        <v>233</v>
      </c>
      <c r="N34" s="47">
        <v>20</v>
      </c>
      <c r="O34" s="44" t="s">
        <v>637</v>
      </c>
      <c r="P34" s="48">
        <v>1</v>
      </c>
      <c r="Q34" s="49" t="e">
        <f>(+Y34+AE34+AK34+AQ34)/4</f>
        <v>#VALUE!</v>
      </c>
      <c r="R34" s="45" t="s">
        <v>30</v>
      </c>
      <c r="S34" s="44" t="s">
        <v>638</v>
      </c>
      <c r="T34" s="44" t="s">
        <v>581</v>
      </c>
      <c r="U34" s="212">
        <v>44562</v>
      </c>
      <c r="V34" s="212">
        <v>44592</v>
      </c>
      <c r="W34" s="44" t="s">
        <v>269</v>
      </c>
      <c r="X34" s="44" t="s">
        <v>582</v>
      </c>
      <c r="Y34" s="48">
        <v>1</v>
      </c>
      <c r="Z34" s="48">
        <v>0.56000000000000005</v>
      </c>
      <c r="AA34" s="58">
        <f>(Z34/Y34)</f>
        <v>0.56000000000000005</v>
      </c>
      <c r="AB34" s="60" t="s">
        <v>583</v>
      </c>
      <c r="AC34" s="61" t="s">
        <v>623</v>
      </c>
      <c r="AD34" s="44" t="s">
        <v>582</v>
      </c>
      <c r="AE34" s="48">
        <v>1</v>
      </c>
      <c r="AF34" s="49">
        <v>0.6</v>
      </c>
      <c r="AG34" s="49">
        <f t="shared" si="1"/>
        <v>0.6</v>
      </c>
      <c r="AH34" s="76" t="s">
        <v>584</v>
      </c>
      <c r="AI34" s="46" t="s">
        <v>511</v>
      </c>
      <c r="AJ34" s="181" t="s">
        <v>496</v>
      </c>
      <c r="AK34" s="244" t="s">
        <v>496</v>
      </c>
      <c r="AL34" s="244" t="s">
        <v>496</v>
      </c>
      <c r="AM34" s="244" t="s">
        <v>496</v>
      </c>
      <c r="AN34" s="181" t="s">
        <v>496</v>
      </c>
      <c r="AO34" s="181" t="s">
        <v>496</v>
      </c>
      <c r="AP34" s="44" t="s">
        <v>585</v>
      </c>
      <c r="AQ34" s="48" t="s">
        <v>496</v>
      </c>
      <c r="AR34" s="48" t="s">
        <v>496</v>
      </c>
      <c r="AS34" s="48" t="s">
        <v>496</v>
      </c>
      <c r="AT34" s="139" t="s">
        <v>496</v>
      </c>
      <c r="AU34" s="246" t="s">
        <v>496</v>
      </c>
      <c r="AV34" s="165" t="s">
        <v>485</v>
      </c>
      <c r="AW34" s="85">
        <v>0</v>
      </c>
      <c r="AX34" s="84">
        <v>0</v>
      </c>
      <c r="AY34" s="86">
        <v>0</v>
      </c>
      <c r="AZ34" s="88" t="s">
        <v>585</v>
      </c>
    </row>
    <row r="35" spans="1:81" s="180" customFormat="1" x14ac:dyDescent="0.2">
      <c r="A35" s="165"/>
      <c r="B35" s="142" t="s">
        <v>320</v>
      </c>
      <c r="C35" s="170" t="s">
        <v>63</v>
      </c>
      <c r="D35" s="104" t="s">
        <v>639</v>
      </c>
      <c r="E35" s="104" t="s">
        <v>20</v>
      </c>
      <c r="F35" s="104" t="s">
        <v>336</v>
      </c>
      <c r="G35" s="104" t="s">
        <v>93</v>
      </c>
      <c r="H35" s="104" t="s">
        <v>82</v>
      </c>
      <c r="I35" s="104" t="s">
        <v>55</v>
      </c>
      <c r="J35" s="104" t="s">
        <v>640</v>
      </c>
      <c r="K35" s="104" t="s">
        <v>641</v>
      </c>
      <c r="L35" s="104" t="s">
        <v>257</v>
      </c>
      <c r="M35" s="170" t="s">
        <v>225</v>
      </c>
      <c r="N35" s="47">
        <v>21</v>
      </c>
      <c r="O35" s="104" t="s">
        <v>642</v>
      </c>
      <c r="P35" s="51">
        <v>2</v>
      </c>
      <c r="Q35" s="199">
        <f>(+AE35+AQ35)</f>
        <v>2</v>
      </c>
      <c r="R35" s="53" t="s">
        <v>45</v>
      </c>
      <c r="S35" s="104" t="s">
        <v>643</v>
      </c>
      <c r="T35" s="104" t="s">
        <v>644</v>
      </c>
      <c r="U35" s="215">
        <v>44562</v>
      </c>
      <c r="V35" s="215" t="s">
        <v>495</v>
      </c>
      <c r="W35" s="104" t="s">
        <v>253</v>
      </c>
      <c r="X35" s="71" t="s">
        <v>496</v>
      </c>
      <c r="Y35" s="45" t="s">
        <v>496</v>
      </c>
      <c r="Z35" s="45" t="s">
        <v>496</v>
      </c>
      <c r="AA35" s="45" t="s">
        <v>496</v>
      </c>
      <c r="AB35" s="71" t="s">
        <v>496</v>
      </c>
      <c r="AC35" s="71" t="s">
        <v>496</v>
      </c>
      <c r="AD35" s="104" t="s">
        <v>645</v>
      </c>
      <c r="AE35" s="47">
        <v>1</v>
      </c>
      <c r="AF35" s="47">
        <v>1</v>
      </c>
      <c r="AG35" s="49">
        <f t="shared" si="1"/>
        <v>1</v>
      </c>
      <c r="AH35" s="104" t="s">
        <v>646</v>
      </c>
      <c r="AI35" s="104" t="s">
        <v>544</v>
      </c>
      <c r="AJ35" s="104" t="s">
        <v>496</v>
      </c>
      <c r="AK35" s="45" t="s">
        <v>496</v>
      </c>
      <c r="AL35" s="45" t="s">
        <v>496</v>
      </c>
      <c r="AM35" s="45" t="s">
        <v>496</v>
      </c>
      <c r="AN35" s="71" t="s">
        <v>496</v>
      </c>
      <c r="AO35" s="170" t="s">
        <v>496</v>
      </c>
      <c r="AP35" s="104" t="s">
        <v>645</v>
      </c>
      <c r="AQ35" s="103">
        <v>1</v>
      </c>
      <c r="AR35" s="37">
        <v>1</v>
      </c>
      <c r="AS35" s="159">
        <f>(+Tabla4[[#This Row],[Programación  meta
IV trimestre ]]/AR35)</f>
        <v>1</v>
      </c>
      <c r="AT35" s="119" t="s">
        <v>647</v>
      </c>
      <c r="AU35" s="28" t="s">
        <v>502</v>
      </c>
      <c r="AV35" s="165" t="s">
        <v>485</v>
      </c>
      <c r="AW35" s="85">
        <f>+Tabla4[[#This Row],[Programación  meta
II trimestre ]]+Tabla4[[#This Row],[Programación  meta
IV trimestre ]]</f>
        <v>2</v>
      </c>
      <c r="AX35" s="84">
        <f>+Tabla4[[#This Row],[Avance cuantitativo
II trimestre]]+AR35</f>
        <v>2</v>
      </c>
      <c r="AY35" s="86">
        <f t="shared" si="2"/>
        <v>1</v>
      </c>
      <c r="AZ35" s="89" t="s">
        <v>503</v>
      </c>
      <c r="BA35" s="165"/>
      <c r="BB35" s="165"/>
      <c r="BC35" s="165"/>
      <c r="BD35" s="165"/>
      <c r="BE35" s="165"/>
      <c r="BF35" s="165"/>
      <c r="BG35" s="165"/>
      <c r="BH35" s="165"/>
      <c r="BI35" s="165"/>
      <c r="BJ35" s="165"/>
      <c r="BK35" s="165"/>
      <c r="BL35" s="165"/>
      <c r="BM35" s="165"/>
      <c r="BN35" s="165"/>
      <c r="BO35" s="165"/>
      <c r="BP35" s="165"/>
      <c r="BQ35" s="165"/>
      <c r="BR35" s="165"/>
      <c r="BS35" s="165"/>
      <c r="BT35" s="165"/>
      <c r="BU35" s="165"/>
      <c r="BV35" s="165"/>
      <c r="BW35" s="165"/>
      <c r="BX35" s="165"/>
      <c r="BY35" s="165"/>
      <c r="BZ35" s="165"/>
      <c r="CA35" s="165"/>
      <c r="CB35" s="165"/>
      <c r="CC35" s="165"/>
    </row>
    <row r="36" spans="1:81" s="180" customFormat="1" x14ac:dyDescent="0.2">
      <c r="A36" s="165"/>
      <c r="B36" s="142" t="s">
        <v>320</v>
      </c>
      <c r="C36" s="170" t="s">
        <v>63</v>
      </c>
      <c r="D36" s="104" t="s">
        <v>639</v>
      </c>
      <c r="E36" s="104" t="s">
        <v>20</v>
      </c>
      <c r="F36" s="104" t="s">
        <v>336</v>
      </c>
      <c r="G36" s="104" t="s">
        <v>93</v>
      </c>
      <c r="H36" s="104" t="s">
        <v>82</v>
      </c>
      <c r="I36" s="104" t="s">
        <v>55</v>
      </c>
      <c r="J36" s="104" t="s">
        <v>640</v>
      </c>
      <c r="K36" s="104" t="s">
        <v>641</v>
      </c>
      <c r="L36" s="104" t="s">
        <v>257</v>
      </c>
      <c r="M36" s="170" t="s">
        <v>225</v>
      </c>
      <c r="N36" s="47">
        <v>22</v>
      </c>
      <c r="O36" s="104" t="s">
        <v>648</v>
      </c>
      <c r="P36" s="51">
        <v>2</v>
      </c>
      <c r="Q36" s="199">
        <f>(+AE36+AQ36)</f>
        <v>2</v>
      </c>
      <c r="R36" s="53" t="s">
        <v>45</v>
      </c>
      <c r="S36" s="104" t="s">
        <v>649</v>
      </c>
      <c r="T36" s="104" t="s">
        <v>650</v>
      </c>
      <c r="U36" s="215">
        <v>44562</v>
      </c>
      <c r="V36" s="215" t="s">
        <v>495</v>
      </c>
      <c r="W36" s="104" t="s">
        <v>253</v>
      </c>
      <c r="X36" s="71" t="s">
        <v>496</v>
      </c>
      <c r="Y36" s="45" t="s">
        <v>496</v>
      </c>
      <c r="Z36" s="45" t="s">
        <v>496</v>
      </c>
      <c r="AA36" s="45" t="s">
        <v>496</v>
      </c>
      <c r="AB36" s="71" t="s">
        <v>496</v>
      </c>
      <c r="AC36" s="71" t="s">
        <v>496</v>
      </c>
      <c r="AD36" s="104" t="s">
        <v>651</v>
      </c>
      <c r="AE36" s="47">
        <v>1</v>
      </c>
      <c r="AF36" s="47">
        <v>1</v>
      </c>
      <c r="AG36" s="49">
        <f t="shared" si="1"/>
        <v>1</v>
      </c>
      <c r="AH36" s="104" t="s">
        <v>652</v>
      </c>
      <c r="AI36" s="104" t="s">
        <v>544</v>
      </c>
      <c r="AJ36" s="104" t="s">
        <v>496</v>
      </c>
      <c r="AK36" s="45" t="s">
        <v>496</v>
      </c>
      <c r="AL36" s="45" t="s">
        <v>496</v>
      </c>
      <c r="AM36" s="45" t="s">
        <v>496</v>
      </c>
      <c r="AN36" s="71" t="s">
        <v>496</v>
      </c>
      <c r="AO36" s="170" t="s">
        <v>496</v>
      </c>
      <c r="AP36" s="104" t="s">
        <v>653</v>
      </c>
      <c r="AQ36" s="103">
        <v>1</v>
      </c>
      <c r="AR36" s="37">
        <v>1</v>
      </c>
      <c r="AS36" s="159">
        <f>(+Tabla4[[#This Row],[Programación  meta
IV trimestre ]]/AR36)</f>
        <v>1</v>
      </c>
      <c r="AT36" s="119" t="s">
        <v>654</v>
      </c>
      <c r="AU36" s="28" t="s">
        <v>502</v>
      </c>
      <c r="AV36" s="165" t="s">
        <v>485</v>
      </c>
      <c r="AW36" s="85">
        <f>+Tabla4[[#This Row],[Programación  meta
II trimestre ]]+Tabla4[[#This Row],[Programación  meta
IV trimestre ]]</f>
        <v>2</v>
      </c>
      <c r="AX36" s="84">
        <f>+Tabla4[[#This Row],[Avance cuantitativo
II trimestre]]+AR36</f>
        <v>2</v>
      </c>
      <c r="AY36" s="86">
        <f t="shared" si="2"/>
        <v>1</v>
      </c>
      <c r="AZ36" s="89" t="s">
        <v>503</v>
      </c>
      <c r="BA36" s="165"/>
      <c r="BB36" s="165"/>
      <c r="BC36" s="165"/>
      <c r="BD36" s="165"/>
      <c r="BE36" s="165"/>
      <c r="BF36" s="165"/>
      <c r="BG36" s="165"/>
      <c r="BH36" s="165"/>
      <c r="BI36" s="165"/>
      <c r="BJ36" s="165"/>
      <c r="BK36" s="165"/>
      <c r="BL36" s="165"/>
      <c r="BM36" s="165"/>
      <c r="BN36" s="165"/>
      <c r="BO36" s="165"/>
      <c r="BP36" s="165"/>
      <c r="BQ36" s="165"/>
      <c r="BR36" s="165"/>
      <c r="BS36" s="165"/>
      <c r="BT36" s="165"/>
      <c r="BU36" s="165"/>
      <c r="BV36" s="165"/>
      <c r="BW36" s="165"/>
      <c r="BX36" s="165"/>
      <c r="BY36" s="165"/>
      <c r="BZ36" s="165"/>
      <c r="CA36" s="165"/>
      <c r="CB36" s="165"/>
      <c r="CC36" s="165"/>
    </row>
    <row r="37" spans="1:81" s="180" customFormat="1" x14ac:dyDescent="0.2">
      <c r="A37" s="165"/>
      <c r="B37" s="142" t="s">
        <v>320</v>
      </c>
      <c r="C37" s="170" t="s">
        <v>63</v>
      </c>
      <c r="D37" s="104" t="s">
        <v>639</v>
      </c>
      <c r="E37" s="104" t="s">
        <v>20</v>
      </c>
      <c r="F37" s="104" t="s">
        <v>336</v>
      </c>
      <c r="G37" s="104" t="s">
        <v>93</v>
      </c>
      <c r="H37" s="104" t="s">
        <v>82</v>
      </c>
      <c r="I37" s="104" t="s">
        <v>55</v>
      </c>
      <c r="J37" s="104" t="s">
        <v>640</v>
      </c>
      <c r="K37" s="104" t="s">
        <v>641</v>
      </c>
      <c r="L37" s="104" t="s">
        <v>257</v>
      </c>
      <c r="M37" s="170" t="s">
        <v>225</v>
      </c>
      <c r="N37" s="47">
        <v>23</v>
      </c>
      <c r="O37" s="104" t="s">
        <v>655</v>
      </c>
      <c r="P37" s="51">
        <v>2</v>
      </c>
      <c r="Q37" s="199">
        <f>(+AE37+AQ37)</f>
        <v>2</v>
      </c>
      <c r="R37" s="53" t="s">
        <v>45</v>
      </c>
      <c r="S37" s="104" t="s">
        <v>656</v>
      </c>
      <c r="T37" s="104" t="s">
        <v>657</v>
      </c>
      <c r="U37" s="215">
        <v>44652</v>
      </c>
      <c r="V37" s="215" t="s">
        <v>495</v>
      </c>
      <c r="W37" s="104" t="s">
        <v>253</v>
      </c>
      <c r="X37" s="71" t="s">
        <v>496</v>
      </c>
      <c r="Y37" s="45" t="s">
        <v>496</v>
      </c>
      <c r="Z37" s="45" t="s">
        <v>496</v>
      </c>
      <c r="AA37" s="45" t="s">
        <v>496</v>
      </c>
      <c r="AB37" s="71" t="s">
        <v>496</v>
      </c>
      <c r="AC37" s="71" t="s">
        <v>496</v>
      </c>
      <c r="AD37" s="104" t="s">
        <v>658</v>
      </c>
      <c r="AE37" s="47">
        <v>1</v>
      </c>
      <c r="AF37" s="47">
        <v>1</v>
      </c>
      <c r="AG37" s="49">
        <f t="shared" si="1"/>
        <v>1</v>
      </c>
      <c r="AH37" s="104" t="s">
        <v>659</v>
      </c>
      <c r="AI37" s="104" t="s">
        <v>544</v>
      </c>
      <c r="AJ37" s="104" t="s">
        <v>496</v>
      </c>
      <c r="AK37" s="45" t="s">
        <v>496</v>
      </c>
      <c r="AL37" s="45" t="s">
        <v>496</v>
      </c>
      <c r="AM37" s="45" t="s">
        <v>496</v>
      </c>
      <c r="AN37" s="71" t="s">
        <v>496</v>
      </c>
      <c r="AO37" s="170" t="s">
        <v>496</v>
      </c>
      <c r="AP37" s="104" t="s">
        <v>660</v>
      </c>
      <c r="AQ37" s="103">
        <v>1</v>
      </c>
      <c r="AR37" s="37">
        <v>1</v>
      </c>
      <c r="AS37" s="159">
        <f>(+Tabla4[[#This Row],[Programación  meta
IV trimestre ]]/AR37)</f>
        <v>1</v>
      </c>
      <c r="AT37" s="119" t="s">
        <v>661</v>
      </c>
      <c r="AU37" s="28" t="s">
        <v>502</v>
      </c>
      <c r="AV37" s="165" t="s">
        <v>485</v>
      </c>
      <c r="AW37" s="85">
        <f>+Tabla4[[#This Row],[Programación  meta
II trimestre ]]+Tabla4[[#This Row],[Programación  meta
IV trimestre ]]</f>
        <v>2</v>
      </c>
      <c r="AX37" s="84">
        <f>+Tabla4[[#This Row],[Avance cuantitativo
II trimestre]]+AR37</f>
        <v>2</v>
      </c>
      <c r="AY37" s="86">
        <f t="shared" si="2"/>
        <v>1</v>
      </c>
      <c r="AZ37" s="89" t="s">
        <v>503</v>
      </c>
      <c r="BA37" s="165"/>
      <c r="BB37" s="165"/>
      <c r="BC37" s="165"/>
      <c r="BD37" s="165"/>
      <c r="BE37" s="165"/>
      <c r="BF37" s="165"/>
      <c r="BG37" s="165"/>
      <c r="BH37" s="165"/>
      <c r="BI37" s="165"/>
      <c r="BJ37" s="165"/>
      <c r="BK37" s="165"/>
      <c r="BL37" s="165"/>
      <c r="BM37" s="165"/>
      <c r="BN37" s="165"/>
      <c r="BO37" s="165"/>
      <c r="BP37" s="165"/>
      <c r="BQ37" s="165"/>
      <c r="BR37" s="165"/>
      <c r="BS37" s="165"/>
      <c r="BT37" s="165"/>
      <c r="BU37" s="165"/>
      <c r="BV37" s="165"/>
      <c r="BW37" s="165"/>
      <c r="BX37" s="165"/>
      <c r="BY37" s="165"/>
      <c r="BZ37" s="165"/>
      <c r="CA37" s="165"/>
      <c r="CB37" s="165"/>
      <c r="CC37" s="165"/>
    </row>
    <row r="38" spans="1:81" s="30" customFormat="1" x14ac:dyDescent="0.2">
      <c r="A38" s="32"/>
      <c r="B38" s="69" t="s">
        <v>248</v>
      </c>
      <c r="C38" s="54" t="s">
        <v>48</v>
      </c>
      <c r="D38" s="54" t="s">
        <v>639</v>
      </c>
      <c r="E38" s="54" t="s">
        <v>20</v>
      </c>
      <c r="F38" s="54" t="s">
        <v>283</v>
      </c>
      <c r="G38" s="54" t="s">
        <v>93</v>
      </c>
      <c r="H38" s="54" t="s">
        <v>82</v>
      </c>
      <c r="I38" s="54" t="s">
        <v>40</v>
      </c>
      <c r="J38" s="54" t="s">
        <v>662</v>
      </c>
      <c r="K38" s="54" t="s">
        <v>663</v>
      </c>
      <c r="L38" s="54" t="s">
        <v>257</v>
      </c>
      <c r="M38" s="54" t="s">
        <v>44</v>
      </c>
      <c r="N38" s="47">
        <v>24</v>
      </c>
      <c r="O38" s="50" t="s">
        <v>664</v>
      </c>
      <c r="P38" s="53">
        <v>6</v>
      </c>
      <c r="Q38" s="47" t="e">
        <f>+Y38+AE38+AK38+AQ38</f>
        <v>#VALUE!</v>
      </c>
      <c r="R38" s="53" t="s">
        <v>45</v>
      </c>
      <c r="S38" s="50" t="s">
        <v>665</v>
      </c>
      <c r="T38" s="50" t="s">
        <v>666</v>
      </c>
      <c r="U38" s="215">
        <v>44571</v>
      </c>
      <c r="V38" s="53" t="s">
        <v>495</v>
      </c>
      <c r="W38" s="50" t="s">
        <v>217</v>
      </c>
      <c r="X38" s="71" t="s">
        <v>496</v>
      </c>
      <c r="Y38" s="45" t="s">
        <v>496</v>
      </c>
      <c r="Z38" s="45" t="s">
        <v>496</v>
      </c>
      <c r="AA38" s="45" t="s">
        <v>496</v>
      </c>
      <c r="AB38" s="71" t="s">
        <v>496</v>
      </c>
      <c r="AC38" s="71" t="s">
        <v>496</v>
      </c>
      <c r="AD38" s="104" t="s">
        <v>496</v>
      </c>
      <c r="AE38" s="53" t="s">
        <v>496</v>
      </c>
      <c r="AF38" s="53" t="s">
        <v>496</v>
      </c>
      <c r="AG38" s="53" t="s">
        <v>496</v>
      </c>
      <c r="AH38" s="104" t="s">
        <v>496</v>
      </c>
      <c r="AI38" s="170" t="s">
        <v>496</v>
      </c>
      <c r="AJ38" s="50" t="s">
        <v>667</v>
      </c>
      <c r="AK38" s="65">
        <v>6</v>
      </c>
      <c r="AL38" s="37">
        <v>6</v>
      </c>
      <c r="AM38" s="101">
        <f>+(Tabla4[[#This Row],[Avance cuantitativo
III trimestre]]/Tabla4[[#This Row],[Programación  meta
III trimestre ]])*100%</f>
        <v>1</v>
      </c>
      <c r="AN38" s="99" t="s">
        <v>668</v>
      </c>
      <c r="AO38" s="26" t="s">
        <v>511</v>
      </c>
      <c r="AP38" s="50" t="s">
        <v>496</v>
      </c>
      <c r="AQ38" s="48" t="s">
        <v>496</v>
      </c>
      <c r="AR38" s="48" t="s">
        <v>496</v>
      </c>
      <c r="AS38" s="48" t="s">
        <v>496</v>
      </c>
      <c r="AT38" s="139" t="s">
        <v>496</v>
      </c>
      <c r="AU38" s="246" t="s">
        <v>496</v>
      </c>
      <c r="AV38" s="165" t="s">
        <v>485</v>
      </c>
      <c r="AW38" s="85">
        <f>+Tabla4[[#This Row],[Programación  meta
III trimestre ]]</f>
        <v>6</v>
      </c>
      <c r="AX38" s="84">
        <f>Tabla4[[#This Row],[Avance cuantitativo
III trimestre]]</f>
        <v>6</v>
      </c>
      <c r="AY38" s="86">
        <f t="shared" si="2"/>
        <v>1</v>
      </c>
      <c r="AZ38" s="89" t="s">
        <v>503</v>
      </c>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row>
    <row r="39" spans="1:81" s="180" customFormat="1" x14ac:dyDescent="0.2">
      <c r="A39" s="141"/>
      <c r="B39" s="174" t="s">
        <v>248</v>
      </c>
      <c r="C39" s="170" t="s">
        <v>48</v>
      </c>
      <c r="D39" s="170" t="s">
        <v>639</v>
      </c>
      <c r="E39" s="170" t="s">
        <v>20</v>
      </c>
      <c r="F39" s="170" t="s">
        <v>283</v>
      </c>
      <c r="G39" s="170" t="s">
        <v>93</v>
      </c>
      <c r="H39" s="170" t="s">
        <v>82</v>
      </c>
      <c r="I39" s="170" t="s">
        <v>40</v>
      </c>
      <c r="J39" s="170" t="s">
        <v>662</v>
      </c>
      <c r="K39" s="170" t="s">
        <v>669</v>
      </c>
      <c r="L39" s="170" t="s">
        <v>257</v>
      </c>
      <c r="M39" s="170" t="s">
        <v>191</v>
      </c>
      <c r="N39" s="47">
        <v>25</v>
      </c>
      <c r="O39" s="170" t="s">
        <v>670</v>
      </c>
      <c r="P39" s="47">
        <v>5</v>
      </c>
      <c r="Q39" s="47">
        <f>+Y39+AE39+AK39+AQ39</f>
        <v>5</v>
      </c>
      <c r="R39" s="47" t="s">
        <v>45</v>
      </c>
      <c r="S39" s="170" t="s">
        <v>671</v>
      </c>
      <c r="T39" s="170" t="s">
        <v>672</v>
      </c>
      <c r="U39" s="213">
        <v>44562</v>
      </c>
      <c r="V39" s="47" t="s">
        <v>495</v>
      </c>
      <c r="W39" s="170" t="s">
        <v>217</v>
      </c>
      <c r="X39" s="170" t="s">
        <v>673</v>
      </c>
      <c r="Y39" s="47">
        <v>2</v>
      </c>
      <c r="Z39" s="47">
        <v>2</v>
      </c>
      <c r="AA39" s="58">
        <f>(Z39/Y39)</f>
        <v>1</v>
      </c>
      <c r="AB39" s="175" t="s">
        <v>674</v>
      </c>
      <c r="AC39" s="175" t="s">
        <v>499</v>
      </c>
      <c r="AD39" s="170" t="s">
        <v>675</v>
      </c>
      <c r="AE39" s="47">
        <v>1</v>
      </c>
      <c r="AF39" s="47">
        <v>1</v>
      </c>
      <c r="AG39" s="49">
        <f t="shared" si="1"/>
        <v>1</v>
      </c>
      <c r="AH39" s="177" t="s">
        <v>676</v>
      </c>
      <c r="AI39" s="170" t="s">
        <v>511</v>
      </c>
      <c r="AJ39" s="170" t="s">
        <v>677</v>
      </c>
      <c r="AK39" s="47">
        <v>1</v>
      </c>
      <c r="AL39" s="45">
        <v>1</v>
      </c>
      <c r="AM39" s="25">
        <f>+(Tabla4[[#This Row],[Avance cuantitativo
III trimestre]]/Tabla4[[#This Row],[Programación  meta
III trimestre ]])*100%</f>
        <v>1</v>
      </c>
      <c r="AN39" s="110" t="s">
        <v>678</v>
      </c>
      <c r="AO39" s="177" t="s">
        <v>679</v>
      </c>
      <c r="AP39" s="71" t="s">
        <v>680</v>
      </c>
      <c r="AQ39" s="103">
        <v>1</v>
      </c>
      <c r="AR39" s="37">
        <v>1</v>
      </c>
      <c r="AS39" s="159">
        <f>(+Tabla4[[#This Row],[Programación  meta
IV trimestre ]]/AR39)</f>
        <v>1</v>
      </c>
      <c r="AT39" s="248" t="s">
        <v>681</v>
      </c>
      <c r="AU39" s="28" t="s">
        <v>502</v>
      </c>
      <c r="AV39" s="165" t="s">
        <v>485</v>
      </c>
      <c r="AW39" s="85">
        <f>+Tabla4[[#This Row],[Programación  meta
I trimestre ]]+Tabla4[[#This Row],[Programación  meta
II trimestre ]]+Tabla4[[#This Row],[Programación  meta
III trimestre ]]+Tabla4[[#This Row],[Programación  meta
IV trimestre ]]</f>
        <v>5</v>
      </c>
      <c r="AX39" s="84">
        <f>+Tabla4[[#This Row],[Avance cuantitativo
I trimestre]]+Tabla4[[#This Row],[Avance cuantitativo
II trimestre]]+Tabla4[[#This Row],[Avance cuantitativo
III trimestre]]+AR39</f>
        <v>5</v>
      </c>
      <c r="AY39" s="86">
        <f t="shared" si="2"/>
        <v>1</v>
      </c>
      <c r="AZ39" s="89" t="s">
        <v>503</v>
      </c>
      <c r="BA39" s="141"/>
      <c r="BB39" s="141"/>
      <c r="BC39" s="141"/>
      <c r="BD39" s="141"/>
      <c r="BE39" s="141"/>
      <c r="BF39" s="141"/>
      <c r="BG39" s="141"/>
      <c r="BH39" s="141"/>
      <c r="BI39" s="141"/>
      <c r="BJ39" s="141"/>
      <c r="BK39" s="141"/>
      <c r="BL39" s="141"/>
      <c r="BM39" s="141"/>
      <c r="BN39" s="141"/>
      <c r="BO39" s="141"/>
      <c r="BP39" s="141"/>
      <c r="BQ39" s="141"/>
      <c r="BR39" s="141"/>
      <c r="BS39" s="141"/>
      <c r="BT39" s="141"/>
      <c r="BU39" s="141"/>
      <c r="BV39" s="141"/>
      <c r="BW39" s="141"/>
      <c r="BX39" s="141"/>
      <c r="BY39" s="141"/>
      <c r="BZ39" s="141"/>
      <c r="CA39" s="141"/>
      <c r="CB39" s="141"/>
      <c r="CC39" s="141"/>
    </row>
    <row r="40" spans="1:81" s="180" customFormat="1" x14ac:dyDescent="0.2">
      <c r="A40" s="141"/>
      <c r="B40" s="174" t="s">
        <v>682</v>
      </c>
      <c r="C40" s="170" t="s">
        <v>63</v>
      </c>
      <c r="D40" s="170" t="s">
        <v>90</v>
      </c>
      <c r="E40" s="170" t="s">
        <v>20</v>
      </c>
      <c r="F40" s="170" t="s">
        <v>683</v>
      </c>
      <c r="G40" s="170" t="s">
        <v>93</v>
      </c>
      <c r="H40" s="170" t="s">
        <v>82</v>
      </c>
      <c r="I40" s="170" t="s">
        <v>40</v>
      </c>
      <c r="J40" s="170" t="s">
        <v>662</v>
      </c>
      <c r="K40" s="170" t="s">
        <v>669</v>
      </c>
      <c r="L40" s="170" t="s">
        <v>257</v>
      </c>
      <c r="M40" s="170" t="s">
        <v>29</v>
      </c>
      <c r="N40" s="47">
        <v>26</v>
      </c>
      <c r="O40" s="71" t="s">
        <v>684</v>
      </c>
      <c r="P40" s="45">
        <v>14</v>
      </c>
      <c r="Q40" s="47">
        <f>+Y40+AE40+AK40+AQ40</f>
        <v>14</v>
      </c>
      <c r="R40" s="45" t="s">
        <v>45</v>
      </c>
      <c r="S40" s="71" t="s">
        <v>685</v>
      </c>
      <c r="T40" s="71" t="s">
        <v>686</v>
      </c>
      <c r="U40" s="212">
        <v>44562</v>
      </c>
      <c r="V40" s="45" t="s">
        <v>495</v>
      </c>
      <c r="W40" s="71" t="s">
        <v>217</v>
      </c>
      <c r="X40" s="170" t="s">
        <v>687</v>
      </c>
      <c r="Y40" s="47">
        <v>3</v>
      </c>
      <c r="Z40" s="47">
        <v>3</v>
      </c>
      <c r="AA40" s="58">
        <f>(Z40/Y40)</f>
        <v>1</v>
      </c>
      <c r="AB40" s="175" t="s">
        <v>688</v>
      </c>
      <c r="AC40" s="175" t="s">
        <v>689</v>
      </c>
      <c r="AD40" s="71" t="s">
        <v>690</v>
      </c>
      <c r="AE40" s="45">
        <v>4</v>
      </c>
      <c r="AF40" s="47">
        <v>4</v>
      </c>
      <c r="AG40" s="49">
        <f t="shared" si="1"/>
        <v>1</v>
      </c>
      <c r="AH40" s="177" t="s">
        <v>691</v>
      </c>
      <c r="AI40" s="170" t="s">
        <v>511</v>
      </c>
      <c r="AJ40" s="71" t="s">
        <v>692</v>
      </c>
      <c r="AK40" s="45">
        <v>3</v>
      </c>
      <c r="AL40" s="45">
        <v>3</v>
      </c>
      <c r="AM40" s="25">
        <f>+(Tabla4[[#This Row],[Avance cuantitativo
III trimestre]]/Tabla4[[#This Row],[Programación  meta
III trimestre ]])*100%</f>
        <v>1</v>
      </c>
      <c r="AN40" s="110" t="s">
        <v>693</v>
      </c>
      <c r="AO40" s="177" t="s">
        <v>694</v>
      </c>
      <c r="AP40" s="71" t="s">
        <v>695</v>
      </c>
      <c r="AQ40" s="63">
        <v>4</v>
      </c>
      <c r="AR40" s="37">
        <v>4</v>
      </c>
      <c r="AS40" s="159">
        <f>(+Tabla4[[#This Row],[Programación  meta
IV trimestre ]]/AR40)</f>
        <v>1</v>
      </c>
      <c r="AT40" s="248" t="s">
        <v>696</v>
      </c>
      <c r="AU40" s="28" t="s">
        <v>502</v>
      </c>
      <c r="AV40" s="165" t="s">
        <v>485</v>
      </c>
      <c r="AW40" s="85">
        <f>+Tabla4[[#This Row],[Programación  meta
I trimestre ]]+Tabla4[[#This Row],[Programación  meta
II trimestre ]]+Tabla4[[#This Row],[Programación  meta
III trimestre ]]+Tabla4[[#This Row],[Programación  meta
IV trimestre ]]</f>
        <v>14</v>
      </c>
      <c r="AX40" s="84">
        <f>+Tabla4[[#This Row],[Avance cuantitativo
I trimestre]]+Tabla4[[#This Row],[Avance cuantitativo
II trimestre]]+Tabla4[[#This Row],[Avance cuantitativo
III trimestre]]+AR40</f>
        <v>14</v>
      </c>
      <c r="AY40" s="86">
        <f t="shared" si="2"/>
        <v>1</v>
      </c>
      <c r="AZ40" s="89" t="s">
        <v>503</v>
      </c>
      <c r="BA40" s="141"/>
      <c r="BB40" s="141"/>
      <c r="BC40" s="141"/>
      <c r="BD40" s="141"/>
      <c r="BE40" s="141"/>
      <c r="BF40" s="141"/>
      <c r="BG40" s="141"/>
      <c r="BH40" s="141"/>
      <c r="BI40" s="141"/>
      <c r="BJ40" s="141"/>
      <c r="BK40" s="141"/>
      <c r="BL40" s="141"/>
      <c r="BM40" s="141"/>
      <c r="BN40" s="141"/>
      <c r="BO40" s="141"/>
      <c r="BP40" s="141"/>
      <c r="BQ40" s="141"/>
      <c r="BR40" s="141"/>
      <c r="BS40" s="141"/>
      <c r="BT40" s="141"/>
      <c r="BU40" s="141"/>
      <c r="BV40" s="141"/>
      <c r="BW40" s="141"/>
      <c r="BX40" s="141"/>
      <c r="BY40" s="141"/>
      <c r="BZ40" s="141"/>
      <c r="CA40" s="141"/>
      <c r="CB40" s="141"/>
      <c r="CC40" s="141"/>
    </row>
    <row r="41" spans="1:81" s="180" customFormat="1" x14ac:dyDescent="0.2">
      <c r="A41" s="141"/>
      <c r="B41" s="174" t="s">
        <v>682</v>
      </c>
      <c r="C41" s="170" t="s">
        <v>63</v>
      </c>
      <c r="D41" s="170" t="s">
        <v>90</v>
      </c>
      <c r="E41" s="170" t="s">
        <v>20</v>
      </c>
      <c r="F41" s="170" t="s">
        <v>683</v>
      </c>
      <c r="G41" s="170" t="s">
        <v>93</v>
      </c>
      <c r="H41" s="170" t="s">
        <v>82</v>
      </c>
      <c r="I41" s="170" t="s">
        <v>40</v>
      </c>
      <c r="J41" s="170" t="s">
        <v>662</v>
      </c>
      <c r="K41" s="170" t="s">
        <v>697</v>
      </c>
      <c r="L41" s="170" t="s">
        <v>257</v>
      </c>
      <c r="M41" s="170" t="s">
        <v>233</v>
      </c>
      <c r="N41" s="47">
        <v>27</v>
      </c>
      <c r="O41" s="71" t="s">
        <v>698</v>
      </c>
      <c r="P41" s="45">
        <v>2</v>
      </c>
      <c r="Q41" s="47" t="e">
        <f>+Y41+AE41+AK41+AQ41</f>
        <v>#VALUE!</v>
      </c>
      <c r="R41" s="45" t="s">
        <v>45</v>
      </c>
      <c r="S41" s="71" t="s">
        <v>699</v>
      </c>
      <c r="T41" s="71" t="s">
        <v>700</v>
      </c>
      <c r="U41" s="212">
        <v>44562</v>
      </c>
      <c r="V41" s="45" t="s">
        <v>495</v>
      </c>
      <c r="W41" s="71" t="s">
        <v>217</v>
      </c>
      <c r="X41" s="71" t="s">
        <v>496</v>
      </c>
      <c r="Y41" s="45" t="s">
        <v>496</v>
      </c>
      <c r="Z41" s="45" t="s">
        <v>496</v>
      </c>
      <c r="AA41" s="45" t="s">
        <v>496</v>
      </c>
      <c r="AB41" s="71" t="s">
        <v>496</v>
      </c>
      <c r="AC41" s="71" t="s">
        <v>496</v>
      </c>
      <c r="AD41" s="71" t="s">
        <v>701</v>
      </c>
      <c r="AE41" s="45">
        <v>1</v>
      </c>
      <c r="AF41" s="47">
        <v>1</v>
      </c>
      <c r="AG41" s="49">
        <f t="shared" si="1"/>
        <v>1</v>
      </c>
      <c r="AH41" s="177" t="s">
        <v>702</v>
      </c>
      <c r="AI41" s="170" t="s">
        <v>511</v>
      </c>
      <c r="AJ41" s="71" t="s">
        <v>496</v>
      </c>
      <c r="AK41" s="45" t="s">
        <v>496</v>
      </c>
      <c r="AL41" s="45" t="s">
        <v>496</v>
      </c>
      <c r="AM41" s="45" t="s">
        <v>496</v>
      </c>
      <c r="AN41" s="71" t="s">
        <v>496</v>
      </c>
      <c r="AO41" s="170" t="s">
        <v>496</v>
      </c>
      <c r="AP41" s="71" t="s">
        <v>701</v>
      </c>
      <c r="AQ41" s="63">
        <v>1</v>
      </c>
      <c r="AR41" s="37">
        <v>1</v>
      </c>
      <c r="AS41" s="159">
        <f>(+Tabla4[[#This Row],[Programación  meta
IV trimestre ]]/AR41)</f>
        <v>1</v>
      </c>
      <c r="AT41" s="248" t="s">
        <v>703</v>
      </c>
      <c r="AU41" s="28" t="s">
        <v>502</v>
      </c>
      <c r="AV41" s="165" t="s">
        <v>485</v>
      </c>
      <c r="AW41" s="85">
        <f>+Tabla4[[#This Row],[Programación  meta
II trimestre ]]+Tabla4[[#This Row],[Programación  meta
IV trimestre ]]</f>
        <v>2</v>
      </c>
      <c r="AX41" s="84">
        <f>Tabla4[[#This Row],[Avance cuantitativo
II trimestre]]+AR41</f>
        <v>2</v>
      </c>
      <c r="AY41" s="86">
        <f t="shared" si="2"/>
        <v>1</v>
      </c>
      <c r="AZ41" s="89" t="s">
        <v>503</v>
      </c>
      <c r="BA41" s="141"/>
      <c r="BB41" s="141"/>
      <c r="BC41" s="141"/>
      <c r="BD41" s="141"/>
      <c r="BE41" s="141"/>
      <c r="BF41" s="141"/>
      <c r="BG41" s="141"/>
      <c r="BH41" s="141"/>
      <c r="BI41" s="141"/>
      <c r="BJ41" s="141"/>
      <c r="BK41" s="141"/>
      <c r="BL41" s="141"/>
      <c r="BM41" s="141"/>
      <c r="BN41" s="141"/>
      <c r="BO41" s="141"/>
      <c r="BP41" s="141"/>
      <c r="BQ41" s="141"/>
      <c r="BR41" s="141"/>
      <c r="BS41" s="141"/>
      <c r="BT41" s="141"/>
      <c r="BU41" s="141"/>
      <c r="BV41" s="141"/>
      <c r="BW41" s="141"/>
      <c r="BX41" s="141"/>
      <c r="BY41" s="141"/>
      <c r="BZ41" s="141"/>
      <c r="CA41" s="141"/>
      <c r="CB41" s="141"/>
      <c r="CC41" s="141"/>
    </row>
    <row r="42" spans="1:81" s="180" customFormat="1" x14ac:dyDescent="0.2">
      <c r="A42" s="141"/>
      <c r="B42" s="174" t="s">
        <v>682</v>
      </c>
      <c r="C42" s="170" t="s">
        <v>63</v>
      </c>
      <c r="D42" s="170" t="s">
        <v>90</v>
      </c>
      <c r="E42" s="170" t="s">
        <v>20</v>
      </c>
      <c r="F42" s="170" t="s">
        <v>683</v>
      </c>
      <c r="G42" s="170" t="s">
        <v>93</v>
      </c>
      <c r="H42" s="170" t="s">
        <v>82</v>
      </c>
      <c r="I42" s="170" t="s">
        <v>40</v>
      </c>
      <c r="J42" s="170" t="s">
        <v>662</v>
      </c>
      <c r="K42" s="170" t="s">
        <v>669</v>
      </c>
      <c r="L42" s="170" t="s">
        <v>257</v>
      </c>
      <c r="M42" s="170" t="s">
        <v>44</v>
      </c>
      <c r="N42" s="47">
        <v>28</v>
      </c>
      <c r="O42" s="170" t="s">
        <v>704</v>
      </c>
      <c r="P42" s="49">
        <v>1</v>
      </c>
      <c r="Q42" s="49">
        <f>(+Y42+AE42+AK42+AQ42)/4</f>
        <v>1</v>
      </c>
      <c r="R42" s="47" t="s">
        <v>30</v>
      </c>
      <c r="S42" s="170" t="s">
        <v>705</v>
      </c>
      <c r="T42" s="170" t="s">
        <v>706</v>
      </c>
      <c r="U42" s="213">
        <v>44562</v>
      </c>
      <c r="V42" s="47" t="s">
        <v>495</v>
      </c>
      <c r="W42" s="170" t="s">
        <v>217</v>
      </c>
      <c r="X42" s="170" t="s">
        <v>707</v>
      </c>
      <c r="Y42" s="49">
        <v>1</v>
      </c>
      <c r="Z42" s="49">
        <v>1</v>
      </c>
      <c r="AA42" s="58">
        <f>(Z42/Y42)</f>
        <v>1</v>
      </c>
      <c r="AB42" s="175" t="s">
        <v>708</v>
      </c>
      <c r="AC42" s="175" t="s">
        <v>511</v>
      </c>
      <c r="AD42" s="170" t="s">
        <v>707</v>
      </c>
      <c r="AE42" s="49">
        <v>1</v>
      </c>
      <c r="AF42" s="49">
        <v>1</v>
      </c>
      <c r="AG42" s="49">
        <f t="shared" si="1"/>
        <v>1</v>
      </c>
      <c r="AH42" s="177" t="s">
        <v>709</v>
      </c>
      <c r="AI42" s="170" t="s">
        <v>511</v>
      </c>
      <c r="AJ42" s="170" t="s">
        <v>707</v>
      </c>
      <c r="AK42" s="49">
        <v>1</v>
      </c>
      <c r="AL42" s="48">
        <v>1</v>
      </c>
      <c r="AM42" s="25">
        <f>+(Tabla4[[#This Row],[Avance cuantitativo
III trimestre]]/Tabla4[[#This Row],[Programación  meta
III trimestre ]])*100%</f>
        <v>1</v>
      </c>
      <c r="AN42" s="110" t="s">
        <v>710</v>
      </c>
      <c r="AO42" s="177" t="s">
        <v>711</v>
      </c>
      <c r="AP42" s="71" t="s">
        <v>707</v>
      </c>
      <c r="AQ42" s="64">
        <v>1</v>
      </c>
      <c r="AR42" s="92">
        <v>1</v>
      </c>
      <c r="AS42" s="159">
        <f>(+Tabla4[[#This Row],[Programación  meta
IV trimestre ]]/AR42)</f>
        <v>1</v>
      </c>
      <c r="AT42" s="248" t="s">
        <v>712</v>
      </c>
      <c r="AU42" s="28" t="s">
        <v>502</v>
      </c>
      <c r="AV42" s="165" t="s">
        <v>485</v>
      </c>
      <c r="AW42" s="87">
        <f>+(Tabla4[[#This Row],[Programación  meta
I trimestre ]]+Tabla4[[#This Row],[Programación  meta
II trimestre ]]+Tabla4[[#This Row],[Programación  meta
III trimestre ]]+Tabla4[[#This Row],[Programación  meta
IV trimestre ]])/4</f>
        <v>1</v>
      </c>
      <c r="AX42" s="86">
        <f>+(Tabla4[[#This Row],[Avance cuantitativo
I trimestre]]+Tabla4[[#This Row],[Avance cuantitativo
II trimestre]]+Tabla4[[#This Row],[Avance cuantitativo
III trimestre]]+AR42)/4</f>
        <v>1</v>
      </c>
      <c r="AY42" s="86">
        <f t="shared" si="2"/>
        <v>1</v>
      </c>
      <c r="AZ42" s="89" t="s">
        <v>503</v>
      </c>
      <c r="BA42" s="141"/>
      <c r="BB42" s="141"/>
      <c r="BC42" s="141"/>
      <c r="BD42" s="141"/>
      <c r="BE42" s="141"/>
      <c r="BF42" s="141"/>
      <c r="BG42" s="141"/>
      <c r="BH42" s="141"/>
      <c r="BI42" s="141"/>
      <c r="BJ42" s="141"/>
      <c r="BK42" s="141"/>
      <c r="BL42" s="141"/>
      <c r="BM42" s="141"/>
      <c r="BN42" s="141"/>
      <c r="BO42" s="141"/>
      <c r="BP42" s="141"/>
      <c r="BQ42" s="141"/>
      <c r="BR42" s="141"/>
      <c r="BS42" s="141"/>
      <c r="BT42" s="141"/>
      <c r="BU42" s="141"/>
      <c r="BV42" s="141"/>
      <c r="BW42" s="141"/>
      <c r="BX42" s="141"/>
      <c r="BY42" s="141"/>
      <c r="BZ42" s="141"/>
      <c r="CA42" s="141"/>
      <c r="CB42" s="141"/>
      <c r="CC42" s="141"/>
    </row>
    <row r="43" spans="1:81" s="180" customFormat="1" x14ac:dyDescent="0.2">
      <c r="A43" s="141"/>
      <c r="B43" s="182" t="s">
        <v>682</v>
      </c>
      <c r="C43" s="177" t="s">
        <v>63</v>
      </c>
      <c r="D43" s="177" t="s">
        <v>90</v>
      </c>
      <c r="E43" s="177" t="s">
        <v>20</v>
      </c>
      <c r="F43" s="177" t="s">
        <v>683</v>
      </c>
      <c r="G43" s="177" t="s">
        <v>93</v>
      </c>
      <c r="H43" s="177" t="s">
        <v>82</v>
      </c>
      <c r="I43" s="177" t="s">
        <v>40</v>
      </c>
      <c r="J43" s="177" t="s">
        <v>662</v>
      </c>
      <c r="K43" s="177" t="s">
        <v>669</v>
      </c>
      <c r="L43" s="177" t="s">
        <v>257</v>
      </c>
      <c r="M43" s="177" t="s">
        <v>44</v>
      </c>
      <c r="N43" s="47">
        <v>29</v>
      </c>
      <c r="O43" s="177" t="s">
        <v>713</v>
      </c>
      <c r="P43" s="51">
        <v>2</v>
      </c>
      <c r="Q43" s="47" t="e">
        <f t="shared" ref="Q43:Q48" si="3">+Y43+AE43+AK43+AQ43</f>
        <v>#VALUE!</v>
      </c>
      <c r="R43" s="51" t="s">
        <v>45</v>
      </c>
      <c r="S43" s="177" t="s">
        <v>714</v>
      </c>
      <c r="T43" s="177" t="s">
        <v>657</v>
      </c>
      <c r="U43" s="214">
        <v>44565</v>
      </c>
      <c r="V43" s="51" t="s">
        <v>495</v>
      </c>
      <c r="W43" s="177" t="s">
        <v>217</v>
      </c>
      <c r="X43" s="71" t="s">
        <v>496</v>
      </c>
      <c r="Y43" s="45" t="s">
        <v>496</v>
      </c>
      <c r="Z43" s="45" t="s">
        <v>496</v>
      </c>
      <c r="AA43" s="45" t="s">
        <v>496</v>
      </c>
      <c r="AB43" s="71" t="s">
        <v>496</v>
      </c>
      <c r="AC43" s="71" t="s">
        <v>496</v>
      </c>
      <c r="AD43" s="177" t="s">
        <v>715</v>
      </c>
      <c r="AE43" s="51">
        <v>1</v>
      </c>
      <c r="AF43" s="47">
        <v>1</v>
      </c>
      <c r="AG43" s="49">
        <f t="shared" si="1"/>
        <v>1</v>
      </c>
      <c r="AH43" s="177" t="s">
        <v>716</v>
      </c>
      <c r="AI43" s="170" t="s">
        <v>511</v>
      </c>
      <c r="AJ43" s="170" t="s">
        <v>496</v>
      </c>
      <c r="AK43" s="45" t="s">
        <v>496</v>
      </c>
      <c r="AL43" s="45" t="s">
        <v>496</v>
      </c>
      <c r="AM43" s="45" t="s">
        <v>496</v>
      </c>
      <c r="AN43" s="71" t="s">
        <v>496</v>
      </c>
      <c r="AO43" s="170" t="s">
        <v>496</v>
      </c>
      <c r="AP43" s="71" t="s">
        <v>717</v>
      </c>
      <c r="AQ43" s="111">
        <v>1</v>
      </c>
      <c r="AR43" s="37">
        <v>1</v>
      </c>
      <c r="AS43" s="159">
        <f>(+Tabla4[[#This Row],[Programación  meta
IV trimestre ]]/AR43)</f>
        <v>1</v>
      </c>
      <c r="AT43" s="248" t="s">
        <v>718</v>
      </c>
      <c r="AU43" s="28" t="s">
        <v>502</v>
      </c>
      <c r="AV43" s="165" t="s">
        <v>485</v>
      </c>
      <c r="AW43" s="85">
        <f>+Tabla4[[#This Row],[Programación  meta
II trimestre ]]+Tabla4[[#This Row],[Programación  meta
IV trimestre ]]</f>
        <v>2</v>
      </c>
      <c r="AX43" s="84">
        <f>+Tabla4[[#This Row],[Avance cuantitativo
II trimestre]]+AR43</f>
        <v>2</v>
      </c>
      <c r="AY43" s="86">
        <f t="shared" si="2"/>
        <v>1</v>
      </c>
      <c r="AZ43" s="89" t="s">
        <v>503</v>
      </c>
      <c r="BA43" s="141"/>
      <c r="BB43" s="141"/>
      <c r="BC43" s="141"/>
      <c r="BD43" s="141"/>
      <c r="BE43" s="141"/>
      <c r="BF43" s="141"/>
      <c r="BG43" s="141"/>
      <c r="BH43" s="141"/>
      <c r="BI43" s="141"/>
      <c r="BJ43" s="141"/>
      <c r="BK43" s="141"/>
      <c r="BL43" s="141"/>
      <c r="BM43" s="141"/>
      <c r="BN43" s="141"/>
      <c r="BO43" s="141"/>
      <c r="BP43" s="141"/>
      <c r="BQ43" s="141"/>
      <c r="BR43" s="141"/>
      <c r="BS43" s="141"/>
      <c r="BT43" s="141"/>
      <c r="BU43" s="141"/>
      <c r="BV43" s="141"/>
      <c r="BW43" s="141"/>
      <c r="BX43" s="141"/>
      <c r="BY43" s="141"/>
      <c r="BZ43" s="141"/>
      <c r="CA43" s="141"/>
      <c r="CB43" s="141"/>
      <c r="CC43" s="141"/>
    </row>
    <row r="44" spans="1:81" s="129" customFormat="1" x14ac:dyDescent="0.2">
      <c r="B44" s="138" t="s">
        <v>320</v>
      </c>
      <c r="C44" s="71" t="s">
        <v>48</v>
      </c>
      <c r="D44" s="71" t="s">
        <v>719</v>
      </c>
      <c r="E44" s="71" t="s">
        <v>547</v>
      </c>
      <c r="F44" s="71" t="s">
        <v>336</v>
      </c>
      <c r="G44" s="71" t="s">
        <v>93</v>
      </c>
      <c r="H44" s="71" t="s">
        <v>720</v>
      </c>
      <c r="I44" s="71" t="s">
        <v>40</v>
      </c>
      <c r="J44" s="71" t="s">
        <v>222</v>
      </c>
      <c r="K44" s="71" t="s">
        <v>403</v>
      </c>
      <c r="L44" s="71" t="s">
        <v>257</v>
      </c>
      <c r="M44" s="71" t="s">
        <v>225</v>
      </c>
      <c r="N44" s="45">
        <v>30</v>
      </c>
      <c r="O44" s="71" t="s">
        <v>721</v>
      </c>
      <c r="P44" s="45">
        <v>4</v>
      </c>
      <c r="Q44" s="45">
        <f t="shared" si="3"/>
        <v>4</v>
      </c>
      <c r="R44" s="45" t="s">
        <v>45</v>
      </c>
      <c r="S44" s="71" t="s">
        <v>722</v>
      </c>
      <c r="T44" s="71" t="s">
        <v>723</v>
      </c>
      <c r="U44" s="212">
        <v>44562</v>
      </c>
      <c r="V44" s="45" t="s">
        <v>495</v>
      </c>
      <c r="W44" s="71" t="s">
        <v>192</v>
      </c>
      <c r="X44" s="71" t="s">
        <v>724</v>
      </c>
      <c r="Y44" s="45">
        <v>1</v>
      </c>
      <c r="Z44" s="45">
        <v>1</v>
      </c>
      <c r="AA44" s="59">
        <f>(Z44/Y44)</f>
        <v>1</v>
      </c>
      <c r="AB44" s="60" t="s">
        <v>725</v>
      </c>
      <c r="AC44" s="60" t="s">
        <v>511</v>
      </c>
      <c r="AD44" s="71" t="s">
        <v>724</v>
      </c>
      <c r="AE44" s="45">
        <v>1</v>
      </c>
      <c r="AF44" s="45">
        <v>1</v>
      </c>
      <c r="AG44" s="48">
        <f t="shared" si="1"/>
        <v>1</v>
      </c>
      <c r="AH44" s="104" t="s">
        <v>726</v>
      </c>
      <c r="AI44" s="71" t="s">
        <v>511</v>
      </c>
      <c r="AJ44" s="71" t="s">
        <v>724</v>
      </c>
      <c r="AK44" s="45">
        <v>1</v>
      </c>
      <c r="AL44" s="45">
        <v>1</v>
      </c>
      <c r="AM44" s="236">
        <f>+(Tabla4[[#This Row],[Avance cuantitativo
III trimestre]]/Tabla4[[#This Row],[Programación  meta
III trimestre ]])*100%</f>
        <v>1</v>
      </c>
      <c r="AN44" s="71" t="s">
        <v>727</v>
      </c>
      <c r="AO44" s="71" t="s">
        <v>511</v>
      </c>
      <c r="AP44" s="71" t="s">
        <v>724</v>
      </c>
      <c r="AQ44" s="63">
        <v>1</v>
      </c>
      <c r="AR44" s="37">
        <v>1</v>
      </c>
      <c r="AS44" s="159">
        <f>(+Tabla4[[#This Row],[Programación  meta
IV trimestre ]]/AR44)</f>
        <v>1</v>
      </c>
      <c r="AT44" s="119" t="s">
        <v>728</v>
      </c>
      <c r="AU44" s="28" t="s">
        <v>502</v>
      </c>
      <c r="AV44" s="165" t="s">
        <v>485</v>
      </c>
      <c r="AW44" s="209">
        <f>+Tabla4[[#This Row],[Programación  meta
I trimestre ]]+Tabla4[[#This Row],[Programación  meta
II trimestre ]]+Tabla4[[#This Row],[Programación  meta
III trimestre ]]+Tabla4[[#This Row],[Programación  meta
IV trimestre ]]</f>
        <v>4</v>
      </c>
      <c r="AX44" s="205">
        <f>+Tabla4[[#This Row],[Avance cuantitativo
I trimestre]]+Tabla4[[#This Row],[Avance cuantitativo
II trimestre]]+Tabla4[[#This Row],[Avance cuantitativo
III trimestre]]+AR44</f>
        <v>4</v>
      </c>
      <c r="AY44" s="253">
        <f t="shared" si="2"/>
        <v>1</v>
      </c>
      <c r="AZ44" s="89" t="s">
        <v>503</v>
      </c>
    </row>
    <row r="45" spans="1:81" s="129" customFormat="1" x14ac:dyDescent="0.2">
      <c r="B45" s="142" t="s">
        <v>320</v>
      </c>
      <c r="C45" s="104" t="s">
        <v>18</v>
      </c>
      <c r="D45" s="104" t="s">
        <v>719</v>
      </c>
      <c r="E45" s="71" t="s">
        <v>547</v>
      </c>
      <c r="F45" s="104" t="s">
        <v>313</v>
      </c>
      <c r="G45" s="104" t="s">
        <v>220</v>
      </c>
      <c r="H45" s="104" t="s">
        <v>221</v>
      </c>
      <c r="I45" s="104" t="s">
        <v>40</v>
      </c>
      <c r="J45" s="104" t="s">
        <v>83</v>
      </c>
      <c r="K45" s="104" t="s">
        <v>403</v>
      </c>
      <c r="L45" s="104" t="s">
        <v>257</v>
      </c>
      <c r="M45" s="104" t="s">
        <v>225</v>
      </c>
      <c r="N45" s="45">
        <v>31</v>
      </c>
      <c r="O45" s="104" t="s">
        <v>729</v>
      </c>
      <c r="P45" s="53">
        <v>2</v>
      </c>
      <c r="Q45" s="45" t="e">
        <f t="shared" si="3"/>
        <v>#VALUE!</v>
      </c>
      <c r="R45" s="53" t="s">
        <v>45</v>
      </c>
      <c r="S45" s="104" t="s">
        <v>730</v>
      </c>
      <c r="T45" s="104" t="s">
        <v>731</v>
      </c>
      <c r="U45" s="215">
        <v>44562</v>
      </c>
      <c r="V45" s="53" t="s">
        <v>495</v>
      </c>
      <c r="W45" s="104" t="s">
        <v>192</v>
      </c>
      <c r="X45" s="71" t="s">
        <v>496</v>
      </c>
      <c r="Y45" s="45" t="s">
        <v>496</v>
      </c>
      <c r="Z45" s="45" t="s">
        <v>496</v>
      </c>
      <c r="AA45" s="45" t="s">
        <v>496</v>
      </c>
      <c r="AB45" s="71" t="s">
        <v>496</v>
      </c>
      <c r="AC45" s="71" t="s">
        <v>496</v>
      </c>
      <c r="AD45" s="104" t="s">
        <v>732</v>
      </c>
      <c r="AE45" s="53">
        <v>1</v>
      </c>
      <c r="AF45" s="45">
        <v>1</v>
      </c>
      <c r="AG45" s="48">
        <f t="shared" si="1"/>
        <v>1</v>
      </c>
      <c r="AH45" s="104" t="s">
        <v>733</v>
      </c>
      <c r="AI45" s="71" t="s">
        <v>511</v>
      </c>
      <c r="AJ45" s="71" t="s">
        <v>496</v>
      </c>
      <c r="AK45" s="45" t="s">
        <v>496</v>
      </c>
      <c r="AL45" s="45" t="s">
        <v>496</v>
      </c>
      <c r="AM45" s="45" t="s">
        <v>496</v>
      </c>
      <c r="AN45" s="71" t="s">
        <v>496</v>
      </c>
      <c r="AO45" s="170" t="s">
        <v>496</v>
      </c>
      <c r="AP45" s="104" t="s">
        <v>732</v>
      </c>
      <c r="AQ45" s="65">
        <v>1</v>
      </c>
      <c r="AR45" s="37">
        <v>1</v>
      </c>
      <c r="AS45" s="159">
        <f>(+Tabla4[[#This Row],[Programación  meta
IV trimestre ]]/AR45)</f>
        <v>1</v>
      </c>
      <c r="AT45" s="119" t="s">
        <v>734</v>
      </c>
      <c r="AU45" s="28" t="s">
        <v>502</v>
      </c>
      <c r="AV45" s="165" t="s">
        <v>485</v>
      </c>
      <c r="AW45" s="209">
        <f>+Tabla4[[#This Row],[Programación  meta
II trimestre ]]+Tabla4[[#This Row],[Programación  meta
IV trimestre ]]</f>
        <v>2</v>
      </c>
      <c r="AX45" s="205">
        <f>+Tabla4[[#This Row],[Avance cuantitativo
II trimestre]]+AR45</f>
        <v>2</v>
      </c>
      <c r="AY45" s="253">
        <f t="shared" si="2"/>
        <v>1</v>
      </c>
      <c r="AZ45" s="89" t="s">
        <v>503</v>
      </c>
    </row>
    <row r="46" spans="1:81" s="129" customFormat="1" x14ac:dyDescent="0.2">
      <c r="B46" s="142" t="s">
        <v>320</v>
      </c>
      <c r="C46" s="71" t="s">
        <v>48</v>
      </c>
      <c r="D46" s="104" t="s">
        <v>134</v>
      </c>
      <c r="E46" s="71" t="s">
        <v>547</v>
      </c>
      <c r="F46" s="104" t="s">
        <v>336</v>
      </c>
      <c r="G46" s="104" t="s">
        <v>93</v>
      </c>
      <c r="H46" s="104" t="s">
        <v>221</v>
      </c>
      <c r="I46" s="104" t="s">
        <v>40</v>
      </c>
      <c r="J46" s="104" t="s">
        <v>222</v>
      </c>
      <c r="K46" s="104" t="s">
        <v>403</v>
      </c>
      <c r="L46" s="104" t="s">
        <v>257</v>
      </c>
      <c r="M46" s="104" t="s">
        <v>225</v>
      </c>
      <c r="N46" s="45">
        <v>32</v>
      </c>
      <c r="O46" s="104" t="s">
        <v>735</v>
      </c>
      <c r="P46" s="53">
        <v>2</v>
      </c>
      <c r="Q46" s="45" t="e">
        <f t="shared" si="3"/>
        <v>#VALUE!</v>
      </c>
      <c r="R46" s="53" t="s">
        <v>45</v>
      </c>
      <c r="S46" s="104" t="s">
        <v>736</v>
      </c>
      <c r="T46" s="104" t="s">
        <v>737</v>
      </c>
      <c r="U46" s="215">
        <v>44562</v>
      </c>
      <c r="V46" s="53" t="s">
        <v>495</v>
      </c>
      <c r="W46" s="104" t="s">
        <v>192</v>
      </c>
      <c r="X46" s="71" t="s">
        <v>496</v>
      </c>
      <c r="Y46" s="45" t="s">
        <v>496</v>
      </c>
      <c r="Z46" s="45" t="s">
        <v>496</v>
      </c>
      <c r="AA46" s="45" t="s">
        <v>496</v>
      </c>
      <c r="AB46" s="71" t="s">
        <v>496</v>
      </c>
      <c r="AC46" s="71" t="s">
        <v>496</v>
      </c>
      <c r="AD46" s="104" t="s">
        <v>738</v>
      </c>
      <c r="AE46" s="53">
        <v>1</v>
      </c>
      <c r="AF46" s="45">
        <v>1</v>
      </c>
      <c r="AG46" s="48">
        <f t="shared" si="1"/>
        <v>1</v>
      </c>
      <c r="AH46" s="104" t="s">
        <v>739</v>
      </c>
      <c r="AI46" s="71" t="s">
        <v>511</v>
      </c>
      <c r="AJ46" s="71" t="s">
        <v>496</v>
      </c>
      <c r="AK46" s="45" t="s">
        <v>496</v>
      </c>
      <c r="AL46" s="45" t="s">
        <v>496</v>
      </c>
      <c r="AM46" s="45" t="s">
        <v>496</v>
      </c>
      <c r="AN46" s="71" t="s">
        <v>496</v>
      </c>
      <c r="AO46" s="170" t="s">
        <v>496</v>
      </c>
      <c r="AP46" s="104" t="s">
        <v>738</v>
      </c>
      <c r="AQ46" s="65">
        <v>1</v>
      </c>
      <c r="AR46" s="37">
        <v>1</v>
      </c>
      <c r="AS46" s="159">
        <f>(+Tabla4[[#This Row],[Programación  meta
IV trimestre ]]/AR46)</f>
        <v>1</v>
      </c>
      <c r="AT46" s="119" t="s">
        <v>740</v>
      </c>
      <c r="AU46" s="28" t="s">
        <v>502</v>
      </c>
      <c r="AV46" s="165" t="s">
        <v>485</v>
      </c>
      <c r="AW46" s="209">
        <f>+Tabla4[[#This Row],[Programación  meta
II trimestre ]]+Tabla4[[#This Row],[Programación  meta
IV trimestre ]]</f>
        <v>2</v>
      </c>
      <c r="AX46" s="205">
        <f>+Tabla4[[#This Row],[Avance cuantitativo
II trimestre]]+AR46</f>
        <v>2</v>
      </c>
      <c r="AY46" s="253">
        <f t="shared" si="2"/>
        <v>1</v>
      </c>
      <c r="AZ46" s="89" t="s">
        <v>503</v>
      </c>
    </row>
    <row r="47" spans="1:81" s="129" customFormat="1" x14ac:dyDescent="0.2">
      <c r="B47" s="138" t="s">
        <v>320</v>
      </c>
      <c r="C47" s="71" t="s">
        <v>48</v>
      </c>
      <c r="D47" s="71" t="s">
        <v>719</v>
      </c>
      <c r="E47" s="71" t="s">
        <v>50</v>
      </c>
      <c r="F47" s="71" t="s">
        <v>336</v>
      </c>
      <c r="G47" s="71" t="s">
        <v>115</v>
      </c>
      <c r="H47" s="71" t="s">
        <v>187</v>
      </c>
      <c r="I47" s="71" t="s">
        <v>55</v>
      </c>
      <c r="J47" s="71" t="s">
        <v>222</v>
      </c>
      <c r="K47" s="71" t="s">
        <v>403</v>
      </c>
      <c r="L47" s="71" t="s">
        <v>257</v>
      </c>
      <c r="M47" s="71" t="s">
        <v>225</v>
      </c>
      <c r="N47" s="45">
        <v>33</v>
      </c>
      <c r="O47" s="71" t="s">
        <v>741</v>
      </c>
      <c r="P47" s="45">
        <v>4</v>
      </c>
      <c r="Q47" s="45">
        <f t="shared" si="3"/>
        <v>4</v>
      </c>
      <c r="R47" s="45" t="s">
        <v>45</v>
      </c>
      <c r="S47" s="71" t="s">
        <v>742</v>
      </c>
      <c r="T47" s="71" t="s">
        <v>743</v>
      </c>
      <c r="U47" s="212">
        <v>44562</v>
      </c>
      <c r="V47" s="45" t="s">
        <v>495</v>
      </c>
      <c r="W47" s="71" t="s">
        <v>192</v>
      </c>
      <c r="X47" s="71" t="s">
        <v>744</v>
      </c>
      <c r="Y47" s="45">
        <v>1</v>
      </c>
      <c r="Z47" s="45">
        <v>1</v>
      </c>
      <c r="AA47" s="59">
        <f t="shared" ref="AA47:AA54" si="4">(Z47/Y47)</f>
        <v>1</v>
      </c>
      <c r="AB47" s="60" t="s">
        <v>745</v>
      </c>
      <c r="AC47" s="60" t="s">
        <v>746</v>
      </c>
      <c r="AD47" s="71" t="s">
        <v>744</v>
      </c>
      <c r="AE47" s="45">
        <v>1</v>
      </c>
      <c r="AF47" s="45">
        <v>1</v>
      </c>
      <c r="AG47" s="48">
        <f t="shared" ref="AG47:AG78" si="5">(AF47/AE47)</f>
        <v>1</v>
      </c>
      <c r="AH47" s="104" t="s">
        <v>747</v>
      </c>
      <c r="AI47" s="71" t="s">
        <v>511</v>
      </c>
      <c r="AJ47" s="71" t="s">
        <v>744</v>
      </c>
      <c r="AK47" s="45">
        <v>1</v>
      </c>
      <c r="AL47" s="45">
        <v>1</v>
      </c>
      <c r="AM47" s="236">
        <f>+(Tabla4[[#This Row],[Avance cuantitativo
III trimestre]]/Tabla4[[#This Row],[Programación  meta
III trimestre ]])*100%</f>
        <v>1</v>
      </c>
      <c r="AN47" s="71" t="s">
        <v>748</v>
      </c>
      <c r="AO47" s="104" t="s">
        <v>511</v>
      </c>
      <c r="AP47" s="71" t="s">
        <v>744</v>
      </c>
      <c r="AQ47" s="63">
        <v>1</v>
      </c>
      <c r="AR47" s="37">
        <v>1</v>
      </c>
      <c r="AS47" s="159">
        <f>(+Tabla4[[#This Row],[Programación  meta
IV trimestre ]]/AR47)</f>
        <v>1</v>
      </c>
      <c r="AT47" s="119" t="s">
        <v>749</v>
      </c>
      <c r="AU47" s="28" t="s">
        <v>502</v>
      </c>
      <c r="AV47" s="165" t="s">
        <v>485</v>
      </c>
      <c r="AW47" s="209">
        <f>+Tabla4[[#This Row],[Programación  meta
I trimestre ]]+Tabla4[[#This Row],[Programación  meta
II trimestre ]]+Tabla4[[#This Row],[Programación  meta
III trimestre ]]+Tabla4[[#This Row],[Programación  meta
IV trimestre ]]</f>
        <v>4</v>
      </c>
      <c r="AX47" s="205">
        <f>+Tabla4[[#This Row],[Avance cuantitativo
I trimestre]]+Tabla4[[#This Row],[Avance cuantitativo
II trimestre]]+Tabla4[[#This Row],[Avance cuantitativo
III trimestre]]+AR47</f>
        <v>4</v>
      </c>
      <c r="AY47" s="253">
        <f t="shared" si="2"/>
        <v>1</v>
      </c>
      <c r="AZ47" s="89" t="s">
        <v>503</v>
      </c>
    </row>
    <row r="48" spans="1:81" s="129" customFormat="1" x14ac:dyDescent="0.2">
      <c r="B48" s="138" t="s">
        <v>320</v>
      </c>
      <c r="C48" s="71" t="s">
        <v>48</v>
      </c>
      <c r="D48" s="71" t="s">
        <v>719</v>
      </c>
      <c r="E48" s="71" t="s">
        <v>547</v>
      </c>
      <c r="F48" s="71" t="s">
        <v>336</v>
      </c>
      <c r="G48" s="71" t="s">
        <v>68</v>
      </c>
      <c r="H48" s="71" t="s">
        <v>177</v>
      </c>
      <c r="I48" s="71" t="s">
        <v>55</v>
      </c>
      <c r="J48" s="71" t="s">
        <v>222</v>
      </c>
      <c r="K48" s="71" t="s">
        <v>403</v>
      </c>
      <c r="L48" s="71" t="s">
        <v>257</v>
      </c>
      <c r="M48" s="71" t="s">
        <v>225</v>
      </c>
      <c r="N48" s="45">
        <v>34</v>
      </c>
      <c r="O48" s="71" t="s">
        <v>750</v>
      </c>
      <c r="P48" s="45">
        <v>4</v>
      </c>
      <c r="Q48" s="45">
        <f t="shared" si="3"/>
        <v>4</v>
      </c>
      <c r="R48" s="45" t="s">
        <v>45</v>
      </c>
      <c r="S48" s="71" t="s">
        <v>742</v>
      </c>
      <c r="T48" s="71" t="s">
        <v>751</v>
      </c>
      <c r="U48" s="212">
        <v>44562</v>
      </c>
      <c r="V48" s="45" t="s">
        <v>495</v>
      </c>
      <c r="W48" s="71" t="s">
        <v>192</v>
      </c>
      <c r="X48" s="71" t="s">
        <v>752</v>
      </c>
      <c r="Y48" s="45">
        <v>1</v>
      </c>
      <c r="Z48" s="45">
        <v>1</v>
      </c>
      <c r="AA48" s="59">
        <f t="shared" si="4"/>
        <v>1</v>
      </c>
      <c r="AB48" s="60" t="s">
        <v>753</v>
      </c>
      <c r="AC48" s="60" t="s">
        <v>746</v>
      </c>
      <c r="AD48" s="71" t="s">
        <v>754</v>
      </c>
      <c r="AE48" s="45">
        <v>1</v>
      </c>
      <c r="AF48" s="45">
        <v>1</v>
      </c>
      <c r="AG48" s="48">
        <f t="shared" si="5"/>
        <v>1</v>
      </c>
      <c r="AH48" s="104" t="s">
        <v>755</v>
      </c>
      <c r="AI48" s="71" t="s">
        <v>511</v>
      </c>
      <c r="AJ48" s="71" t="s">
        <v>754</v>
      </c>
      <c r="AK48" s="45">
        <v>1</v>
      </c>
      <c r="AL48" s="45">
        <v>1</v>
      </c>
      <c r="AM48" s="236">
        <f>+(Tabla4[[#This Row],[Avance cuantitativo
III trimestre]]/Tabla4[[#This Row],[Programación  meta
III trimestre ]])*100%</f>
        <v>1</v>
      </c>
      <c r="AN48" s="71" t="s">
        <v>756</v>
      </c>
      <c r="AO48" s="71" t="s">
        <v>511</v>
      </c>
      <c r="AP48" s="71" t="s">
        <v>754</v>
      </c>
      <c r="AQ48" s="63">
        <v>1</v>
      </c>
      <c r="AR48" s="37">
        <v>1</v>
      </c>
      <c r="AS48" s="159">
        <f>(+Tabla4[[#This Row],[Programación  meta
IV trimestre ]]/AR48)</f>
        <v>1</v>
      </c>
      <c r="AT48" s="119" t="s">
        <v>757</v>
      </c>
      <c r="AU48" s="28" t="s">
        <v>502</v>
      </c>
      <c r="AV48" s="165" t="s">
        <v>485</v>
      </c>
      <c r="AW48" s="209">
        <f>+Tabla4[[#This Row],[Programación  meta
I trimestre ]]+Tabla4[[#This Row],[Programación  meta
II trimestre ]]+Tabla4[[#This Row],[Programación  meta
III trimestre ]]+Tabla4[[#This Row],[Programación  meta
IV trimestre ]]</f>
        <v>4</v>
      </c>
      <c r="AX48" s="205">
        <f>+Tabla4[[#This Row],[Avance cuantitativo
I trimestre]]+Tabla4[[#This Row],[Avance cuantitativo
II trimestre]]+Tabla4[[#This Row],[Avance cuantitativo
III trimestre]]+AR48</f>
        <v>4</v>
      </c>
      <c r="AY48" s="253">
        <f t="shared" si="2"/>
        <v>1</v>
      </c>
      <c r="AZ48" s="89" t="s">
        <v>503</v>
      </c>
    </row>
    <row r="49" spans="1:81" s="30" customFormat="1" hidden="1" x14ac:dyDescent="0.2">
      <c r="B49" s="67" t="s">
        <v>320</v>
      </c>
      <c r="C49" s="46" t="s">
        <v>48</v>
      </c>
      <c r="D49" s="44" t="s">
        <v>184</v>
      </c>
      <c r="E49" s="44" t="s">
        <v>102</v>
      </c>
      <c r="F49" s="44" t="s">
        <v>338</v>
      </c>
      <c r="G49" s="44" t="s">
        <v>186</v>
      </c>
      <c r="H49" s="44" t="s">
        <v>69</v>
      </c>
      <c r="I49" s="44" t="s">
        <v>25</v>
      </c>
      <c r="J49" s="44" t="s">
        <v>83</v>
      </c>
      <c r="K49" s="44" t="s">
        <v>402</v>
      </c>
      <c r="L49" s="44" t="s">
        <v>257</v>
      </c>
      <c r="M49" s="44" t="s">
        <v>225</v>
      </c>
      <c r="N49" s="47">
        <v>35</v>
      </c>
      <c r="O49" s="44" t="s">
        <v>758</v>
      </c>
      <c r="P49" s="48">
        <v>1</v>
      </c>
      <c r="Q49" s="49" t="e">
        <f>(+Y49+AE49+AK49+AQ49)/4</f>
        <v>#VALUE!</v>
      </c>
      <c r="R49" s="45" t="s">
        <v>30</v>
      </c>
      <c r="S49" s="44" t="s">
        <v>580</v>
      </c>
      <c r="T49" s="44" t="s">
        <v>581</v>
      </c>
      <c r="U49" s="212">
        <v>44562</v>
      </c>
      <c r="V49" s="212">
        <v>44592</v>
      </c>
      <c r="W49" s="44" t="s">
        <v>192</v>
      </c>
      <c r="X49" s="44" t="s">
        <v>582</v>
      </c>
      <c r="Y49" s="48">
        <v>1</v>
      </c>
      <c r="Z49" s="48">
        <v>1</v>
      </c>
      <c r="AA49" s="58">
        <f t="shared" si="4"/>
        <v>1</v>
      </c>
      <c r="AB49" s="60" t="s">
        <v>583</v>
      </c>
      <c r="AC49" s="61" t="s">
        <v>511</v>
      </c>
      <c r="AD49" s="44" t="s">
        <v>582</v>
      </c>
      <c r="AE49" s="48">
        <v>1</v>
      </c>
      <c r="AF49" s="49">
        <v>1</v>
      </c>
      <c r="AG49" s="49">
        <f t="shared" si="5"/>
        <v>1</v>
      </c>
      <c r="AH49" s="76" t="s">
        <v>584</v>
      </c>
      <c r="AI49" s="46" t="s">
        <v>511</v>
      </c>
      <c r="AJ49" s="181" t="s">
        <v>496</v>
      </c>
      <c r="AK49" s="244" t="s">
        <v>496</v>
      </c>
      <c r="AL49" s="244" t="s">
        <v>496</v>
      </c>
      <c r="AM49" s="244" t="s">
        <v>496</v>
      </c>
      <c r="AN49" s="181" t="s">
        <v>496</v>
      </c>
      <c r="AO49" s="181" t="s">
        <v>496</v>
      </c>
      <c r="AP49" s="44" t="s">
        <v>585</v>
      </c>
      <c r="AQ49" s="48" t="s">
        <v>496</v>
      </c>
      <c r="AR49" s="48" t="s">
        <v>496</v>
      </c>
      <c r="AS49" s="48" t="s">
        <v>496</v>
      </c>
      <c r="AT49" s="139" t="s">
        <v>496</v>
      </c>
      <c r="AU49" s="246" t="s">
        <v>496</v>
      </c>
      <c r="AV49" s="165" t="s">
        <v>485</v>
      </c>
      <c r="AW49" s="85">
        <v>0</v>
      </c>
      <c r="AX49" s="84">
        <v>0</v>
      </c>
      <c r="AY49" s="86">
        <v>0</v>
      </c>
      <c r="AZ49" s="88" t="s">
        <v>585</v>
      </c>
    </row>
    <row r="50" spans="1:81" s="30" customFormat="1" hidden="1" x14ac:dyDescent="0.2">
      <c r="B50" s="67" t="s">
        <v>320</v>
      </c>
      <c r="C50" s="46" t="s">
        <v>48</v>
      </c>
      <c r="D50" s="44" t="s">
        <v>184</v>
      </c>
      <c r="E50" s="44" t="s">
        <v>102</v>
      </c>
      <c r="F50" s="44" t="s">
        <v>338</v>
      </c>
      <c r="G50" s="44" t="s">
        <v>186</v>
      </c>
      <c r="H50" s="44" t="s">
        <v>69</v>
      </c>
      <c r="I50" s="44" t="s">
        <v>25</v>
      </c>
      <c r="J50" s="44" t="s">
        <v>56</v>
      </c>
      <c r="K50" s="44" t="s">
        <v>402</v>
      </c>
      <c r="L50" s="44" t="s">
        <v>257</v>
      </c>
      <c r="M50" s="44" t="s">
        <v>233</v>
      </c>
      <c r="N50" s="47">
        <v>36</v>
      </c>
      <c r="O50" s="44" t="s">
        <v>759</v>
      </c>
      <c r="P50" s="48">
        <v>1</v>
      </c>
      <c r="Q50" s="49" t="e">
        <f>(+Y50+AE50+AK50+AQ50)/4</f>
        <v>#VALUE!</v>
      </c>
      <c r="R50" s="45" t="s">
        <v>30</v>
      </c>
      <c r="S50" s="44" t="s">
        <v>580</v>
      </c>
      <c r="T50" s="44" t="s">
        <v>581</v>
      </c>
      <c r="U50" s="212">
        <v>44562</v>
      </c>
      <c r="V50" s="212">
        <v>44592</v>
      </c>
      <c r="W50" s="44" t="s">
        <v>192</v>
      </c>
      <c r="X50" s="44" t="s">
        <v>582</v>
      </c>
      <c r="Y50" s="48">
        <v>1</v>
      </c>
      <c r="Z50" s="48">
        <v>0.67</v>
      </c>
      <c r="AA50" s="58">
        <f t="shared" si="4"/>
        <v>0.67</v>
      </c>
      <c r="AB50" s="60" t="s">
        <v>583</v>
      </c>
      <c r="AC50" s="61" t="s">
        <v>623</v>
      </c>
      <c r="AD50" s="44" t="s">
        <v>582</v>
      </c>
      <c r="AE50" s="48">
        <v>1</v>
      </c>
      <c r="AF50" s="49">
        <v>1</v>
      </c>
      <c r="AG50" s="49">
        <f t="shared" si="5"/>
        <v>1</v>
      </c>
      <c r="AH50" s="76" t="s">
        <v>584</v>
      </c>
      <c r="AI50" s="46" t="s">
        <v>511</v>
      </c>
      <c r="AJ50" s="181" t="s">
        <v>496</v>
      </c>
      <c r="AK50" s="244" t="s">
        <v>496</v>
      </c>
      <c r="AL50" s="244" t="s">
        <v>496</v>
      </c>
      <c r="AM50" s="244" t="s">
        <v>496</v>
      </c>
      <c r="AN50" s="181" t="s">
        <v>496</v>
      </c>
      <c r="AO50" s="181" t="s">
        <v>496</v>
      </c>
      <c r="AP50" s="44" t="s">
        <v>585</v>
      </c>
      <c r="AQ50" s="48" t="s">
        <v>496</v>
      </c>
      <c r="AR50" s="48" t="s">
        <v>496</v>
      </c>
      <c r="AS50" s="48" t="s">
        <v>496</v>
      </c>
      <c r="AT50" s="139" t="s">
        <v>496</v>
      </c>
      <c r="AU50" s="246" t="s">
        <v>496</v>
      </c>
      <c r="AV50" s="165" t="s">
        <v>485</v>
      </c>
      <c r="AW50" s="85">
        <v>0</v>
      </c>
      <c r="AX50" s="84">
        <v>0</v>
      </c>
      <c r="AY50" s="86">
        <v>0</v>
      </c>
      <c r="AZ50" s="88" t="s">
        <v>585</v>
      </c>
    </row>
    <row r="51" spans="1:81" s="30" customFormat="1" hidden="1" x14ac:dyDescent="0.2">
      <c r="B51" s="67" t="s">
        <v>320</v>
      </c>
      <c r="C51" s="46" t="s">
        <v>48</v>
      </c>
      <c r="D51" s="44" t="s">
        <v>184</v>
      </c>
      <c r="E51" s="44" t="s">
        <v>102</v>
      </c>
      <c r="F51" s="44" t="s">
        <v>338</v>
      </c>
      <c r="G51" s="44" t="s">
        <v>186</v>
      </c>
      <c r="H51" s="44" t="s">
        <v>69</v>
      </c>
      <c r="I51" s="44" t="s">
        <v>25</v>
      </c>
      <c r="J51" s="44" t="s">
        <v>148</v>
      </c>
      <c r="K51" s="44" t="s">
        <v>402</v>
      </c>
      <c r="L51" s="44" t="s">
        <v>257</v>
      </c>
      <c r="M51" s="44" t="s">
        <v>233</v>
      </c>
      <c r="N51" s="47">
        <v>37</v>
      </c>
      <c r="O51" s="44" t="s">
        <v>760</v>
      </c>
      <c r="P51" s="48">
        <v>1</v>
      </c>
      <c r="Q51" s="49" t="e">
        <f>(+Y51+AE51+AK51+AQ51)/4</f>
        <v>#VALUE!</v>
      </c>
      <c r="R51" s="45" t="s">
        <v>30</v>
      </c>
      <c r="S51" s="44" t="s">
        <v>580</v>
      </c>
      <c r="T51" s="44" t="s">
        <v>581</v>
      </c>
      <c r="U51" s="212">
        <v>44562</v>
      </c>
      <c r="V51" s="212">
        <v>44592</v>
      </c>
      <c r="W51" s="44" t="s">
        <v>192</v>
      </c>
      <c r="X51" s="44" t="s">
        <v>582</v>
      </c>
      <c r="Y51" s="48">
        <v>1</v>
      </c>
      <c r="Z51" s="48">
        <v>1</v>
      </c>
      <c r="AA51" s="58">
        <f t="shared" si="4"/>
        <v>1</v>
      </c>
      <c r="AB51" s="60" t="s">
        <v>583</v>
      </c>
      <c r="AC51" s="61" t="s">
        <v>623</v>
      </c>
      <c r="AD51" s="44" t="s">
        <v>582</v>
      </c>
      <c r="AE51" s="48">
        <v>1</v>
      </c>
      <c r="AF51" s="49">
        <v>0.67</v>
      </c>
      <c r="AG51" s="49">
        <f t="shared" si="5"/>
        <v>0.67</v>
      </c>
      <c r="AH51" s="76" t="s">
        <v>584</v>
      </c>
      <c r="AI51" s="46" t="s">
        <v>511</v>
      </c>
      <c r="AJ51" s="181" t="s">
        <v>496</v>
      </c>
      <c r="AK51" s="244" t="s">
        <v>496</v>
      </c>
      <c r="AL51" s="244" t="s">
        <v>496</v>
      </c>
      <c r="AM51" s="244" t="s">
        <v>496</v>
      </c>
      <c r="AN51" s="181" t="s">
        <v>496</v>
      </c>
      <c r="AO51" s="181" t="s">
        <v>496</v>
      </c>
      <c r="AP51" s="44" t="s">
        <v>585</v>
      </c>
      <c r="AQ51" s="48" t="s">
        <v>496</v>
      </c>
      <c r="AR51" s="48" t="s">
        <v>496</v>
      </c>
      <c r="AS51" s="48" t="s">
        <v>496</v>
      </c>
      <c r="AT51" s="139" t="s">
        <v>496</v>
      </c>
      <c r="AU51" s="246" t="s">
        <v>496</v>
      </c>
      <c r="AV51" s="165" t="s">
        <v>485</v>
      </c>
      <c r="AW51" s="85">
        <v>0</v>
      </c>
      <c r="AX51" s="84">
        <v>0</v>
      </c>
      <c r="AY51" s="86">
        <v>0</v>
      </c>
      <c r="AZ51" s="88" t="s">
        <v>585</v>
      </c>
    </row>
    <row r="52" spans="1:81" s="30" customFormat="1" hidden="1" x14ac:dyDescent="0.2">
      <c r="B52" s="67" t="s">
        <v>320</v>
      </c>
      <c r="C52" s="46" t="s">
        <v>48</v>
      </c>
      <c r="D52" s="44" t="s">
        <v>184</v>
      </c>
      <c r="E52" s="44" t="s">
        <v>102</v>
      </c>
      <c r="F52" s="44" t="s">
        <v>338</v>
      </c>
      <c r="G52" s="44" t="s">
        <v>186</v>
      </c>
      <c r="H52" s="44" t="s">
        <v>69</v>
      </c>
      <c r="I52" s="44" t="s">
        <v>25</v>
      </c>
      <c r="J52" s="44" t="s">
        <v>196</v>
      </c>
      <c r="K52" s="44" t="s">
        <v>402</v>
      </c>
      <c r="L52" s="44" t="s">
        <v>257</v>
      </c>
      <c r="M52" s="44" t="s">
        <v>233</v>
      </c>
      <c r="N52" s="47">
        <v>38</v>
      </c>
      <c r="O52" s="44" t="s">
        <v>761</v>
      </c>
      <c r="P52" s="48">
        <v>1</v>
      </c>
      <c r="Q52" s="49" t="e">
        <f>(+Y52+AE52+AK52+AQ52)/4</f>
        <v>#VALUE!</v>
      </c>
      <c r="R52" s="45" t="s">
        <v>30</v>
      </c>
      <c r="S52" s="44" t="s">
        <v>580</v>
      </c>
      <c r="T52" s="44" t="s">
        <v>581</v>
      </c>
      <c r="U52" s="212">
        <v>44562</v>
      </c>
      <c r="V52" s="212">
        <v>44592</v>
      </c>
      <c r="W52" s="44" t="s">
        <v>192</v>
      </c>
      <c r="X52" s="44" t="s">
        <v>582</v>
      </c>
      <c r="Y52" s="48">
        <v>1</v>
      </c>
      <c r="Z52" s="48">
        <v>0.5</v>
      </c>
      <c r="AA52" s="58">
        <f t="shared" si="4"/>
        <v>0.5</v>
      </c>
      <c r="AB52" s="60" t="s">
        <v>583</v>
      </c>
      <c r="AC52" s="61" t="s">
        <v>623</v>
      </c>
      <c r="AD52" s="44" t="s">
        <v>582</v>
      </c>
      <c r="AE52" s="48">
        <v>1</v>
      </c>
      <c r="AF52" s="49">
        <v>1</v>
      </c>
      <c r="AG52" s="49">
        <f t="shared" si="5"/>
        <v>1</v>
      </c>
      <c r="AH52" s="76" t="s">
        <v>584</v>
      </c>
      <c r="AI52" s="46" t="s">
        <v>511</v>
      </c>
      <c r="AJ52" s="181" t="s">
        <v>496</v>
      </c>
      <c r="AK52" s="244" t="s">
        <v>496</v>
      </c>
      <c r="AL52" s="244" t="s">
        <v>496</v>
      </c>
      <c r="AM52" s="244" t="s">
        <v>496</v>
      </c>
      <c r="AN52" s="181" t="s">
        <v>496</v>
      </c>
      <c r="AO52" s="181" t="s">
        <v>496</v>
      </c>
      <c r="AP52" s="44" t="s">
        <v>585</v>
      </c>
      <c r="AQ52" s="48" t="s">
        <v>496</v>
      </c>
      <c r="AR52" s="48" t="s">
        <v>496</v>
      </c>
      <c r="AS52" s="48" t="s">
        <v>496</v>
      </c>
      <c r="AT52" s="139" t="s">
        <v>496</v>
      </c>
      <c r="AU52" s="246" t="s">
        <v>496</v>
      </c>
      <c r="AV52" s="165" t="s">
        <v>485</v>
      </c>
      <c r="AW52" s="85">
        <v>0</v>
      </c>
      <c r="AX52" s="84">
        <v>0</v>
      </c>
      <c r="AY52" s="86">
        <v>0</v>
      </c>
      <c r="AZ52" s="88" t="s">
        <v>585</v>
      </c>
    </row>
    <row r="53" spans="1:81" s="180" customFormat="1" x14ac:dyDescent="0.2">
      <c r="B53" s="174" t="s">
        <v>320</v>
      </c>
      <c r="C53" s="170" t="s">
        <v>48</v>
      </c>
      <c r="D53" s="170" t="s">
        <v>174</v>
      </c>
      <c r="E53" s="170" t="s">
        <v>91</v>
      </c>
      <c r="F53" s="170" t="s">
        <v>336</v>
      </c>
      <c r="G53" s="170" t="s">
        <v>104</v>
      </c>
      <c r="H53" s="170" t="s">
        <v>54</v>
      </c>
      <c r="I53" s="170" t="s">
        <v>25</v>
      </c>
      <c r="J53" s="170" t="s">
        <v>106</v>
      </c>
      <c r="K53" s="170" t="s">
        <v>334</v>
      </c>
      <c r="L53" s="170" t="s">
        <v>150</v>
      </c>
      <c r="M53" s="170" t="s">
        <v>225</v>
      </c>
      <c r="N53" s="47">
        <v>39</v>
      </c>
      <c r="O53" s="170" t="s">
        <v>762</v>
      </c>
      <c r="P53" s="47">
        <v>4</v>
      </c>
      <c r="Q53" s="47">
        <f>+Y53+AE53+AK53+AQ53</f>
        <v>4</v>
      </c>
      <c r="R53" s="47" t="s">
        <v>45</v>
      </c>
      <c r="S53" s="170" t="s">
        <v>763</v>
      </c>
      <c r="T53" s="170" t="s">
        <v>764</v>
      </c>
      <c r="U53" s="213">
        <v>44564</v>
      </c>
      <c r="V53" s="47" t="s">
        <v>495</v>
      </c>
      <c r="W53" s="170" t="s">
        <v>61</v>
      </c>
      <c r="X53" s="170" t="s">
        <v>765</v>
      </c>
      <c r="Y53" s="47">
        <v>1</v>
      </c>
      <c r="Z53" s="47">
        <v>1</v>
      </c>
      <c r="AA53" s="58">
        <f t="shared" si="4"/>
        <v>1</v>
      </c>
      <c r="AB53" s="60" t="s">
        <v>766</v>
      </c>
      <c r="AC53" s="175" t="s">
        <v>511</v>
      </c>
      <c r="AD53" s="170" t="s">
        <v>767</v>
      </c>
      <c r="AE53" s="47">
        <v>1</v>
      </c>
      <c r="AF53" s="47">
        <v>1</v>
      </c>
      <c r="AG53" s="49">
        <f t="shared" si="5"/>
        <v>1</v>
      </c>
      <c r="AH53" s="60" t="s">
        <v>768</v>
      </c>
      <c r="AI53" s="170" t="s">
        <v>511</v>
      </c>
      <c r="AJ53" s="170" t="s">
        <v>769</v>
      </c>
      <c r="AK53" s="47">
        <v>1</v>
      </c>
      <c r="AL53" s="79">
        <v>1</v>
      </c>
      <c r="AM53" s="25">
        <f>+(Tabla4[[#This Row],[Avance cuantitativo
III trimestre]]/Tabla4[[#This Row],[Programación  meta
III trimestre ]])*100%</f>
        <v>1</v>
      </c>
      <c r="AN53" s="62" t="s">
        <v>770</v>
      </c>
      <c r="AO53" s="170" t="s">
        <v>511</v>
      </c>
      <c r="AP53" s="170" t="s">
        <v>771</v>
      </c>
      <c r="AQ53" s="103">
        <v>1</v>
      </c>
      <c r="AR53" s="37">
        <v>1</v>
      </c>
      <c r="AS53" s="159">
        <f>(+Tabla4[[#This Row],[Programación  meta
IV trimestre ]]/AR53)</f>
        <v>1</v>
      </c>
      <c r="AT53" s="161" t="s">
        <v>772</v>
      </c>
      <c r="AU53" s="28" t="s">
        <v>502</v>
      </c>
      <c r="AV53" s="165" t="s">
        <v>485</v>
      </c>
      <c r="AW53" s="85">
        <f>+Tabla4[[#This Row],[Programación  meta
I trimestre ]]+Tabla4[[#This Row],[Programación  meta
II trimestre ]]+Tabla4[[#This Row],[Programación  meta
III trimestre ]]+Tabla4[[#This Row],[Programación  meta
IV trimestre ]]</f>
        <v>4</v>
      </c>
      <c r="AX53" s="84">
        <f>+Tabla4[[#This Row],[Avance cuantitativo
I trimestre]]+Tabla4[[#This Row],[Avance cuantitativo
II trimestre]]+Tabla4[[#This Row],[Avance cuantitativo
III trimestre]]+AR53</f>
        <v>4</v>
      </c>
      <c r="AY53" s="86">
        <f t="shared" si="2"/>
        <v>1</v>
      </c>
      <c r="AZ53" s="89" t="s">
        <v>503</v>
      </c>
    </row>
    <row r="54" spans="1:81" s="180" customFormat="1" x14ac:dyDescent="0.2">
      <c r="B54" s="138" t="s">
        <v>320</v>
      </c>
      <c r="C54" s="170" t="s">
        <v>48</v>
      </c>
      <c r="D54" s="71" t="s">
        <v>174</v>
      </c>
      <c r="E54" s="170" t="s">
        <v>91</v>
      </c>
      <c r="F54" s="71" t="s">
        <v>336</v>
      </c>
      <c r="G54" s="71" t="s">
        <v>104</v>
      </c>
      <c r="H54" s="71" t="s">
        <v>54</v>
      </c>
      <c r="I54" s="71" t="s">
        <v>25</v>
      </c>
      <c r="J54" s="71" t="s">
        <v>106</v>
      </c>
      <c r="K54" s="71" t="s">
        <v>334</v>
      </c>
      <c r="L54" s="71" t="s">
        <v>150</v>
      </c>
      <c r="M54" s="71" t="s">
        <v>225</v>
      </c>
      <c r="N54" s="47">
        <v>40</v>
      </c>
      <c r="O54" s="71" t="s">
        <v>773</v>
      </c>
      <c r="P54" s="48">
        <v>1</v>
      </c>
      <c r="Q54" s="49">
        <f>(+Y54+AE54+AK54+AQ54)/4</f>
        <v>1</v>
      </c>
      <c r="R54" s="45" t="s">
        <v>30</v>
      </c>
      <c r="S54" s="71" t="s">
        <v>774</v>
      </c>
      <c r="T54" s="71" t="s">
        <v>775</v>
      </c>
      <c r="U54" s="212">
        <v>44562</v>
      </c>
      <c r="V54" s="212">
        <v>44926</v>
      </c>
      <c r="W54" s="71" t="s">
        <v>61</v>
      </c>
      <c r="X54" s="71" t="s">
        <v>776</v>
      </c>
      <c r="Y54" s="48">
        <v>1</v>
      </c>
      <c r="Z54" s="48">
        <v>1</v>
      </c>
      <c r="AA54" s="58">
        <f t="shared" si="4"/>
        <v>1</v>
      </c>
      <c r="AB54" s="60" t="s">
        <v>777</v>
      </c>
      <c r="AC54" s="175" t="s">
        <v>511</v>
      </c>
      <c r="AD54" s="170" t="s">
        <v>778</v>
      </c>
      <c r="AE54" s="48">
        <v>1</v>
      </c>
      <c r="AF54" s="49">
        <v>0.91</v>
      </c>
      <c r="AG54" s="49">
        <f t="shared" si="5"/>
        <v>0.91</v>
      </c>
      <c r="AH54" s="60" t="s">
        <v>779</v>
      </c>
      <c r="AI54" s="104" t="s">
        <v>780</v>
      </c>
      <c r="AJ54" s="170" t="s">
        <v>778</v>
      </c>
      <c r="AK54" s="48">
        <v>1</v>
      </c>
      <c r="AL54" s="48">
        <v>1</v>
      </c>
      <c r="AM54" s="25">
        <f>+(Tabla4[[#This Row],[Avance cuantitativo
III trimestre]]/Tabla4[[#This Row],[Programación  meta
III trimestre ]])*100%</f>
        <v>1</v>
      </c>
      <c r="AN54" s="110" t="s">
        <v>781</v>
      </c>
      <c r="AO54" s="170" t="s">
        <v>511</v>
      </c>
      <c r="AP54" s="170" t="s">
        <v>778</v>
      </c>
      <c r="AQ54" s="109">
        <v>1</v>
      </c>
      <c r="AR54" s="92">
        <v>1</v>
      </c>
      <c r="AS54" s="159">
        <f>(+Tabla4[[#This Row],[Programación  meta
IV trimestre ]]/AR54)</f>
        <v>1</v>
      </c>
      <c r="AT54" s="161" t="s">
        <v>782</v>
      </c>
      <c r="AU54" s="28" t="s">
        <v>502</v>
      </c>
      <c r="AV54" s="165" t="s">
        <v>485</v>
      </c>
      <c r="AW54" s="87">
        <f>+(Tabla4[[#This Row],[Programación  meta
I trimestre ]]+Tabla4[[#This Row],[Programación  meta
II trimestre ]]+Tabla4[[#This Row],[Programación  meta
III trimestre ]]+Tabla4[[#This Row],[Programación  meta
IV trimestre ]])/4</f>
        <v>1</v>
      </c>
      <c r="AX54" s="86">
        <f>+(Tabla4[[#This Row],[Avance cuantitativo
I trimestre]]+Tabla4[[#This Row],[Avance cuantitativo
II trimestre]]+Tabla4[[#This Row],[Avance cuantitativo
III trimestre]]+AR54)/4</f>
        <v>0.97750000000000004</v>
      </c>
      <c r="AY54" s="86">
        <f t="shared" si="2"/>
        <v>0.97750000000000004</v>
      </c>
      <c r="AZ54" s="143" t="s">
        <v>783</v>
      </c>
      <c r="BA54" s="180" t="s">
        <v>784</v>
      </c>
    </row>
    <row r="55" spans="1:81" s="180" customFormat="1" x14ac:dyDescent="0.2">
      <c r="A55" s="176"/>
      <c r="B55" s="138" t="s">
        <v>320</v>
      </c>
      <c r="C55" s="170" t="s">
        <v>48</v>
      </c>
      <c r="D55" s="71" t="s">
        <v>174</v>
      </c>
      <c r="E55" s="170" t="s">
        <v>547</v>
      </c>
      <c r="F55" s="71" t="s">
        <v>336</v>
      </c>
      <c r="G55" s="71" t="s">
        <v>126</v>
      </c>
      <c r="H55" s="71" t="s">
        <v>187</v>
      </c>
      <c r="I55" s="71" t="s">
        <v>25</v>
      </c>
      <c r="J55" s="145" t="s">
        <v>222</v>
      </c>
      <c r="K55" s="71" t="s">
        <v>403</v>
      </c>
      <c r="L55" s="71" t="s">
        <v>257</v>
      </c>
      <c r="M55" s="71" t="s">
        <v>225</v>
      </c>
      <c r="N55" s="45">
        <v>41</v>
      </c>
      <c r="O55" s="146" t="s">
        <v>785</v>
      </c>
      <c r="P55" s="48">
        <v>1</v>
      </c>
      <c r="Q55" s="49">
        <f>(+Y55+AE55+AK55+AQ55)/4</f>
        <v>1</v>
      </c>
      <c r="R55" s="45" t="s">
        <v>30</v>
      </c>
      <c r="S55" s="71" t="s">
        <v>786</v>
      </c>
      <c r="T55" s="146" t="s">
        <v>787</v>
      </c>
      <c r="U55" s="212">
        <v>44562</v>
      </c>
      <c r="V55" s="212">
        <v>44926</v>
      </c>
      <c r="W55" s="71" t="s">
        <v>74</v>
      </c>
      <c r="X55" s="71" t="s">
        <v>788</v>
      </c>
      <c r="Y55" s="48">
        <v>1</v>
      </c>
      <c r="Z55" s="48">
        <v>1.06</v>
      </c>
      <c r="AA55" s="59">
        <v>1</v>
      </c>
      <c r="AB55" s="60" t="s">
        <v>789</v>
      </c>
      <c r="AC55" s="175" t="s">
        <v>790</v>
      </c>
      <c r="AD55" s="71" t="s">
        <v>788</v>
      </c>
      <c r="AE55" s="48">
        <v>1</v>
      </c>
      <c r="AF55" s="240">
        <v>1</v>
      </c>
      <c r="AG55" s="48">
        <f t="shared" si="5"/>
        <v>1</v>
      </c>
      <c r="AH55" s="104" t="s">
        <v>791</v>
      </c>
      <c r="AI55" s="175" t="s">
        <v>792</v>
      </c>
      <c r="AJ55" s="71" t="s">
        <v>788</v>
      </c>
      <c r="AK55" s="48">
        <v>1</v>
      </c>
      <c r="AL55" s="48">
        <v>1</v>
      </c>
      <c r="AM55" s="25">
        <f>+(Tabla4[[#This Row],[Avance cuantitativo
III trimestre]]/Tabla4[[#This Row],[Programación  meta
III trimestre ]])*100%</f>
        <v>1</v>
      </c>
      <c r="AN55" s="110" t="s">
        <v>793</v>
      </c>
      <c r="AO55" s="170" t="s">
        <v>511</v>
      </c>
      <c r="AP55" s="71" t="s">
        <v>788</v>
      </c>
      <c r="AQ55" s="109">
        <v>1</v>
      </c>
      <c r="AR55" s="92">
        <v>1</v>
      </c>
      <c r="AS55" s="159">
        <f>(+Tabla4[[#This Row],[Programación  meta
IV trimestre ]]/AR55)</f>
        <v>1</v>
      </c>
      <c r="AT55" s="119" t="s">
        <v>794</v>
      </c>
      <c r="AU55" s="28" t="s">
        <v>502</v>
      </c>
      <c r="AV55" s="165" t="s">
        <v>485</v>
      </c>
      <c r="AW55" s="87">
        <f>+(Tabla4[[#This Row],[Programación  meta
I trimestre ]]+Tabla4[[#This Row],[Programación  meta
II trimestre ]]+Tabla4[[#This Row],[Programación  meta
III trimestre ]]+Tabla4[[#This Row],[Programación  meta
IV trimestre ]])/4</f>
        <v>1</v>
      </c>
      <c r="AX55" s="86">
        <f>+(Tabla4[[#This Row],[Avance cuantitativo
I trimestre]]+Tabla4[[#This Row],[Avance cuantitativo
II trimestre]]+Tabla4[[#This Row],[Avance cuantitativo
III trimestre]]+AR55)/4</f>
        <v>1.0150000000000001</v>
      </c>
      <c r="AY55" s="86">
        <f t="shared" si="2"/>
        <v>1.0150000000000001</v>
      </c>
      <c r="AZ55" s="89" t="s">
        <v>503</v>
      </c>
      <c r="BA55" s="176"/>
      <c r="BB55" s="176"/>
      <c r="BC55" s="176"/>
      <c r="BD55" s="176"/>
      <c r="BE55" s="176"/>
      <c r="BF55" s="176"/>
      <c r="BG55" s="176"/>
      <c r="BH55" s="176"/>
      <c r="BI55" s="176"/>
      <c r="BJ55" s="176"/>
      <c r="BK55" s="176"/>
      <c r="BL55" s="176"/>
      <c r="BM55" s="176"/>
      <c r="BN55" s="176"/>
      <c r="BO55" s="176"/>
      <c r="BP55" s="176"/>
      <c r="BQ55" s="176"/>
      <c r="BR55" s="176"/>
      <c r="BS55" s="176"/>
      <c r="BT55" s="176"/>
      <c r="BU55" s="176"/>
      <c r="BV55" s="176"/>
      <c r="BW55" s="176"/>
      <c r="BX55" s="176"/>
      <c r="BY55" s="176"/>
      <c r="BZ55" s="176"/>
      <c r="CA55" s="176"/>
      <c r="CB55" s="176"/>
      <c r="CC55" s="176"/>
    </row>
    <row r="56" spans="1:81" s="180" customFormat="1" x14ac:dyDescent="0.2">
      <c r="A56" s="176"/>
      <c r="B56" s="138" t="s">
        <v>320</v>
      </c>
      <c r="C56" s="170" t="s">
        <v>48</v>
      </c>
      <c r="D56" s="71" t="s">
        <v>174</v>
      </c>
      <c r="E56" s="170" t="s">
        <v>547</v>
      </c>
      <c r="F56" s="71" t="s">
        <v>336</v>
      </c>
      <c r="G56" s="71" t="s">
        <v>126</v>
      </c>
      <c r="H56" s="71" t="s">
        <v>187</v>
      </c>
      <c r="I56" s="71" t="s">
        <v>25</v>
      </c>
      <c r="J56" s="71" t="s">
        <v>222</v>
      </c>
      <c r="K56" s="71" t="s">
        <v>403</v>
      </c>
      <c r="L56" s="71" t="s">
        <v>257</v>
      </c>
      <c r="M56" s="71" t="s">
        <v>225</v>
      </c>
      <c r="N56" s="47">
        <v>42</v>
      </c>
      <c r="O56" s="146" t="s">
        <v>795</v>
      </c>
      <c r="P56" s="200">
        <v>1</v>
      </c>
      <c r="Q56" s="49">
        <f>(+Y56+AE56+AK56+AQ56)/4</f>
        <v>1</v>
      </c>
      <c r="R56" s="45" t="s">
        <v>30</v>
      </c>
      <c r="S56" s="146" t="s">
        <v>796</v>
      </c>
      <c r="T56" s="71" t="s">
        <v>797</v>
      </c>
      <c r="U56" s="212">
        <v>44562</v>
      </c>
      <c r="V56" s="212">
        <v>44926</v>
      </c>
      <c r="W56" s="71" t="s">
        <v>74</v>
      </c>
      <c r="X56" s="71" t="s">
        <v>798</v>
      </c>
      <c r="Y56" s="48">
        <v>1</v>
      </c>
      <c r="Z56" s="48">
        <v>1</v>
      </c>
      <c r="AA56" s="59">
        <f>(Z56/Y56)</f>
        <v>1</v>
      </c>
      <c r="AB56" s="60" t="s">
        <v>799</v>
      </c>
      <c r="AC56" s="60" t="s">
        <v>800</v>
      </c>
      <c r="AD56" s="71" t="s">
        <v>798</v>
      </c>
      <c r="AE56" s="48">
        <v>1</v>
      </c>
      <c r="AF56" s="48">
        <v>1</v>
      </c>
      <c r="AG56" s="48">
        <f t="shared" si="5"/>
        <v>1</v>
      </c>
      <c r="AH56" s="104" t="s">
        <v>801</v>
      </c>
      <c r="AI56" s="170" t="s">
        <v>511</v>
      </c>
      <c r="AJ56" s="71" t="s">
        <v>798</v>
      </c>
      <c r="AK56" s="48">
        <v>1</v>
      </c>
      <c r="AL56" s="48">
        <v>1</v>
      </c>
      <c r="AM56" s="25">
        <f>+(Tabla4[[#This Row],[Avance cuantitativo
III trimestre]]/Tabla4[[#This Row],[Programación  meta
III trimestre ]])*100%</f>
        <v>1</v>
      </c>
      <c r="AN56" s="110" t="s">
        <v>802</v>
      </c>
      <c r="AO56" s="170" t="s">
        <v>511</v>
      </c>
      <c r="AP56" s="71" t="s">
        <v>798</v>
      </c>
      <c r="AQ56" s="109">
        <v>1</v>
      </c>
      <c r="AR56" s="92">
        <v>1</v>
      </c>
      <c r="AS56" s="159">
        <f>(+Tabla4[[#This Row],[Programación  meta
IV trimestre ]]/AR56)</f>
        <v>1</v>
      </c>
      <c r="AT56" s="119" t="s">
        <v>803</v>
      </c>
      <c r="AU56" s="28" t="s">
        <v>502</v>
      </c>
      <c r="AV56" s="165" t="s">
        <v>485</v>
      </c>
      <c r="AW56" s="87">
        <f>+(Tabla4[[#This Row],[Programación  meta
I trimestre ]]+Tabla4[[#This Row],[Programación  meta
II trimestre ]]+Tabla4[[#This Row],[Programación  meta
III trimestre ]]+Tabla4[[#This Row],[Programación  meta
IV trimestre ]])/4</f>
        <v>1</v>
      </c>
      <c r="AX56" s="86">
        <f>+(Tabla4[[#This Row],[Avance cuantitativo
I trimestre]]+Tabla4[[#This Row],[Avance cuantitativo
II trimestre]]+Tabla4[[#This Row],[Avance cuantitativo
III trimestre]]+AR56)/4</f>
        <v>1</v>
      </c>
      <c r="AY56" s="86">
        <f t="shared" si="2"/>
        <v>1</v>
      </c>
      <c r="AZ56" s="89" t="s">
        <v>503</v>
      </c>
      <c r="BA56" s="176"/>
      <c r="BB56" s="176"/>
      <c r="BC56" s="176"/>
      <c r="BD56" s="176"/>
      <c r="BE56" s="176"/>
      <c r="BF56" s="176"/>
      <c r="BG56" s="176"/>
      <c r="BH56" s="176"/>
      <c r="BI56" s="176"/>
      <c r="BJ56" s="176"/>
      <c r="BK56" s="176"/>
      <c r="BL56" s="176"/>
      <c r="BM56" s="176"/>
      <c r="BN56" s="176"/>
      <c r="BO56" s="176"/>
      <c r="BP56" s="176"/>
      <c r="BQ56" s="176"/>
      <c r="BR56" s="176"/>
      <c r="BS56" s="176"/>
      <c r="BT56" s="176"/>
      <c r="BU56" s="176"/>
      <c r="BV56" s="176"/>
      <c r="BW56" s="176"/>
      <c r="BX56" s="176"/>
      <c r="BY56" s="176"/>
      <c r="BZ56" s="176"/>
      <c r="CA56" s="176"/>
      <c r="CB56" s="176"/>
      <c r="CC56" s="176"/>
    </row>
    <row r="57" spans="1:81" s="180" customFormat="1" x14ac:dyDescent="0.2">
      <c r="A57" s="176"/>
      <c r="B57" s="138" t="s">
        <v>320</v>
      </c>
      <c r="C57" s="170" t="s">
        <v>48</v>
      </c>
      <c r="D57" s="71" t="s">
        <v>174</v>
      </c>
      <c r="E57" s="170" t="s">
        <v>547</v>
      </c>
      <c r="F57" s="71" t="s">
        <v>336</v>
      </c>
      <c r="G57" s="71" t="s">
        <v>126</v>
      </c>
      <c r="H57" s="71" t="s">
        <v>187</v>
      </c>
      <c r="I57" s="71" t="s">
        <v>25</v>
      </c>
      <c r="J57" s="71" t="s">
        <v>222</v>
      </c>
      <c r="K57" s="71" t="s">
        <v>403</v>
      </c>
      <c r="L57" s="71" t="s">
        <v>257</v>
      </c>
      <c r="M57" s="71" t="s">
        <v>225</v>
      </c>
      <c r="N57" s="47">
        <v>43</v>
      </c>
      <c r="O57" s="146" t="s">
        <v>804</v>
      </c>
      <c r="P57" s="200">
        <v>1</v>
      </c>
      <c r="Q57" s="49">
        <f>(+Y57+AE57+AK57+AQ57)/4</f>
        <v>1</v>
      </c>
      <c r="R57" s="45" t="s">
        <v>30</v>
      </c>
      <c r="S57" s="146" t="s">
        <v>805</v>
      </c>
      <c r="T57" s="146" t="s">
        <v>806</v>
      </c>
      <c r="U57" s="212">
        <v>44562</v>
      </c>
      <c r="V57" s="212">
        <v>44926</v>
      </c>
      <c r="W57" s="71" t="s">
        <v>74</v>
      </c>
      <c r="X57" s="71" t="s">
        <v>807</v>
      </c>
      <c r="Y57" s="48">
        <v>1</v>
      </c>
      <c r="Z57" s="48">
        <v>1</v>
      </c>
      <c r="AA57" s="59">
        <f>(Z57/Y57)</f>
        <v>1</v>
      </c>
      <c r="AB57" s="60" t="s">
        <v>808</v>
      </c>
      <c r="AC57" s="60" t="s">
        <v>800</v>
      </c>
      <c r="AD57" s="71" t="s">
        <v>807</v>
      </c>
      <c r="AE57" s="48">
        <v>1</v>
      </c>
      <c r="AF57" s="48">
        <v>1</v>
      </c>
      <c r="AG57" s="48">
        <f t="shared" si="5"/>
        <v>1</v>
      </c>
      <c r="AH57" s="104" t="s">
        <v>809</v>
      </c>
      <c r="AI57" s="170" t="s">
        <v>511</v>
      </c>
      <c r="AJ57" s="71" t="s">
        <v>807</v>
      </c>
      <c r="AK57" s="48">
        <v>1</v>
      </c>
      <c r="AL57" s="48">
        <v>1</v>
      </c>
      <c r="AM57" s="25">
        <f>+(Tabla4[[#This Row],[Avance cuantitativo
III trimestre]]/Tabla4[[#This Row],[Programación  meta
III trimestre ]])*100%</f>
        <v>1</v>
      </c>
      <c r="AN57" s="110" t="s">
        <v>810</v>
      </c>
      <c r="AO57" s="170" t="s">
        <v>511</v>
      </c>
      <c r="AP57" s="71" t="s">
        <v>807</v>
      </c>
      <c r="AQ57" s="109">
        <v>1</v>
      </c>
      <c r="AR57" s="92">
        <v>1</v>
      </c>
      <c r="AS57" s="159">
        <f>(+Tabla4[[#This Row],[Programación  meta
IV trimestre ]]/AR57)</f>
        <v>1</v>
      </c>
      <c r="AT57" s="119" t="s">
        <v>811</v>
      </c>
      <c r="AU57" s="28" t="s">
        <v>502</v>
      </c>
      <c r="AV57" s="165" t="s">
        <v>485</v>
      </c>
      <c r="AW57" s="87">
        <f>+(Tabla4[[#This Row],[Programación  meta
I trimestre ]]+Tabla4[[#This Row],[Programación  meta
II trimestre ]]+Tabla4[[#This Row],[Programación  meta
III trimestre ]]+Tabla4[[#This Row],[Programación  meta
IV trimestre ]])/4</f>
        <v>1</v>
      </c>
      <c r="AX57" s="86">
        <f>+(Tabla4[[#This Row],[Avance cuantitativo
I trimestre]]+Tabla4[[#This Row],[Avance cuantitativo
II trimestre]]+Tabla4[[#This Row],[Avance cuantitativo
III trimestre]]+AR57)/4</f>
        <v>1</v>
      </c>
      <c r="AY57" s="86">
        <f t="shared" si="2"/>
        <v>1</v>
      </c>
      <c r="AZ57" s="89" t="s">
        <v>503</v>
      </c>
      <c r="BA57" s="176"/>
      <c r="BB57" s="176"/>
      <c r="BC57" s="176"/>
      <c r="BD57" s="176"/>
      <c r="BE57" s="176"/>
      <c r="BF57" s="176"/>
      <c r="BG57" s="176"/>
      <c r="BH57" s="176"/>
      <c r="BI57" s="176"/>
      <c r="BJ57" s="176"/>
      <c r="BK57" s="176"/>
      <c r="BL57" s="176"/>
      <c r="BM57" s="176"/>
      <c r="BN57" s="176"/>
      <c r="BO57" s="176"/>
      <c r="BP57" s="176"/>
      <c r="BQ57" s="176"/>
      <c r="BR57" s="176"/>
      <c r="BS57" s="176"/>
      <c r="BT57" s="176"/>
      <c r="BU57" s="176"/>
      <c r="BV57" s="176"/>
      <c r="BW57" s="176"/>
      <c r="BX57" s="176"/>
      <c r="BY57" s="176"/>
      <c r="BZ57" s="176"/>
      <c r="CA57" s="176"/>
      <c r="CB57" s="176"/>
      <c r="CC57" s="176"/>
    </row>
    <row r="58" spans="1:81" s="176" customFormat="1" x14ac:dyDescent="0.2">
      <c r="A58" s="180"/>
      <c r="B58" s="142" t="s">
        <v>320</v>
      </c>
      <c r="C58" s="170" t="s">
        <v>48</v>
      </c>
      <c r="D58" s="104" t="s">
        <v>174</v>
      </c>
      <c r="E58" s="177" t="s">
        <v>91</v>
      </c>
      <c r="F58" s="104" t="s">
        <v>336</v>
      </c>
      <c r="G58" s="104" t="s">
        <v>812</v>
      </c>
      <c r="H58" s="104" t="s">
        <v>187</v>
      </c>
      <c r="I58" s="104" t="s">
        <v>25</v>
      </c>
      <c r="J58" s="104" t="s">
        <v>222</v>
      </c>
      <c r="K58" s="104" t="s">
        <v>403</v>
      </c>
      <c r="L58" s="104" t="s">
        <v>252</v>
      </c>
      <c r="M58" s="104" t="s">
        <v>225</v>
      </c>
      <c r="N58" s="47">
        <v>44</v>
      </c>
      <c r="O58" s="104" t="s">
        <v>813</v>
      </c>
      <c r="P58" s="72">
        <v>1</v>
      </c>
      <c r="Q58" s="49" t="e">
        <f>(+Y58+AE58+AK58+AQ58)/4</f>
        <v>#VALUE!</v>
      </c>
      <c r="R58" s="53" t="s">
        <v>30</v>
      </c>
      <c r="S58" s="104" t="s">
        <v>814</v>
      </c>
      <c r="T58" s="104" t="s">
        <v>815</v>
      </c>
      <c r="U58" s="215">
        <v>44562</v>
      </c>
      <c r="V58" s="215">
        <v>44592</v>
      </c>
      <c r="W58" s="104" t="s">
        <v>74</v>
      </c>
      <c r="X58" s="71" t="s">
        <v>496</v>
      </c>
      <c r="Y58" s="45" t="s">
        <v>496</v>
      </c>
      <c r="Z58" s="45" t="s">
        <v>496</v>
      </c>
      <c r="AA58" s="45" t="s">
        <v>496</v>
      </c>
      <c r="AB58" s="71" t="s">
        <v>496</v>
      </c>
      <c r="AC58" s="71" t="s">
        <v>496</v>
      </c>
      <c r="AD58" s="104" t="s">
        <v>816</v>
      </c>
      <c r="AE58" s="72">
        <v>1</v>
      </c>
      <c r="AF58" s="49">
        <v>1</v>
      </c>
      <c r="AG58" s="49">
        <f t="shared" si="5"/>
        <v>1</v>
      </c>
      <c r="AH58" s="104" t="s">
        <v>817</v>
      </c>
      <c r="AI58" s="170" t="s">
        <v>511</v>
      </c>
      <c r="AJ58" s="181" t="s">
        <v>496</v>
      </c>
      <c r="AK58" s="244" t="s">
        <v>496</v>
      </c>
      <c r="AL58" s="244" t="s">
        <v>496</v>
      </c>
      <c r="AM58" s="244" t="s">
        <v>496</v>
      </c>
      <c r="AN58" s="181" t="s">
        <v>496</v>
      </c>
      <c r="AO58" s="181" t="s">
        <v>496</v>
      </c>
      <c r="AP58" s="104" t="s">
        <v>816</v>
      </c>
      <c r="AQ58" s="73">
        <v>1</v>
      </c>
      <c r="AR58" s="92">
        <v>1</v>
      </c>
      <c r="AS58" s="159">
        <f>(+Tabla4[[#This Row],[Programación  meta
IV trimestre ]]/AR58)</f>
        <v>1</v>
      </c>
      <c r="AT58" s="104" t="s">
        <v>817</v>
      </c>
      <c r="AU58" s="28" t="s">
        <v>502</v>
      </c>
      <c r="AV58" s="165" t="s">
        <v>485</v>
      </c>
      <c r="AW58" s="87">
        <f>+(Tabla4[[#This Row],[Programación  meta
II trimestre ]]+Tabla4[[#This Row],[Programación  meta
IV trimestre ]])/2</f>
        <v>1</v>
      </c>
      <c r="AX58" s="86">
        <f>+(Tabla4[[#This Row],[Avance cuantitativo
II trimestre]]+AR58)/2</f>
        <v>1</v>
      </c>
      <c r="AY58" s="86">
        <f t="shared" si="2"/>
        <v>1</v>
      </c>
      <c r="AZ58" s="89" t="s">
        <v>503</v>
      </c>
      <c r="BA58" s="180"/>
      <c r="BB58" s="180"/>
      <c r="BC58" s="180"/>
      <c r="BD58" s="180"/>
      <c r="BE58" s="180"/>
      <c r="BF58" s="180"/>
      <c r="BG58" s="180"/>
      <c r="BH58" s="180"/>
      <c r="BI58" s="180"/>
      <c r="BJ58" s="180"/>
      <c r="BK58" s="180"/>
      <c r="BL58" s="180"/>
      <c r="BM58" s="180"/>
      <c r="BN58" s="180"/>
      <c r="BO58" s="180"/>
      <c r="BP58" s="180"/>
      <c r="BQ58" s="180"/>
      <c r="BR58" s="180"/>
      <c r="BS58" s="180"/>
      <c r="BT58" s="180"/>
      <c r="BU58" s="180"/>
      <c r="BV58" s="180"/>
      <c r="BW58" s="180"/>
      <c r="BX58" s="180"/>
      <c r="BY58" s="180"/>
      <c r="BZ58" s="180"/>
      <c r="CA58" s="180"/>
      <c r="CB58" s="180"/>
      <c r="CC58" s="180"/>
    </row>
    <row r="59" spans="1:81" s="176" customFormat="1" x14ac:dyDescent="0.2">
      <c r="A59" s="179"/>
      <c r="B59" s="138" t="s">
        <v>320</v>
      </c>
      <c r="C59" s="170" t="s">
        <v>48</v>
      </c>
      <c r="D59" s="71" t="s">
        <v>174</v>
      </c>
      <c r="E59" s="170" t="s">
        <v>547</v>
      </c>
      <c r="F59" s="71" t="s">
        <v>336</v>
      </c>
      <c r="G59" s="71" t="s">
        <v>23</v>
      </c>
      <c r="H59" s="71" t="s">
        <v>137</v>
      </c>
      <c r="I59" s="71" t="s">
        <v>25</v>
      </c>
      <c r="J59" s="71" t="s">
        <v>138</v>
      </c>
      <c r="K59" s="71" t="s">
        <v>403</v>
      </c>
      <c r="L59" s="71" t="s">
        <v>257</v>
      </c>
      <c r="M59" s="71" t="s">
        <v>225</v>
      </c>
      <c r="N59" s="47">
        <v>45</v>
      </c>
      <c r="O59" s="71" t="s">
        <v>818</v>
      </c>
      <c r="P59" s="45">
        <v>4</v>
      </c>
      <c r="Q59" s="201">
        <f>+Y59+AE59+AK59+AQ59</f>
        <v>4</v>
      </c>
      <c r="R59" s="45" t="s">
        <v>45</v>
      </c>
      <c r="S59" s="71" t="s">
        <v>819</v>
      </c>
      <c r="T59" s="71" t="s">
        <v>820</v>
      </c>
      <c r="U59" s="212">
        <v>44562</v>
      </c>
      <c r="V59" s="212">
        <v>44926</v>
      </c>
      <c r="W59" s="71" t="s">
        <v>87</v>
      </c>
      <c r="X59" s="71" t="s">
        <v>821</v>
      </c>
      <c r="Y59" s="45">
        <v>1</v>
      </c>
      <c r="Z59" s="45">
        <v>1</v>
      </c>
      <c r="AA59" s="58">
        <f>(Z59/Y59)</f>
        <v>1</v>
      </c>
      <c r="AB59" s="60" t="s">
        <v>822</v>
      </c>
      <c r="AC59" s="175" t="s">
        <v>823</v>
      </c>
      <c r="AD59" s="71" t="s">
        <v>821</v>
      </c>
      <c r="AE59" s="45">
        <v>1</v>
      </c>
      <c r="AF59" s="47">
        <v>1</v>
      </c>
      <c r="AG59" s="49">
        <f t="shared" si="5"/>
        <v>1</v>
      </c>
      <c r="AH59" s="104" t="s">
        <v>824</v>
      </c>
      <c r="AI59" s="170" t="s">
        <v>511</v>
      </c>
      <c r="AJ59" s="71" t="s">
        <v>821</v>
      </c>
      <c r="AK59" s="45">
        <v>1</v>
      </c>
      <c r="AL59" s="45">
        <v>1</v>
      </c>
      <c r="AM59" s="25">
        <f>+(Tabla4[[#This Row],[Avance cuantitativo
III trimestre]]/Tabla4[[#This Row],[Programación  meta
III trimestre ]])*100%</f>
        <v>1</v>
      </c>
      <c r="AN59" s="110" t="s">
        <v>825</v>
      </c>
      <c r="AO59" s="170" t="s">
        <v>511</v>
      </c>
      <c r="AP59" s="71" t="s">
        <v>821</v>
      </c>
      <c r="AQ59" s="63">
        <v>1</v>
      </c>
      <c r="AR59" s="37">
        <v>1</v>
      </c>
      <c r="AS59" s="159">
        <f>(+Tabla4[[#This Row],[Programación  meta
IV trimestre ]]/AR59)</f>
        <v>1</v>
      </c>
      <c r="AT59" s="249" t="s">
        <v>826</v>
      </c>
      <c r="AU59" s="28" t="s">
        <v>502</v>
      </c>
      <c r="AV59" s="165" t="s">
        <v>485</v>
      </c>
      <c r="AW59" s="85">
        <f>+Tabla4[[#This Row],[Programación  meta
I trimestre ]]+Tabla4[[#This Row],[Programación  meta
II trimestre ]]+Tabla4[[#This Row],[Programación  meta
III trimestre ]]+Tabla4[[#This Row],[Programación  meta
IV trimestre ]]</f>
        <v>4</v>
      </c>
      <c r="AX59" s="84">
        <f>+Tabla4[[#This Row],[Avance cuantitativo
I trimestre]]+Tabla4[[#This Row],[Avance cuantitativo
II trimestre]]+Tabla4[[#This Row],[Avance cuantitativo
III trimestre]]+AR59</f>
        <v>4</v>
      </c>
      <c r="AY59" s="86">
        <f t="shared" si="2"/>
        <v>1</v>
      </c>
      <c r="AZ59" s="89" t="s">
        <v>503</v>
      </c>
      <c r="BA59" s="179"/>
      <c r="BB59" s="179"/>
      <c r="BC59" s="179"/>
      <c r="BD59" s="179"/>
      <c r="BE59" s="179"/>
      <c r="BF59" s="179"/>
      <c r="BG59" s="179"/>
      <c r="BH59" s="179"/>
      <c r="BI59" s="179"/>
      <c r="BJ59" s="179"/>
      <c r="BK59" s="179"/>
      <c r="BL59" s="179"/>
      <c r="BM59" s="179"/>
      <c r="BN59" s="179"/>
      <c r="BO59" s="179"/>
      <c r="BP59" s="179"/>
      <c r="BQ59" s="179"/>
      <c r="BR59" s="179"/>
      <c r="BS59" s="179"/>
      <c r="BT59" s="179"/>
      <c r="BU59" s="179"/>
      <c r="BV59" s="179"/>
      <c r="BW59" s="179"/>
      <c r="BX59" s="179"/>
      <c r="BY59" s="179"/>
      <c r="BZ59" s="179"/>
      <c r="CA59" s="179"/>
      <c r="CB59" s="179"/>
      <c r="CC59" s="179"/>
    </row>
    <row r="60" spans="1:81" s="176" customFormat="1" x14ac:dyDescent="0.2">
      <c r="A60" s="179"/>
      <c r="B60" s="138" t="s">
        <v>320</v>
      </c>
      <c r="C60" s="170" t="s">
        <v>48</v>
      </c>
      <c r="D60" s="71" t="s">
        <v>174</v>
      </c>
      <c r="E60" s="170" t="s">
        <v>547</v>
      </c>
      <c r="F60" s="71" t="s">
        <v>336</v>
      </c>
      <c r="G60" s="71" t="s">
        <v>23</v>
      </c>
      <c r="H60" s="71" t="s">
        <v>137</v>
      </c>
      <c r="I60" s="71" t="s">
        <v>25</v>
      </c>
      <c r="J60" s="71" t="s">
        <v>138</v>
      </c>
      <c r="K60" s="71" t="s">
        <v>403</v>
      </c>
      <c r="L60" s="71" t="s">
        <v>257</v>
      </c>
      <c r="M60" s="71" t="s">
        <v>225</v>
      </c>
      <c r="N60" s="47">
        <v>46</v>
      </c>
      <c r="O60" s="71" t="s">
        <v>827</v>
      </c>
      <c r="P60" s="45">
        <v>12</v>
      </c>
      <c r="Q60" s="47">
        <f>+Y60+AE60+AK60+AQ60</f>
        <v>12</v>
      </c>
      <c r="R60" s="45" t="s">
        <v>45</v>
      </c>
      <c r="S60" s="71" t="s">
        <v>828</v>
      </c>
      <c r="T60" s="71" t="s">
        <v>829</v>
      </c>
      <c r="U60" s="212">
        <v>44562</v>
      </c>
      <c r="V60" s="212">
        <v>44926</v>
      </c>
      <c r="W60" s="71" t="s">
        <v>87</v>
      </c>
      <c r="X60" s="71" t="s">
        <v>830</v>
      </c>
      <c r="Y60" s="45">
        <v>3</v>
      </c>
      <c r="Z60" s="45">
        <v>5</v>
      </c>
      <c r="AA60" s="58">
        <v>1</v>
      </c>
      <c r="AB60" s="60" t="s">
        <v>831</v>
      </c>
      <c r="AC60" s="175" t="s">
        <v>832</v>
      </c>
      <c r="AD60" s="71" t="s">
        <v>830</v>
      </c>
      <c r="AE60" s="45">
        <v>3</v>
      </c>
      <c r="AF60" s="47">
        <v>3</v>
      </c>
      <c r="AG60" s="49">
        <f t="shared" si="5"/>
        <v>1</v>
      </c>
      <c r="AH60" s="104" t="s">
        <v>833</v>
      </c>
      <c r="AI60" s="170" t="s">
        <v>511</v>
      </c>
      <c r="AJ60" s="71" t="s">
        <v>830</v>
      </c>
      <c r="AK60" s="45">
        <v>3</v>
      </c>
      <c r="AL60" s="45">
        <v>3</v>
      </c>
      <c r="AM60" s="25">
        <f>+(Tabla4[[#This Row],[Avance cuantitativo
III trimestre]]/Tabla4[[#This Row],[Programación  meta
III trimestre ]])*100%</f>
        <v>1</v>
      </c>
      <c r="AN60" s="110" t="s">
        <v>834</v>
      </c>
      <c r="AO60" s="104" t="s">
        <v>835</v>
      </c>
      <c r="AP60" s="71" t="s">
        <v>830</v>
      </c>
      <c r="AQ60" s="63">
        <v>3</v>
      </c>
      <c r="AR60" s="37">
        <v>3</v>
      </c>
      <c r="AS60" s="159">
        <f>(+Tabla4[[#This Row],[Programación  meta
IV trimestre ]]/AR60)</f>
        <v>1</v>
      </c>
      <c r="AT60" s="249" t="s">
        <v>836</v>
      </c>
      <c r="AU60" s="28" t="s">
        <v>502</v>
      </c>
      <c r="AV60" s="165" t="s">
        <v>485</v>
      </c>
      <c r="AW60" s="85">
        <f>+Tabla4[[#This Row],[Programación  meta
I trimestre ]]+Tabla4[[#This Row],[Programación  meta
II trimestre ]]+Tabla4[[#This Row],[Programación  meta
III trimestre ]]+Tabla4[[#This Row],[Programación  meta
IV trimestre ]]</f>
        <v>12</v>
      </c>
      <c r="AX60" s="84">
        <f>+Tabla4[[#This Row],[Avance cuantitativo
I trimestre]]+Tabla4[[#This Row],[Avance cuantitativo
II trimestre]]+Tabla4[[#This Row],[Avance cuantitativo
III trimestre]]+AR60</f>
        <v>14</v>
      </c>
      <c r="AY60" s="86">
        <f t="shared" si="2"/>
        <v>1.1666666666666667</v>
      </c>
      <c r="AZ60" s="89" t="s">
        <v>503</v>
      </c>
      <c r="BA60" s="179"/>
      <c r="BB60" s="179"/>
      <c r="BC60" s="179"/>
      <c r="BD60" s="179"/>
      <c r="BE60" s="179"/>
      <c r="BF60" s="179"/>
      <c r="BG60" s="179"/>
      <c r="BH60" s="179"/>
      <c r="BI60" s="179"/>
      <c r="BJ60" s="179"/>
      <c r="BK60" s="179"/>
      <c r="BL60" s="179"/>
      <c r="BM60" s="179"/>
      <c r="BN60" s="179"/>
      <c r="BO60" s="179"/>
      <c r="BP60" s="179"/>
      <c r="BQ60" s="179"/>
      <c r="BR60" s="179"/>
      <c r="BS60" s="179"/>
      <c r="BT60" s="179"/>
      <c r="BU60" s="179"/>
      <c r="BV60" s="179"/>
      <c r="BW60" s="179"/>
      <c r="BX60" s="179"/>
      <c r="BY60" s="179"/>
      <c r="BZ60" s="179"/>
      <c r="CA60" s="179"/>
      <c r="CB60" s="179"/>
      <c r="CC60" s="179"/>
    </row>
    <row r="61" spans="1:81" s="176" customFormat="1" x14ac:dyDescent="0.2">
      <c r="B61" s="138" t="s">
        <v>308</v>
      </c>
      <c r="C61" s="170" t="s">
        <v>48</v>
      </c>
      <c r="D61" s="71" t="s">
        <v>719</v>
      </c>
      <c r="E61" s="170" t="s">
        <v>547</v>
      </c>
      <c r="F61" s="71" t="s">
        <v>336</v>
      </c>
      <c r="G61" s="71" t="s">
        <v>229</v>
      </c>
      <c r="H61" s="71" t="s">
        <v>39</v>
      </c>
      <c r="I61" s="71" t="s">
        <v>25</v>
      </c>
      <c r="J61" s="71" t="s">
        <v>138</v>
      </c>
      <c r="K61" s="71" t="s">
        <v>403</v>
      </c>
      <c r="L61" s="71" t="s">
        <v>257</v>
      </c>
      <c r="M61" s="71" t="s">
        <v>225</v>
      </c>
      <c r="N61" s="47">
        <v>47</v>
      </c>
      <c r="O61" s="71" t="s">
        <v>837</v>
      </c>
      <c r="P61" s="48">
        <v>1</v>
      </c>
      <c r="Q61" s="49">
        <f>(+Y61+AE61+AK61+AQ61)/4</f>
        <v>1</v>
      </c>
      <c r="R61" s="202" t="s">
        <v>30</v>
      </c>
      <c r="S61" s="71" t="s">
        <v>838</v>
      </c>
      <c r="T61" s="71" t="s">
        <v>839</v>
      </c>
      <c r="U61" s="212">
        <v>44562</v>
      </c>
      <c r="V61" s="45" t="s">
        <v>495</v>
      </c>
      <c r="W61" s="71" t="s">
        <v>99</v>
      </c>
      <c r="X61" s="71" t="s">
        <v>840</v>
      </c>
      <c r="Y61" s="48">
        <v>1</v>
      </c>
      <c r="Z61" s="48">
        <v>1</v>
      </c>
      <c r="AA61" s="59">
        <f>(Z61/Y61)</f>
        <v>1</v>
      </c>
      <c r="AB61" s="60" t="s">
        <v>841</v>
      </c>
      <c r="AC61" s="175" t="s">
        <v>511</v>
      </c>
      <c r="AD61" s="71" t="s">
        <v>840</v>
      </c>
      <c r="AE61" s="48">
        <v>1</v>
      </c>
      <c r="AF61" s="49">
        <v>1</v>
      </c>
      <c r="AG61" s="49">
        <f t="shared" si="5"/>
        <v>1</v>
      </c>
      <c r="AH61" s="71" t="s">
        <v>842</v>
      </c>
      <c r="AI61" s="170" t="s">
        <v>511</v>
      </c>
      <c r="AJ61" s="71" t="s">
        <v>840</v>
      </c>
      <c r="AK61" s="48">
        <v>1</v>
      </c>
      <c r="AL61" s="48">
        <v>1</v>
      </c>
      <c r="AM61" s="25">
        <f>+(Tabla4[[#This Row],[Avance cuantitativo
III trimestre]]/Tabla4[[#This Row],[Programación  meta
III trimestre ]])*100%</f>
        <v>1</v>
      </c>
      <c r="AN61" s="110" t="s">
        <v>843</v>
      </c>
      <c r="AO61" s="170" t="s">
        <v>511</v>
      </c>
      <c r="AP61" s="71" t="s">
        <v>840</v>
      </c>
      <c r="AQ61" s="109">
        <v>1</v>
      </c>
      <c r="AR61" s="92">
        <v>1</v>
      </c>
      <c r="AS61" s="159">
        <f>(+Tabla4[[#This Row],[Programación  meta
IV trimestre ]]/AR61)</f>
        <v>1</v>
      </c>
      <c r="AT61" s="140" t="s">
        <v>844</v>
      </c>
      <c r="AU61" s="28" t="s">
        <v>502</v>
      </c>
      <c r="AV61" s="165" t="s">
        <v>485</v>
      </c>
      <c r="AW61" s="87">
        <f>+(Tabla4[[#This Row],[Programación  meta
I trimestre ]]+Tabla4[[#This Row],[Programación  meta
II trimestre ]]+Tabla4[[#This Row],[Programación  meta
III trimestre ]]+Tabla4[[#This Row],[Programación  meta
IV trimestre ]])/4</f>
        <v>1</v>
      </c>
      <c r="AX61" s="86">
        <f>+(Tabla4[[#This Row],[Avance cuantitativo
I trimestre]]+Tabla4[[#This Row],[Avance cuantitativo
II trimestre]]+Tabla4[[#This Row],[Avance cuantitativo
III trimestre]]+AR61)/4</f>
        <v>1</v>
      </c>
      <c r="AY61" s="86">
        <f t="shared" si="2"/>
        <v>1</v>
      </c>
      <c r="AZ61" s="89" t="s">
        <v>503</v>
      </c>
    </row>
    <row r="62" spans="1:81" s="141" customFormat="1" x14ac:dyDescent="0.2">
      <c r="A62" s="129"/>
      <c r="B62" s="142" t="s">
        <v>320</v>
      </c>
      <c r="C62" s="71" t="s">
        <v>48</v>
      </c>
      <c r="D62" s="104" t="s">
        <v>719</v>
      </c>
      <c r="E62" s="71" t="s">
        <v>547</v>
      </c>
      <c r="F62" s="104" t="s">
        <v>336</v>
      </c>
      <c r="G62" s="104" t="s">
        <v>93</v>
      </c>
      <c r="H62" s="104" t="s">
        <v>720</v>
      </c>
      <c r="I62" s="104" t="s">
        <v>40</v>
      </c>
      <c r="J62" s="104" t="s">
        <v>222</v>
      </c>
      <c r="K62" s="104" t="s">
        <v>403</v>
      </c>
      <c r="L62" s="104" t="s">
        <v>257</v>
      </c>
      <c r="M62" s="104" t="s">
        <v>225</v>
      </c>
      <c r="N62" s="45">
        <v>48</v>
      </c>
      <c r="O62" s="104" t="s">
        <v>845</v>
      </c>
      <c r="P62" s="53">
        <v>2</v>
      </c>
      <c r="Q62" s="45" t="e">
        <f t="shared" ref="Q62:Q95" si="6">+Y62+AE62+AK62+AQ62</f>
        <v>#VALUE!</v>
      </c>
      <c r="R62" s="53" t="s">
        <v>45</v>
      </c>
      <c r="S62" s="104" t="s">
        <v>846</v>
      </c>
      <c r="T62" s="104" t="s">
        <v>723</v>
      </c>
      <c r="U62" s="215">
        <v>44562</v>
      </c>
      <c r="V62" s="53" t="s">
        <v>495</v>
      </c>
      <c r="W62" s="104" t="s">
        <v>315</v>
      </c>
      <c r="X62" s="71" t="s">
        <v>496</v>
      </c>
      <c r="Y62" s="45" t="s">
        <v>496</v>
      </c>
      <c r="Z62" s="45" t="s">
        <v>496</v>
      </c>
      <c r="AA62" s="45" t="s">
        <v>496</v>
      </c>
      <c r="AB62" s="71" t="s">
        <v>496</v>
      </c>
      <c r="AC62" s="71" t="s">
        <v>496</v>
      </c>
      <c r="AD62" s="104" t="s">
        <v>847</v>
      </c>
      <c r="AE62" s="53">
        <v>1</v>
      </c>
      <c r="AF62" s="45">
        <v>1</v>
      </c>
      <c r="AG62" s="48">
        <f t="shared" si="5"/>
        <v>1</v>
      </c>
      <c r="AH62" s="104" t="s">
        <v>848</v>
      </c>
      <c r="AI62" s="71" t="s">
        <v>511</v>
      </c>
      <c r="AJ62" s="71" t="s">
        <v>496</v>
      </c>
      <c r="AK62" s="45" t="s">
        <v>496</v>
      </c>
      <c r="AL62" s="45" t="s">
        <v>496</v>
      </c>
      <c r="AM62" s="45" t="s">
        <v>496</v>
      </c>
      <c r="AN62" s="71" t="s">
        <v>496</v>
      </c>
      <c r="AO62" s="170" t="s">
        <v>496</v>
      </c>
      <c r="AP62" s="104" t="s">
        <v>847</v>
      </c>
      <c r="AQ62" s="65">
        <v>1</v>
      </c>
      <c r="AR62" s="37">
        <v>1</v>
      </c>
      <c r="AS62" s="159">
        <f>(+Tabla4[[#This Row],[Programación  meta
IV trimestre ]]/AR62)</f>
        <v>1</v>
      </c>
      <c r="AT62" s="160" t="s">
        <v>849</v>
      </c>
      <c r="AU62" s="28" t="s">
        <v>502</v>
      </c>
      <c r="AV62" s="165" t="s">
        <v>485</v>
      </c>
      <c r="AW62" s="209">
        <f>+Tabla4[[#This Row],[Programación  meta
II trimestre ]]+Tabla4[[#This Row],[Programación  meta
IV trimestre ]]</f>
        <v>2</v>
      </c>
      <c r="AX62" s="205">
        <f>+Tabla4[[#This Row],[Avance cuantitativo
II trimestre]]+AR62</f>
        <v>2</v>
      </c>
      <c r="AY62" s="253">
        <f t="shared" si="2"/>
        <v>1</v>
      </c>
      <c r="AZ62" s="89" t="s">
        <v>503</v>
      </c>
      <c r="BA62" s="129"/>
      <c r="BB62" s="129"/>
      <c r="BC62" s="129"/>
      <c r="BD62" s="129"/>
      <c r="BE62" s="129"/>
      <c r="BF62" s="129"/>
      <c r="BG62" s="129"/>
      <c r="BH62" s="129"/>
      <c r="BI62" s="129"/>
      <c r="BJ62" s="129"/>
      <c r="BK62" s="129"/>
      <c r="BL62" s="129"/>
      <c r="BM62" s="129"/>
      <c r="BN62" s="129"/>
      <c r="BO62" s="129"/>
      <c r="BP62" s="129"/>
      <c r="BQ62" s="129"/>
      <c r="BR62" s="129"/>
      <c r="BS62" s="129"/>
      <c r="BT62" s="129"/>
      <c r="BU62" s="129"/>
      <c r="BV62" s="129"/>
      <c r="BW62" s="129"/>
      <c r="BX62" s="129"/>
      <c r="BY62" s="129"/>
      <c r="BZ62" s="129"/>
      <c r="CA62" s="129"/>
      <c r="CB62" s="129"/>
      <c r="CC62" s="129"/>
    </row>
    <row r="63" spans="1:81" s="141" customFormat="1" x14ac:dyDescent="0.2">
      <c r="A63" s="129"/>
      <c r="B63" s="142" t="s">
        <v>312</v>
      </c>
      <c r="C63" s="104" t="s">
        <v>33</v>
      </c>
      <c r="D63" s="104" t="s">
        <v>134</v>
      </c>
      <c r="E63" s="104" t="s">
        <v>20</v>
      </c>
      <c r="F63" s="104" t="s">
        <v>290</v>
      </c>
      <c r="G63" s="104" t="s">
        <v>146</v>
      </c>
      <c r="H63" s="104" t="s">
        <v>221</v>
      </c>
      <c r="I63" s="104" t="s">
        <v>25</v>
      </c>
      <c r="J63" s="104" t="s">
        <v>83</v>
      </c>
      <c r="K63" s="104" t="s">
        <v>264</v>
      </c>
      <c r="L63" s="104" t="s">
        <v>257</v>
      </c>
      <c r="M63" s="104" t="s">
        <v>233</v>
      </c>
      <c r="N63" s="45">
        <v>49</v>
      </c>
      <c r="O63" s="104" t="s">
        <v>850</v>
      </c>
      <c r="P63" s="53">
        <v>2</v>
      </c>
      <c r="Q63" s="45" t="e">
        <f t="shared" si="6"/>
        <v>#VALUE!</v>
      </c>
      <c r="R63" s="53" t="s">
        <v>45</v>
      </c>
      <c r="S63" s="104" t="s">
        <v>851</v>
      </c>
      <c r="T63" s="104" t="s">
        <v>852</v>
      </c>
      <c r="U63" s="215">
        <v>44562</v>
      </c>
      <c r="V63" s="53" t="s">
        <v>495</v>
      </c>
      <c r="W63" s="104" t="s">
        <v>315</v>
      </c>
      <c r="X63" s="71" t="s">
        <v>496</v>
      </c>
      <c r="Y63" s="45" t="s">
        <v>496</v>
      </c>
      <c r="Z63" s="45" t="s">
        <v>496</v>
      </c>
      <c r="AA63" s="45" t="s">
        <v>496</v>
      </c>
      <c r="AB63" s="71" t="s">
        <v>496</v>
      </c>
      <c r="AC63" s="71" t="s">
        <v>496</v>
      </c>
      <c r="AD63" s="104" t="s">
        <v>853</v>
      </c>
      <c r="AE63" s="53">
        <v>1</v>
      </c>
      <c r="AF63" s="45">
        <v>1</v>
      </c>
      <c r="AG63" s="48">
        <f t="shared" si="5"/>
        <v>1</v>
      </c>
      <c r="AH63" s="104" t="s">
        <v>854</v>
      </c>
      <c r="AI63" s="71" t="s">
        <v>511</v>
      </c>
      <c r="AJ63" s="71" t="s">
        <v>496</v>
      </c>
      <c r="AK63" s="45" t="s">
        <v>496</v>
      </c>
      <c r="AL63" s="45" t="s">
        <v>496</v>
      </c>
      <c r="AM63" s="45" t="s">
        <v>496</v>
      </c>
      <c r="AN63" s="71" t="s">
        <v>496</v>
      </c>
      <c r="AO63" s="170" t="s">
        <v>496</v>
      </c>
      <c r="AP63" s="104" t="s">
        <v>853</v>
      </c>
      <c r="AQ63" s="65">
        <v>1</v>
      </c>
      <c r="AR63" s="37">
        <v>1</v>
      </c>
      <c r="AS63" s="159">
        <f>(+Tabla4[[#This Row],[Programación  meta
IV trimestre ]]/AR63)</f>
        <v>1</v>
      </c>
      <c r="AT63" s="183" t="s">
        <v>855</v>
      </c>
      <c r="AU63" s="28" t="s">
        <v>502</v>
      </c>
      <c r="AV63" s="165" t="s">
        <v>485</v>
      </c>
      <c r="AW63" s="209">
        <f>+Tabla4[[#This Row],[Programación  meta
II trimestre ]]+Tabla4[[#This Row],[Programación  meta
IV trimestre ]]</f>
        <v>2</v>
      </c>
      <c r="AX63" s="205">
        <f>+Tabla4[[#This Row],[Avance cuantitativo
II trimestre]]+AR63</f>
        <v>2</v>
      </c>
      <c r="AY63" s="86">
        <f t="shared" si="2"/>
        <v>1</v>
      </c>
      <c r="AZ63" s="89" t="s">
        <v>503</v>
      </c>
      <c r="BA63" s="129"/>
      <c r="BB63" s="129"/>
      <c r="BC63" s="129"/>
      <c r="BD63" s="129"/>
      <c r="BE63" s="129"/>
      <c r="BF63" s="129"/>
      <c r="BG63" s="129"/>
      <c r="BH63" s="129"/>
      <c r="BI63" s="129"/>
      <c r="BJ63" s="129"/>
      <c r="BK63" s="129"/>
      <c r="BL63" s="129"/>
      <c r="BM63" s="129"/>
      <c r="BN63" s="129"/>
      <c r="BO63" s="129"/>
      <c r="BP63" s="129"/>
      <c r="BQ63" s="129"/>
      <c r="BR63" s="129"/>
      <c r="BS63" s="129"/>
      <c r="BT63" s="129"/>
      <c r="BU63" s="129"/>
      <c r="BV63" s="129"/>
      <c r="BW63" s="129"/>
      <c r="BX63" s="129"/>
      <c r="BY63" s="129"/>
      <c r="BZ63" s="129"/>
      <c r="CA63" s="129"/>
      <c r="CB63" s="129"/>
      <c r="CC63" s="129"/>
    </row>
    <row r="64" spans="1:81" s="147" customFormat="1" x14ac:dyDescent="0.2">
      <c r="A64" s="129"/>
      <c r="B64" s="142" t="s">
        <v>320</v>
      </c>
      <c r="C64" s="71" t="s">
        <v>48</v>
      </c>
      <c r="D64" s="104" t="s">
        <v>719</v>
      </c>
      <c r="E64" s="71" t="s">
        <v>547</v>
      </c>
      <c r="F64" s="104" t="s">
        <v>336</v>
      </c>
      <c r="G64" s="104" t="s">
        <v>93</v>
      </c>
      <c r="H64" s="104" t="s">
        <v>720</v>
      </c>
      <c r="I64" s="104" t="s">
        <v>40</v>
      </c>
      <c r="J64" s="104" t="s">
        <v>222</v>
      </c>
      <c r="K64" s="104" t="s">
        <v>403</v>
      </c>
      <c r="L64" s="104" t="s">
        <v>257</v>
      </c>
      <c r="M64" s="104" t="s">
        <v>225</v>
      </c>
      <c r="N64" s="45">
        <v>50</v>
      </c>
      <c r="O64" s="104" t="s">
        <v>856</v>
      </c>
      <c r="P64" s="53">
        <v>2</v>
      </c>
      <c r="Q64" s="45" t="e">
        <f t="shared" si="6"/>
        <v>#VALUE!</v>
      </c>
      <c r="R64" s="53" t="s">
        <v>45</v>
      </c>
      <c r="S64" s="104" t="s">
        <v>857</v>
      </c>
      <c r="T64" s="104" t="s">
        <v>723</v>
      </c>
      <c r="U64" s="215">
        <v>44562</v>
      </c>
      <c r="V64" s="53" t="s">
        <v>495</v>
      </c>
      <c r="W64" s="104" t="s">
        <v>307</v>
      </c>
      <c r="X64" s="71" t="s">
        <v>496</v>
      </c>
      <c r="Y64" s="45" t="s">
        <v>496</v>
      </c>
      <c r="Z64" s="45" t="s">
        <v>496</v>
      </c>
      <c r="AA64" s="45" t="s">
        <v>496</v>
      </c>
      <c r="AB64" s="71" t="s">
        <v>496</v>
      </c>
      <c r="AC64" s="71" t="s">
        <v>496</v>
      </c>
      <c r="AD64" s="104" t="s">
        <v>847</v>
      </c>
      <c r="AE64" s="53">
        <v>1</v>
      </c>
      <c r="AF64" s="45">
        <v>1</v>
      </c>
      <c r="AG64" s="48">
        <f t="shared" si="5"/>
        <v>1</v>
      </c>
      <c r="AH64" s="104" t="s">
        <v>858</v>
      </c>
      <c r="AI64" s="71" t="s">
        <v>511</v>
      </c>
      <c r="AJ64" s="71" t="s">
        <v>496</v>
      </c>
      <c r="AK64" s="45" t="s">
        <v>496</v>
      </c>
      <c r="AL64" s="45" t="s">
        <v>496</v>
      </c>
      <c r="AM64" s="45" t="s">
        <v>496</v>
      </c>
      <c r="AN64" s="71" t="s">
        <v>496</v>
      </c>
      <c r="AO64" s="170" t="s">
        <v>496</v>
      </c>
      <c r="AP64" s="104" t="s">
        <v>847</v>
      </c>
      <c r="AQ64" s="65">
        <v>1</v>
      </c>
      <c r="AR64" s="37">
        <v>1</v>
      </c>
      <c r="AS64" s="159">
        <f>(+Tabla4[[#This Row],[Programación  meta
IV trimestre ]]/AR64)</f>
        <v>1</v>
      </c>
      <c r="AT64" s="160" t="s">
        <v>859</v>
      </c>
      <c r="AU64" s="28" t="s">
        <v>502</v>
      </c>
      <c r="AV64" s="165" t="s">
        <v>485</v>
      </c>
      <c r="AW64" s="209">
        <f>+Tabla4[[#This Row],[Programación  meta
II trimestre ]]+Tabla4[[#This Row],[Programación  meta
IV trimestre ]]</f>
        <v>2</v>
      </c>
      <c r="AX64" s="205">
        <f>+Tabla4[[#This Row],[Avance cuantitativo
II trimestre]]+AR64</f>
        <v>2</v>
      </c>
      <c r="AY64" s="86">
        <f t="shared" si="2"/>
        <v>1</v>
      </c>
      <c r="AZ64" s="89" t="s">
        <v>503</v>
      </c>
      <c r="BA64" s="129"/>
      <c r="BB64" s="129"/>
      <c r="BC64" s="129"/>
      <c r="BD64" s="129"/>
      <c r="BE64" s="129"/>
      <c r="BF64" s="129"/>
      <c r="BG64" s="129"/>
      <c r="BH64" s="129"/>
      <c r="BI64" s="129"/>
      <c r="BJ64" s="129"/>
      <c r="BK64" s="129"/>
      <c r="BL64" s="129"/>
      <c r="BM64" s="129"/>
      <c r="BN64" s="129"/>
      <c r="BO64" s="129"/>
      <c r="BP64" s="129"/>
      <c r="BQ64" s="129"/>
      <c r="BR64" s="129"/>
      <c r="BS64" s="129"/>
      <c r="BT64" s="129"/>
      <c r="BU64" s="129"/>
      <c r="BV64" s="129"/>
      <c r="BW64" s="129"/>
      <c r="BX64" s="129"/>
      <c r="BY64" s="129"/>
      <c r="BZ64" s="129"/>
      <c r="CA64" s="129"/>
      <c r="CB64" s="129"/>
      <c r="CC64" s="129"/>
    </row>
    <row r="65" spans="1:81" s="141" customFormat="1" x14ac:dyDescent="0.2">
      <c r="A65" s="129"/>
      <c r="B65" s="142" t="s">
        <v>312</v>
      </c>
      <c r="C65" s="104" t="s">
        <v>33</v>
      </c>
      <c r="D65" s="104" t="s">
        <v>134</v>
      </c>
      <c r="E65" s="104" t="s">
        <v>20</v>
      </c>
      <c r="F65" s="104" t="s">
        <v>290</v>
      </c>
      <c r="G65" s="104" t="s">
        <v>146</v>
      </c>
      <c r="H65" s="104" t="s">
        <v>221</v>
      </c>
      <c r="I65" s="104" t="s">
        <v>25</v>
      </c>
      <c r="J65" s="104" t="s">
        <v>83</v>
      </c>
      <c r="K65" s="104" t="s">
        <v>264</v>
      </c>
      <c r="L65" s="104" t="s">
        <v>257</v>
      </c>
      <c r="M65" s="104" t="s">
        <v>233</v>
      </c>
      <c r="N65" s="45">
        <v>51</v>
      </c>
      <c r="O65" s="104" t="s">
        <v>860</v>
      </c>
      <c r="P65" s="53">
        <v>2</v>
      </c>
      <c r="Q65" s="45" t="e">
        <f t="shared" si="6"/>
        <v>#VALUE!</v>
      </c>
      <c r="R65" s="53" t="s">
        <v>45</v>
      </c>
      <c r="S65" s="104" t="s">
        <v>861</v>
      </c>
      <c r="T65" s="104" t="s">
        <v>852</v>
      </c>
      <c r="U65" s="215">
        <v>44562</v>
      </c>
      <c r="V65" s="53" t="s">
        <v>495</v>
      </c>
      <c r="W65" s="104" t="s">
        <v>307</v>
      </c>
      <c r="X65" s="71" t="s">
        <v>496</v>
      </c>
      <c r="Y65" s="45" t="s">
        <v>496</v>
      </c>
      <c r="Z65" s="45" t="s">
        <v>496</v>
      </c>
      <c r="AA65" s="45" t="s">
        <v>496</v>
      </c>
      <c r="AB65" s="71" t="s">
        <v>496</v>
      </c>
      <c r="AC65" s="71" t="s">
        <v>496</v>
      </c>
      <c r="AD65" s="104" t="s">
        <v>853</v>
      </c>
      <c r="AE65" s="53">
        <v>1</v>
      </c>
      <c r="AF65" s="45">
        <v>1</v>
      </c>
      <c r="AG65" s="48">
        <f t="shared" si="5"/>
        <v>1</v>
      </c>
      <c r="AH65" s="104" t="s">
        <v>862</v>
      </c>
      <c r="AI65" s="71" t="s">
        <v>511</v>
      </c>
      <c r="AJ65" s="71" t="s">
        <v>496</v>
      </c>
      <c r="AK65" s="45" t="s">
        <v>496</v>
      </c>
      <c r="AL65" s="45" t="s">
        <v>496</v>
      </c>
      <c r="AM65" s="45" t="s">
        <v>496</v>
      </c>
      <c r="AN65" s="71" t="s">
        <v>496</v>
      </c>
      <c r="AO65" s="170" t="s">
        <v>496</v>
      </c>
      <c r="AP65" s="104" t="s">
        <v>853</v>
      </c>
      <c r="AQ65" s="65">
        <v>1</v>
      </c>
      <c r="AR65" s="37">
        <v>1</v>
      </c>
      <c r="AS65" s="159">
        <f>(+Tabla4[[#This Row],[Programación  meta
IV trimestre ]]/AR65)</f>
        <v>1</v>
      </c>
      <c r="AT65" s="160" t="s">
        <v>863</v>
      </c>
      <c r="AU65" s="28" t="s">
        <v>502</v>
      </c>
      <c r="AV65" s="165" t="s">
        <v>485</v>
      </c>
      <c r="AW65" s="209">
        <f>+Tabla4[[#This Row],[Programación  meta
II trimestre ]]+Tabla4[[#This Row],[Programación  meta
IV trimestre ]]</f>
        <v>2</v>
      </c>
      <c r="AX65" s="205">
        <f>+Tabla4[[#This Row],[Avance cuantitativo
II trimestre]]+AR65</f>
        <v>2</v>
      </c>
      <c r="AY65" s="86">
        <f t="shared" si="2"/>
        <v>1</v>
      </c>
      <c r="AZ65" s="89" t="s">
        <v>503</v>
      </c>
      <c r="BA65" s="129"/>
      <c r="BB65" s="129"/>
      <c r="BC65" s="129"/>
      <c r="BD65" s="129"/>
      <c r="BE65" s="129"/>
      <c r="BF65" s="129"/>
      <c r="BG65" s="129"/>
      <c r="BH65" s="129"/>
      <c r="BI65" s="129"/>
      <c r="BJ65" s="129"/>
      <c r="BK65" s="129"/>
      <c r="BL65" s="129"/>
      <c r="BM65" s="129"/>
      <c r="BN65" s="129"/>
      <c r="BO65" s="129"/>
      <c r="BP65" s="129"/>
      <c r="BQ65" s="129"/>
      <c r="BR65" s="129"/>
      <c r="BS65" s="129"/>
      <c r="BT65" s="129"/>
      <c r="BU65" s="129"/>
      <c r="BV65" s="129"/>
      <c r="BW65" s="129"/>
      <c r="BX65" s="129"/>
      <c r="BY65" s="129"/>
      <c r="BZ65" s="129"/>
      <c r="CA65" s="129"/>
      <c r="CB65" s="129"/>
      <c r="CC65" s="129"/>
    </row>
    <row r="66" spans="1:81" s="147" customFormat="1" x14ac:dyDescent="0.2">
      <c r="A66" s="129"/>
      <c r="B66" s="142" t="s">
        <v>320</v>
      </c>
      <c r="C66" s="71" t="s">
        <v>48</v>
      </c>
      <c r="D66" s="104" t="s">
        <v>719</v>
      </c>
      <c r="E66" s="71" t="s">
        <v>547</v>
      </c>
      <c r="F66" s="104" t="s">
        <v>336</v>
      </c>
      <c r="G66" s="104" t="s">
        <v>93</v>
      </c>
      <c r="H66" s="104" t="s">
        <v>720</v>
      </c>
      <c r="I66" s="104" t="s">
        <v>40</v>
      </c>
      <c r="J66" s="104" t="s">
        <v>222</v>
      </c>
      <c r="K66" s="104" t="s">
        <v>403</v>
      </c>
      <c r="L66" s="104" t="s">
        <v>257</v>
      </c>
      <c r="M66" s="104" t="s">
        <v>225</v>
      </c>
      <c r="N66" s="45">
        <v>52</v>
      </c>
      <c r="O66" s="104" t="s">
        <v>864</v>
      </c>
      <c r="P66" s="53">
        <v>2</v>
      </c>
      <c r="Q66" s="45" t="e">
        <f t="shared" si="6"/>
        <v>#VALUE!</v>
      </c>
      <c r="R66" s="53" t="s">
        <v>45</v>
      </c>
      <c r="S66" s="104" t="s">
        <v>865</v>
      </c>
      <c r="T66" s="104" t="s">
        <v>723</v>
      </c>
      <c r="U66" s="215">
        <v>44562</v>
      </c>
      <c r="V66" s="53" t="s">
        <v>495</v>
      </c>
      <c r="W66" s="104" t="s">
        <v>332</v>
      </c>
      <c r="X66" s="71" t="s">
        <v>496</v>
      </c>
      <c r="Y66" s="45" t="s">
        <v>496</v>
      </c>
      <c r="Z66" s="45" t="s">
        <v>496</v>
      </c>
      <c r="AA66" s="45" t="s">
        <v>496</v>
      </c>
      <c r="AB66" s="71" t="s">
        <v>496</v>
      </c>
      <c r="AC66" s="71" t="s">
        <v>496</v>
      </c>
      <c r="AD66" s="104" t="s">
        <v>847</v>
      </c>
      <c r="AE66" s="53">
        <v>1</v>
      </c>
      <c r="AF66" s="45">
        <v>1</v>
      </c>
      <c r="AG66" s="48">
        <f t="shared" si="5"/>
        <v>1</v>
      </c>
      <c r="AH66" s="104" t="s">
        <v>866</v>
      </c>
      <c r="AI66" s="71" t="s">
        <v>511</v>
      </c>
      <c r="AJ66" s="71" t="s">
        <v>496</v>
      </c>
      <c r="AK66" s="45" t="s">
        <v>496</v>
      </c>
      <c r="AL66" s="45" t="s">
        <v>496</v>
      </c>
      <c r="AM66" s="45" t="s">
        <v>496</v>
      </c>
      <c r="AN66" s="71" t="s">
        <v>496</v>
      </c>
      <c r="AO66" s="170" t="s">
        <v>496</v>
      </c>
      <c r="AP66" s="104" t="s">
        <v>847</v>
      </c>
      <c r="AQ66" s="65">
        <v>1</v>
      </c>
      <c r="AR66" s="37">
        <v>1</v>
      </c>
      <c r="AS66" s="159">
        <f>(+Tabla4[[#This Row],[Programación  meta
IV trimestre ]]/AR66)</f>
        <v>1</v>
      </c>
      <c r="AT66" s="160" t="s">
        <v>867</v>
      </c>
      <c r="AU66" s="28" t="s">
        <v>502</v>
      </c>
      <c r="AV66" s="165" t="s">
        <v>485</v>
      </c>
      <c r="AW66" s="209">
        <f>+Tabla4[[#This Row],[Programación  meta
II trimestre ]]+Tabla4[[#This Row],[Programación  meta
IV trimestre ]]</f>
        <v>2</v>
      </c>
      <c r="AX66" s="205">
        <f>+Tabla4[[#This Row],[Avance cuantitativo
II trimestre]]+AR66</f>
        <v>2</v>
      </c>
      <c r="AY66" s="86">
        <f t="shared" si="2"/>
        <v>1</v>
      </c>
      <c r="AZ66" s="89" t="s">
        <v>503</v>
      </c>
      <c r="BA66" s="129"/>
      <c r="BB66" s="129"/>
      <c r="BC66" s="129"/>
      <c r="BD66" s="129"/>
      <c r="BE66" s="129"/>
      <c r="BF66" s="129"/>
      <c r="BG66" s="129"/>
      <c r="BH66" s="129"/>
      <c r="BI66" s="129"/>
      <c r="BJ66" s="129"/>
      <c r="BK66" s="129"/>
      <c r="BL66" s="129"/>
      <c r="BM66" s="129"/>
      <c r="BN66" s="129"/>
      <c r="BO66" s="129"/>
      <c r="BP66" s="129"/>
      <c r="BQ66" s="129"/>
      <c r="BR66" s="129"/>
      <c r="BS66" s="129"/>
      <c r="BT66" s="129"/>
      <c r="BU66" s="129"/>
      <c r="BV66" s="129"/>
      <c r="BW66" s="129"/>
      <c r="BX66" s="129"/>
      <c r="BY66" s="129"/>
      <c r="BZ66" s="129"/>
      <c r="CA66" s="129"/>
      <c r="CB66" s="129"/>
      <c r="CC66" s="129"/>
    </row>
    <row r="67" spans="1:81" s="141" customFormat="1" x14ac:dyDescent="0.2">
      <c r="A67" s="129"/>
      <c r="B67" s="142" t="s">
        <v>312</v>
      </c>
      <c r="C67" s="104" t="s">
        <v>33</v>
      </c>
      <c r="D67" s="104" t="s">
        <v>134</v>
      </c>
      <c r="E67" s="104" t="s">
        <v>20</v>
      </c>
      <c r="F67" s="104" t="s">
        <v>290</v>
      </c>
      <c r="G67" s="104" t="s">
        <v>146</v>
      </c>
      <c r="H67" s="104" t="s">
        <v>221</v>
      </c>
      <c r="I67" s="104" t="s">
        <v>25</v>
      </c>
      <c r="J67" s="104" t="s">
        <v>83</v>
      </c>
      <c r="K67" s="104" t="s">
        <v>264</v>
      </c>
      <c r="L67" s="104" t="s">
        <v>257</v>
      </c>
      <c r="M67" s="104" t="s">
        <v>233</v>
      </c>
      <c r="N67" s="45">
        <v>53</v>
      </c>
      <c r="O67" s="104" t="s">
        <v>868</v>
      </c>
      <c r="P67" s="53">
        <v>2</v>
      </c>
      <c r="Q67" s="45" t="e">
        <f t="shared" si="6"/>
        <v>#VALUE!</v>
      </c>
      <c r="R67" s="53" t="s">
        <v>45</v>
      </c>
      <c r="S67" s="104" t="s">
        <v>869</v>
      </c>
      <c r="T67" s="104" t="s">
        <v>852</v>
      </c>
      <c r="U67" s="215">
        <v>44562</v>
      </c>
      <c r="V67" s="53" t="s">
        <v>495</v>
      </c>
      <c r="W67" s="104" t="s">
        <v>332</v>
      </c>
      <c r="X67" s="71" t="s">
        <v>496</v>
      </c>
      <c r="Y67" s="45" t="s">
        <v>496</v>
      </c>
      <c r="Z67" s="45" t="s">
        <v>496</v>
      </c>
      <c r="AA67" s="45" t="s">
        <v>496</v>
      </c>
      <c r="AB67" s="71" t="s">
        <v>496</v>
      </c>
      <c r="AC67" s="71" t="s">
        <v>496</v>
      </c>
      <c r="AD67" s="104" t="s">
        <v>853</v>
      </c>
      <c r="AE67" s="53">
        <v>1</v>
      </c>
      <c r="AF67" s="45">
        <v>1</v>
      </c>
      <c r="AG67" s="48">
        <f t="shared" si="5"/>
        <v>1</v>
      </c>
      <c r="AH67" s="104" t="s">
        <v>870</v>
      </c>
      <c r="AI67" s="71" t="s">
        <v>511</v>
      </c>
      <c r="AJ67" s="71" t="s">
        <v>496</v>
      </c>
      <c r="AK67" s="45" t="s">
        <v>496</v>
      </c>
      <c r="AL67" s="45" t="s">
        <v>496</v>
      </c>
      <c r="AM67" s="45" t="s">
        <v>496</v>
      </c>
      <c r="AN67" s="71" t="s">
        <v>496</v>
      </c>
      <c r="AO67" s="170" t="s">
        <v>496</v>
      </c>
      <c r="AP67" s="104" t="s">
        <v>853</v>
      </c>
      <c r="AQ67" s="65">
        <v>1</v>
      </c>
      <c r="AR67" s="37">
        <v>1</v>
      </c>
      <c r="AS67" s="159">
        <f>(+Tabla4[[#This Row],[Programación  meta
IV trimestre ]]/AR67)</f>
        <v>1</v>
      </c>
      <c r="AT67" s="160" t="s">
        <v>871</v>
      </c>
      <c r="AU67" s="28" t="s">
        <v>502</v>
      </c>
      <c r="AV67" s="165" t="s">
        <v>485</v>
      </c>
      <c r="AW67" s="209">
        <f>+Tabla4[[#This Row],[Programación  meta
II trimestre ]]+Tabla4[[#This Row],[Programación  meta
IV trimestre ]]</f>
        <v>2</v>
      </c>
      <c r="AX67" s="205">
        <f>+Tabla4[[#This Row],[Avance cuantitativo
II trimestre]]+AR67</f>
        <v>2</v>
      </c>
      <c r="AY67" s="86">
        <f t="shared" si="2"/>
        <v>1</v>
      </c>
      <c r="AZ67" s="89" t="s">
        <v>503</v>
      </c>
      <c r="BA67" s="129"/>
      <c r="BB67" s="129"/>
      <c r="BC67" s="129"/>
      <c r="BD67" s="129"/>
      <c r="BE67" s="129"/>
      <c r="BF67" s="129"/>
      <c r="BG67" s="129"/>
      <c r="BH67" s="129"/>
      <c r="BI67" s="129"/>
      <c r="BJ67" s="129"/>
      <c r="BK67" s="129"/>
      <c r="BL67" s="129"/>
      <c r="BM67" s="129"/>
      <c r="BN67" s="129"/>
      <c r="BO67" s="129"/>
      <c r="BP67" s="129"/>
      <c r="BQ67" s="129"/>
      <c r="BR67" s="129"/>
      <c r="BS67" s="129"/>
      <c r="BT67" s="129"/>
      <c r="BU67" s="129"/>
      <c r="BV67" s="129"/>
      <c r="BW67" s="129"/>
      <c r="BX67" s="129"/>
      <c r="BY67" s="129"/>
      <c r="BZ67" s="129"/>
      <c r="CA67" s="129"/>
      <c r="CB67" s="129"/>
      <c r="CC67" s="129"/>
    </row>
    <row r="68" spans="1:81" s="141" customFormat="1" x14ac:dyDescent="0.2">
      <c r="A68" s="129"/>
      <c r="B68" s="142" t="s">
        <v>320</v>
      </c>
      <c r="C68" s="71" t="s">
        <v>48</v>
      </c>
      <c r="D68" s="104" t="s">
        <v>719</v>
      </c>
      <c r="E68" s="71" t="s">
        <v>547</v>
      </c>
      <c r="F68" s="104" t="s">
        <v>336</v>
      </c>
      <c r="G68" s="104" t="s">
        <v>93</v>
      </c>
      <c r="H68" s="104" t="s">
        <v>720</v>
      </c>
      <c r="I68" s="104" t="s">
        <v>40</v>
      </c>
      <c r="J68" s="104" t="s">
        <v>222</v>
      </c>
      <c r="K68" s="104" t="s">
        <v>403</v>
      </c>
      <c r="L68" s="104" t="s">
        <v>257</v>
      </c>
      <c r="M68" s="104" t="s">
        <v>225</v>
      </c>
      <c r="N68" s="45">
        <v>54</v>
      </c>
      <c r="O68" s="104" t="s">
        <v>872</v>
      </c>
      <c r="P68" s="53">
        <v>2</v>
      </c>
      <c r="Q68" s="45" t="e">
        <f t="shared" si="6"/>
        <v>#VALUE!</v>
      </c>
      <c r="R68" s="53" t="s">
        <v>45</v>
      </c>
      <c r="S68" s="104" t="s">
        <v>873</v>
      </c>
      <c r="T68" s="104" t="s">
        <v>723</v>
      </c>
      <c r="U68" s="215">
        <v>44562</v>
      </c>
      <c r="V68" s="53" t="s">
        <v>495</v>
      </c>
      <c r="W68" s="104" t="s">
        <v>319</v>
      </c>
      <c r="X68" s="71" t="s">
        <v>496</v>
      </c>
      <c r="Y68" s="45" t="s">
        <v>496</v>
      </c>
      <c r="Z68" s="45" t="s">
        <v>496</v>
      </c>
      <c r="AA68" s="45" t="s">
        <v>496</v>
      </c>
      <c r="AB68" s="71" t="s">
        <v>496</v>
      </c>
      <c r="AC68" s="71" t="s">
        <v>496</v>
      </c>
      <c r="AD68" s="104" t="s">
        <v>847</v>
      </c>
      <c r="AE68" s="53">
        <v>1</v>
      </c>
      <c r="AF68" s="45">
        <v>1</v>
      </c>
      <c r="AG68" s="48">
        <f t="shared" si="5"/>
        <v>1</v>
      </c>
      <c r="AH68" s="104" t="s">
        <v>874</v>
      </c>
      <c r="AI68" s="71" t="s">
        <v>511</v>
      </c>
      <c r="AJ68" s="71" t="s">
        <v>496</v>
      </c>
      <c r="AK68" s="45" t="s">
        <v>496</v>
      </c>
      <c r="AL68" s="45" t="s">
        <v>496</v>
      </c>
      <c r="AM68" s="45" t="s">
        <v>496</v>
      </c>
      <c r="AN68" s="71" t="s">
        <v>496</v>
      </c>
      <c r="AO68" s="170" t="s">
        <v>496</v>
      </c>
      <c r="AP68" s="104" t="s">
        <v>847</v>
      </c>
      <c r="AQ68" s="65">
        <v>1</v>
      </c>
      <c r="AR68" s="37">
        <v>1</v>
      </c>
      <c r="AS68" s="159">
        <f>(+Tabla4[[#This Row],[Programación  meta
IV trimestre ]]/AR68)</f>
        <v>1</v>
      </c>
      <c r="AT68" s="160" t="s">
        <v>875</v>
      </c>
      <c r="AU68" s="28" t="s">
        <v>502</v>
      </c>
      <c r="AV68" s="165" t="s">
        <v>485</v>
      </c>
      <c r="AW68" s="209">
        <f>+Tabla4[[#This Row],[Programación  meta
II trimestre ]]+Tabla4[[#This Row],[Programación  meta
IV trimestre ]]</f>
        <v>2</v>
      </c>
      <c r="AX68" s="205">
        <f>+Tabla4[[#This Row],[Avance cuantitativo
II trimestre]]+AR68</f>
        <v>2</v>
      </c>
      <c r="AY68" s="86">
        <f t="shared" si="2"/>
        <v>1</v>
      </c>
      <c r="AZ68" s="89" t="s">
        <v>503</v>
      </c>
      <c r="BA68" s="129"/>
      <c r="BB68" s="129"/>
      <c r="BC68" s="129"/>
      <c r="BD68" s="129"/>
      <c r="BE68" s="129"/>
      <c r="BF68" s="129"/>
      <c r="BG68" s="129"/>
      <c r="BH68" s="129"/>
      <c r="BI68" s="129"/>
      <c r="BJ68" s="129"/>
      <c r="BK68" s="129"/>
      <c r="BL68" s="129"/>
      <c r="BM68" s="129"/>
      <c r="BN68" s="129"/>
      <c r="BO68" s="129"/>
      <c r="BP68" s="129"/>
      <c r="BQ68" s="129"/>
      <c r="BR68" s="129"/>
      <c r="BS68" s="129"/>
      <c r="BT68" s="129"/>
      <c r="BU68" s="129"/>
      <c r="BV68" s="129"/>
      <c r="BW68" s="129"/>
      <c r="BX68" s="129"/>
      <c r="BY68" s="129"/>
      <c r="BZ68" s="129"/>
      <c r="CA68" s="129"/>
      <c r="CB68" s="129"/>
      <c r="CC68" s="129"/>
    </row>
    <row r="69" spans="1:81" s="141" customFormat="1" x14ac:dyDescent="0.2">
      <c r="A69" s="129"/>
      <c r="B69" s="142" t="s">
        <v>312</v>
      </c>
      <c r="C69" s="104" t="s">
        <v>33</v>
      </c>
      <c r="D69" s="104" t="s">
        <v>134</v>
      </c>
      <c r="E69" s="104" t="s">
        <v>20</v>
      </c>
      <c r="F69" s="104" t="s">
        <v>290</v>
      </c>
      <c r="G69" s="104" t="s">
        <v>146</v>
      </c>
      <c r="H69" s="104" t="s">
        <v>221</v>
      </c>
      <c r="I69" s="104" t="s">
        <v>25</v>
      </c>
      <c r="J69" s="104" t="s">
        <v>83</v>
      </c>
      <c r="K69" s="104" t="s">
        <v>264</v>
      </c>
      <c r="L69" s="104" t="s">
        <v>257</v>
      </c>
      <c r="M69" s="104" t="s">
        <v>233</v>
      </c>
      <c r="N69" s="45">
        <v>55</v>
      </c>
      <c r="O69" s="104" t="s">
        <v>876</v>
      </c>
      <c r="P69" s="53">
        <v>2</v>
      </c>
      <c r="Q69" s="45" t="e">
        <f t="shared" si="6"/>
        <v>#VALUE!</v>
      </c>
      <c r="R69" s="53" t="s">
        <v>45</v>
      </c>
      <c r="S69" s="104" t="s">
        <v>877</v>
      </c>
      <c r="T69" s="104" t="s">
        <v>852</v>
      </c>
      <c r="U69" s="215">
        <v>44562</v>
      </c>
      <c r="V69" s="53" t="s">
        <v>495</v>
      </c>
      <c r="W69" s="104" t="s">
        <v>319</v>
      </c>
      <c r="X69" s="71" t="s">
        <v>496</v>
      </c>
      <c r="Y69" s="45" t="s">
        <v>496</v>
      </c>
      <c r="Z69" s="45" t="s">
        <v>496</v>
      </c>
      <c r="AA69" s="45" t="s">
        <v>496</v>
      </c>
      <c r="AB69" s="71" t="s">
        <v>496</v>
      </c>
      <c r="AC69" s="71" t="s">
        <v>496</v>
      </c>
      <c r="AD69" s="104" t="s">
        <v>853</v>
      </c>
      <c r="AE69" s="53">
        <v>1</v>
      </c>
      <c r="AF69" s="45">
        <v>1</v>
      </c>
      <c r="AG69" s="48">
        <f t="shared" si="5"/>
        <v>1</v>
      </c>
      <c r="AH69" s="104" t="s">
        <v>878</v>
      </c>
      <c r="AI69" s="71" t="s">
        <v>511</v>
      </c>
      <c r="AJ69" s="71" t="s">
        <v>496</v>
      </c>
      <c r="AK69" s="45" t="s">
        <v>496</v>
      </c>
      <c r="AL69" s="45" t="s">
        <v>496</v>
      </c>
      <c r="AM69" s="45" t="s">
        <v>496</v>
      </c>
      <c r="AN69" s="71" t="s">
        <v>496</v>
      </c>
      <c r="AO69" s="170" t="s">
        <v>496</v>
      </c>
      <c r="AP69" s="104" t="s">
        <v>853</v>
      </c>
      <c r="AQ69" s="65">
        <v>1</v>
      </c>
      <c r="AR69" s="37">
        <v>1</v>
      </c>
      <c r="AS69" s="159">
        <f>(+Tabla4[[#This Row],[Programación  meta
IV trimestre ]]/AR69)</f>
        <v>1</v>
      </c>
      <c r="AT69" s="183" t="s">
        <v>879</v>
      </c>
      <c r="AU69" s="28" t="s">
        <v>502</v>
      </c>
      <c r="AV69" s="165" t="s">
        <v>485</v>
      </c>
      <c r="AW69" s="209">
        <f>+Tabla4[[#This Row],[Programación  meta
II trimestre ]]+Tabla4[[#This Row],[Programación  meta
IV trimestre ]]</f>
        <v>2</v>
      </c>
      <c r="AX69" s="205">
        <f>+Tabla4[[#This Row],[Avance cuantitativo
II trimestre]]+AR69</f>
        <v>2</v>
      </c>
      <c r="AY69" s="86">
        <f t="shared" si="2"/>
        <v>1</v>
      </c>
      <c r="AZ69" s="89" t="s">
        <v>503</v>
      </c>
      <c r="BA69" s="129"/>
      <c r="BB69" s="129"/>
      <c r="BC69" s="129"/>
      <c r="BD69" s="129"/>
      <c r="BE69" s="129"/>
      <c r="BF69" s="129"/>
      <c r="BG69" s="129"/>
      <c r="BH69" s="129"/>
      <c r="BI69" s="129"/>
      <c r="BJ69" s="129"/>
      <c r="BK69" s="129"/>
      <c r="BL69" s="129"/>
      <c r="BM69" s="129"/>
      <c r="BN69" s="129"/>
      <c r="BO69" s="129"/>
      <c r="BP69" s="129"/>
      <c r="BQ69" s="129"/>
      <c r="BR69" s="129"/>
      <c r="BS69" s="129"/>
      <c r="BT69" s="129"/>
      <c r="BU69" s="129"/>
      <c r="BV69" s="129"/>
      <c r="BW69" s="129"/>
      <c r="BX69" s="129"/>
      <c r="BY69" s="129"/>
      <c r="BZ69" s="129"/>
      <c r="CA69" s="129"/>
      <c r="CB69" s="129"/>
      <c r="CC69" s="129"/>
    </row>
    <row r="70" spans="1:81" s="141" customFormat="1" x14ac:dyDescent="0.2">
      <c r="A70" s="129"/>
      <c r="B70" s="142" t="s">
        <v>320</v>
      </c>
      <c r="C70" s="71" t="s">
        <v>48</v>
      </c>
      <c r="D70" s="104" t="s">
        <v>719</v>
      </c>
      <c r="E70" s="71" t="s">
        <v>547</v>
      </c>
      <c r="F70" s="104" t="s">
        <v>336</v>
      </c>
      <c r="G70" s="104" t="s">
        <v>93</v>
      </c>
      <c r="H70" s="104" t="s">
        <v>720</v>
      </c>
      <c r="I70" s="104" t="s">
        <v>40</v>
      </c>
      <c r="J70" s="104" t="s">
        <v>222</v>
      </c>
      <c r="K70" s="104" t="s">
        <v>403</v>
      </c>
      <c r="L70" s="104" t="s">
        <v>257</v>
      </c>
      <c r="M70" s="104" t="s">
        <v>225</v>
      </c>
      <c r="N70" s="45">
        <v>56</v>
      </c>
      <c r="O70" s="104" t="s">
        <v>880</v>
      </c>
      <c r="P70" s="53">
        <v>2</v>
      </c>
      <c r="Q70" s="45" t="e">
        <f t="shared" si="6"/>
        <v>#VALUE!</v>
      </c>
      <c r="R70" s="53" t="s">
        <v>45</v>
      </c>
      <c r="S70" s="104" t="s">
        <v>881</v>
      </c>
      <c r="T70" s="104" t="s">
        <v>723</v>
      </c>
      <c r="U70" s="215">
        <v>44562</v>
      </c>
      <c r="V70" s="53" t="s">
        <v>495</v>
      </c>
      <c r="W70" s="104" t="s">
        <v>323</v>
      </c>
      <c r="X70" s="71" t="s">
        <v>496</v>
      </c>
      <c r="Y70" s="45" t="s">
        <v>496</v>
      </c>
      <c r="Z70" s="45" t="s">
        <v>496</v>
      </c>
      <c r="AA70" s="45" t="s">
        <v>496</v>
      </c>
      <c r="AB70" s="71" t="s">
        <v>496</v>
      </c>
      <c r="AC70" s="71" t="s">
        <v>496</v>
      </c>
      <c r="AD70" s="104" t="s">
        <v>847</v>
      </c>
      <c r="AE70" s="53">
        <v>1</v>
      </c>
      <c r="AF70" s="45">
        <v>1</v>
      </c>
      <c r="AG70" s="48">
        <f t="shared" si="5"/>
        <v>1</v>
      </c>
      <c r="AH70" s="104" t="s">
        <v>882</v>
      </c>
      <c r="AI70" s="71" t="s">
        <v>511</v>
      </c>
      <c r="AJ70" s="71" t="s">
        <v>496</v>
      </c>
      <c r="AK70" s="45" t="s">
        <v>496</v>
      </c>
      <c r="AL70" s="45" t="s">
        <v>496</v>
      </c>
      <c r="AM70" s="45" t="s">
        <v>496</v>
      </c>
      <c r="AN70" s="71" t="s">
        <v>496</v>
      </c>
      <c r="AO70" s="170" t="s">
        <v>496</v>
      </c>
      <c r="AP70" s="104" t="s">
        <v>847</v>
      </c>
      <c r="AQ70" s="65">
        <v>1</v>
      </c>
      <c r="AR70" s="37">
        <v>1</v>
      </c>
      <c r="AS70" s="159">
        <f>(+Tabla4[[#This Row],[Programación  meta
IV trimestre ]]/AR70)</f>
        <v>1</v>
      </c>
      <c r="AT70" s="160" t="s">
        <v>883</v>
      </c>
      <c r="AU70" s="28" t="s">
        <v>502</v>
      </c>
      <c r="AV70" s="165" t="s">
        <v>485</v>
      </c>
      <c r="AW70" s="209">
        <f>+Tabla4[[#This Row],[Programación  meta
II trimestre ]]+Tabla4[[#This Row],[Programación  meta
IV trimestre ]]</f>
        <v>2</v>
      </c>
      <c r="AX70" s="205">
        <f>+Tabla4[[#This Row],[Avance cuantitativo
II trimestre]]+AR70</f>
        <v>2</v>
      </c>
      <c r="AY70" s="86">
        <f t="shared" si="2"/>
        <v>1</v>
      </c>
      <c r="AZ70" s="89" t="s">
        <v>503</v>
      </c>
      <c r="BA70" s="129"/>
      <c r="BB70" s="129"/>
      <c r="BC70" s="129"/>
      <c r="BD70" s="129"/>
      <c r="BE70" s="129"/>
      <c r="BF70" s="129"/>
      <c r="BG70" s="129"/>
      <c r="BH70" s="129"/>
      <c r="BI70" s="129"/>
      <c r="BJ70" s="129"/>
      <c r="BK70" s="129"/>
      <c r="BL70" s="129"/>
      <c r="BM70" s="129"/>
      <c r="BN70" s="129"/>
      <c r="BO70" s="129"/>
      <c r="BP70" s="129"/>
      <c r="BQ70" s="129"/>
      <c r="BR70" s="129"/>
      <c r="BS70" s="129"/>
      <c r="BT70" s="129"/>
      <c r="BU70" s="129"/>
      <c r="BV70" s="129"/>
      <c r="BW70" s="129"/>
      <c r="BX70" s="129"/>
      <c r="BY70" s="129"/>
      <c r="BZ70" s="129"/>
      <c r="CA70" s="129"/>
      <c r="CB70" s="129"/>
      <c r="CC70" s="129"/>
    </row>
    <row r="71" spans="1:81" s="141" customFormat="1" x14ac:dyDescent="0.2">
      <c r="A71" s="129"/>
      <c r="B71" s="142" t="s">
        <v>312</v>
      </c>
      <c r="C71" s="104" t="s">
        <v>33</v>
      </c>
      <c r="D71" s="104" t="s">
        <v>134</v>
      </c>
      <c r="E71" s="104" t="s">
        <v>20</v>
      </c>
      <c r="F71" s="104" t="s">
        <v>290</v>
      </c>
      <c r="G71" s="104" t="s">
        <v>146</v>
      </c>
      <c r="H71" s="104" t="s">
        <v>221</v>
      </c>
      <c r="I71" s="104" t="s">
        <v>25</v>
      </c>
      <c r="J71" s="104" t="s">
        <v>83</v>
      </c>
      <c r="K71" s="104" t="s">
        <v>264</v>
      </c>
      <c r="L71" s="104" t="s">
        <v>257</v>
      </c>
      <c r="M71" s="104" t="s">
        <v>233</v>
      </c>
      <c r="N71" s="45">
        <v>57</v>
      </c>
      <c r="O71" s="104" t="s">
        <v>884</v>
      </c>
      <c r="P71" s="53">
        <v>2</v>
      </c>
      <c r="Q71" s="45" t="e">
        <f t="shared" si="6"/>
        <v>#VALUE!</v>
      </c>
      <c r="R71" s="53" t="s">
        <v>45</v>
      </c>
      <c r="S71" s="104" t="s">
        <v>885</v>
      </c>
      <c r="T71" s="104" t="s">
        <v>852</v>
      </c>
      <c r="U71" s="215">
        <v>44562</v>
      </c>
      <c r="V71" s="53" t="s">
        <v>495</v>
      </c>
      <c r="W71" s="104" t="s">
        <v>323</v>
      </c>
      <c r="X71" s="71" t="s">
        <v>496</v>
      </c>
      <c r="Y71" s="45" t="s">
        <v>496</v>
      </c>
      <c r="Z71" s="45" t="s">
        <v>496</v>
      </c>
      <c r="AA71" s="45" t="s">
        <v>496</v>
      </c>
      <c r="AB71" s="71" t="s">
        <v>496</v>
      </c>
      <c r="AC71" s="71" t="s">
        <v>496</v>
      </c>
      <c r="AD71" s="104" t="s">
        <v>853</v>
      </c>
      <c r="AE71" s="53">
        <v>1</v>
      </c>
      <c r="AF71" s="45">
        <v>1</v>
      </c>
      <c r="AG71" s="48">
        <f t="shared" si="5"/>
        <v>1</v>
      </c>
      <c r="AH71" s="104" t="s">
        <v>886</v>
      </c>
      <c r="AI71" s="71" t="s">
        <v>511</v>
      </c>
      <c r="AJ71" s="71" t="s">
        <v>496</v>
      </c>
      <c r="AK71" s="45" t="s">
        <v>496</v>
      </c>
      <c r="AL71" s="45" t="s">
        <v>496</v>
      </c>
      <c r="AM71" s="45" t="s">
        <v>496</v>
      </c>
      <c r="AN71" s="71" t="s">
        <v>496</v>
      </c>
      <c r="AO71" s="170" t="s">
        <v>496</v>
      </c>
      <c r="AP71" s="104" t="s">
        <v>853</v>
      </c>
      <c r="AQ71" s="65">
        <v>1</v>
      </c>
      <c r="AR71" s="37">
        <v>1</v>
      </c>
      <c r="AS71" s="159">
        <f>(+Tabla4[[#This Row],[Programación  meta
IV trimestre ]]/AR71)</f>
        <v>1</v>
      </c>
      <c r="AT71" s="160" t="s">
        <v>887</v>
      </c>
      <c r="AU71" s="28" t="s">
        <v>502</v>
      </c>
      <c r="AV71" s="165" t="s">
        <v>485</v>
      </c>
      <c r="AW71" s="209">
        <f>+Tabla4[[#This Row],[Programación  meta
II trimestre ]]+Tabla4[[#This Row],[Programación  meta
IV trimestre ]]</f>
        <v>2</v>
      </c>
      <c r="AX71" s="205">
        <f>+Tabla4[[#This Row],[Avance cuantitativo
II trimestre]]+AR71</f>
        <v>2</v>
      </c>
      <c r="AY71" s="86">
        <f t="shared" si="2"/>
        <v>1</v>
      </c>
      <c r="AZ71" s="89" t="s">
        <v>503</v>
      </c>
      <c r="BA71" s="129"/>
      <c r="BB71" s="129"/>
      <c r="BC71" s="129"/>
      <c r="BD71" s="129"/>
      <c r="BE71" s="129"/>
      <c r="BF71" s="129"/>
      <c r="BG71" s="129"/>
      <c r="BH71" s="129"/>
      <c r="BI71" s="129"/>
      <c r="BJ71" s="129"/>
      <c r="BK71" s="129"/>
      <c r="BL71" s="129"/>
      <c r="BM71" s="129"/>
      <c r="BN71" s="129"/>
      <c r="BO71" s="129"/>
      <c r="BP71" s="129"/>
      <c r="BQ71" s="129"/>
      <c r="BR71" s="129"/>
      <c r="BS71" s="129"/>
      <c r="BT71" s="129"/>
      <c r="BU71" s="129"/>
      <c r="BV71" s="129"/>
      <c r="BW71" s="129"/>
      <c r="BX71" s="129"/>
      <c r="BY71" s="129"/>
      <c r="BZ71" s="129"/>
      <c r="CA71" s="129"/>
      <c r="CB71" s="129"/>
      <c r="CC71" s="129"/>
    </row>
    <row r="72" spans="1:81" s="141" customFormat="1" x14ac:dyDescent="0.2">
      <c r="A72" s="129"/>
      <c r="B72" s="142" t="s">
        <v>320</v>
      </c>
      <c r="C72" s="71" t="s">
        <v>48</v>
      </c>
      <c r="D72" s="104" t="s">
        <v>719</v>
      </c>
      <c r="E72" s="71" t="s">
        <v>547</v>
      </c>
      <c r="F72" s="104" t="s">
        <v>336</v>
      </c>
      <c r="G72" s="104" t="s">
        <v>93</v>
      </c>
      <c r="H72" s="104" t="s">
        <v>720</v>
      </c>
      <c r="I72" s="104" t="s">
        <v>40</v>
      </c>
      <c r="J72" s="104" t="s">
        <v>222</v>
      </c>
      <c r="K72" s="104" t="s">
        <v>403</v>
      </c>
      <c r="L72" s="104" t="s">
        <v>257</v>
      </c>
      <c r="M72" s="104" t="s">
        <v>225</v>
      </c>
      <c r="N72" s="45">
        <v>58</v>
      </c>
      <c r="O72" s="104" t="s">
        <v>888</v>
      </c>
      <c r="P72" s="53">
        <v>2</v>
      </c>
      <c r="Q72" s="45" t="e">
        <f t="shared" si="6"/>
        <v>#VALUE!</v>
      </c>
      <c r="R72" s="53" t="s">
        <v>45</v>
      </c>
      <c r="S72" s="104" t="s">
        <v>889</v>
      </c>
      <c r="T72" s="104" t="s">
        <v>723</v>
      </c>
      <c r="U72" s="215">
        <v>44562</v>
      </c>
      <c r="V72" s="53" t="s">
        <v>495</v>
      </c>
      <c r="W72" s="104" t="s">
        <v>284</v>
      </c>
      <c r="X72" s="71" t="s">
        <v>496</v>
      </c>
      <c r="Y72" s="45" t="s">
        <v>496</v>
      </c>
      <c r="Z72" s="45" t="s">
        <v>496</v>
      </c>
      <c r="AA72" s="45" t="s">
        <v>496</v>
      </c>
      <c r="AB72" s="71" t="s">
        <v>496</v>
      </c>
      <c r="AC72" s="71" t="s">
        <v>496</v>
      </c>
      <c r="AD72" s="104" t="s">
        <v>847</v>
      </c>
      <c r="AE72" s="53">
        <v>1</v>
      </c>
      <c r="AF72" s="45">
        <v>1</v>
      </c>
      <c r="AG72" s="48">
        <f t="shared" si="5"/>
        <v>1</v>
      </c>
      <c r="AH72" s="104" t="s">
        <v>890</v>
      </c>
      <c r="AI72" s="71" t="s">
        <v>511</v>
      </c>
      <c r="AJ72" s="71" t="s">
        <v>496</v>
      </c>
      <c r="AK72" s="45" t="s">
        <v>496</v>
      </c>
      <c r="AL72" s="45" t="s">
        <v>496</v>
      </c>
      <c r="AM72" s="45" t="s">
        <v>496</v>
      </c>
      <c r="AN72" s="71" t="s">
        <v>496</v>
      </c>
      <c r="AO72" s="170" t="s">
        <v>496</v>
      </c>
      <c r="AP72" s="104" t="s">
        <v>847</v>
      </c>
      <c r="AQ72" s="65">
        <v>1</v>
      </c>
      <c r="AR72" s="37">
        <v>1</v>
      </c>
      <c r="AS72" s="159">
        <f>(+Tabla4[[#This Row],[Programación  meta
IV trimestre ]]/AR72)</f>
        <v>1</v>
      </c>
      <c r="AT72" s="160" t="s">
        <v>891</v>
      </c>
      <c r="AU72" s="28" t="s">
        <v>502</v>
      </c>
      <c r="AV72" s="165" t="s">
        <v>485</v>
      </c>
      <c r="AW72" s="209">
        <f>+Tabla4[[#This Row],[Programación  meta
II trimestre ]]+Tabla4[[#This Row],[Programación  meta
IV trimestre ]]</f>
        <v>2</v>
      </c>
      <c r="AX72" s="205">
        <f>+Tabla4[[#This Row],[Avance cuantitativo
II trimestre]]+AR72</f>
        <v>2</v>
      </c>
      <c r="AY72" s="86">
        <f t="shared" si="2"/>
        <v>1</v>
      </c>
      <c r="AZ72" s="89" t="s">
        <v>503</v>
      </c>
      <c r="BA72" s="129"/>
      <c r="BB72" s="129"/>
      <c r="BC72" s="129"/>
      <c r="BD72" s="129"/>
      <c r="BE72" s="129"/>
      <c r="BF72" s="129"/>
      <c r="BG72" s="129"/>
      <c r="BH72" s="129"/>
      <c r="BI72" s="129"/>
      <c r="BJ72" s="129"/>
      <c r="BK72" s="129"/>
      <c r="BL72" s="129"/>
      <c r="BM72" s="129"/>
      <c r="BN72" s="129"/>
      <c r="BO72" s="129"/>
      <c r="BP72" s="129"/>
      <c r="BQ72" s="129"/>
      <c r="BR72" s="129"/>
      <c r="BS72" s="129"/>
      <c r="BT72" s="129"/>
      <c r="BU72" s="129"/>
      <c r="BV72" s="129"/>
      <c r="BW72" s="129"/>
      <c r="BX72" s="129"/>
      <c r="BY72" s="129"/>
      <c r="BZ72" s="129"/>
      <c r="CA72" s="129"/>
      <c r="CB72" s="129"/>
      <c r="CC72" s="129"/>
    </row>
    <row r="73" spans="1:81" s="141" customFormat="1" x14ac:dyDescent="0.2">
      <c r="A73" s="129"/>
      <c r="B73" s="142" t="s">
        <v>312</v>
      </c>
      <c r="C73" s="104" t="s">
        <v>33</v>
      </c>
      <c r="D73" s="104" t="s">
        <v>134</v>
      </c>
      <c r="E73" s="104" t="s">
        <v>20</v>
      </c>
      <c r="F73" s="104" t="s">
        <v>290</v>
      </c>
      <c r="G73" s="104" t="s">
        <v>146</v>
      </c>
      <c r="H73" s="104" t="s">
        <v>221</v>
      </c>
      <c r="I73" s="104" t="s">
        <v>25</v>
      </c>
      <c r="J73" s="104" t="s">
        <v>83</v>
      </c>
      <c r="K73" s="104" t="s">
        <v>264</v>
      </c>
      <c r="L73" s="104" t="s">
        <v>257</v>
      </c>
      <c r="M73" s="104" t="s">
        <v>233</v>
      </c>
      <c r="N73" s="45">
        <v>59</v>
      </c>
      <c r="O73" s="104" t="s">
        <v>892</v>
      </c>
      <c r="P73" s="53">
        <v>2</v>
      </c>
      <c r="Q73" s="45" t="e">
        <f t="shared" si="6"/>
        <v>#VALUE!</v>
      </c>
      <c r="R73" s="53" t="s">
        <v>45</v>
      </c>
      <c r="S73" s="104" t="s">
        <v>893</v>
      </c>
      <c r="T73" s="104" t="s">
        <v>852</v>
      </c>
      <c r="U73" s="215">
        <v>44562</v>
      </c>
      <c r="V73" s="53" t="s">
        <v>495</v>
      </c>
      <c r="W73" s="104" t="s">
        <v>284</v>
      </c>
      <c r="X73" s="71" t="s">
        <v>496</v>
      </c>
      <c r="Y73" s="45" t="s">
        <v>496</v>
      </c>
      <c r="Z73" s="45" t="s">
        <v>496</v>
      </c>
      <c r="AA73" s="45" t="s">
        <v>496</v>
      </c>
      <c r="AB73" s="71" t="s">
        <v>496</v>
      </c>
      <c r="AC73" s="71" t="s">
        <v>496</v>
      </c>
      <c r="AD73" s="104" t="s">
        <v>853</v>
      </c>
      <c r="AE73" s="53">
        <v>1</v>
      </c>
      <c r="AF73" s="45">
        <v>1</v>
      </c>
      <c r="AG73" s="48">
        <f t="shared" si="5"/>
        <v>1</v>
      </c>
      <c r="AH73" s="104" t="s">
        <v>894</v>
      </c>
      <c r="AI73" s="71" t="s">
        <v>511</v>
      </c>
      <c r="AJ73" s="71" t="s">
        <v>496</v>
      </c>
      <c r="AK73" s="45" t="s">
        <v>496</v>
      </c>
      <c r="AL73" s="45" t="s">
        <v>496</v>
      </c>
      <c r="AM73" s="45" t="s">
        <v>496</v>
      </c>
      <c r="AN73" s="71" t="s">
        <v>496</v>
      </c>
      <c r="AO73" s="170" t="s">
        <v>496</v>
      </c>
      <c r="AP73" s="104" t="s">
        <v>853</v>
      </c>
      <c r="AQ73" s="65">
        <v>1</v>
      </c>
      <c r="AR73" s="37">
        <v>1</v>
      </c>
      <c r="AS73" s="159">
        <f>(+Tabla4[[#This Row],[Programación  meta
IV trimestre ]]/AR73)</f>
        <v>1</v>
      </c>
      <c r="AT73" s="160" t="s">
        <v>895</v>
      </c>
      <c r="AU73" s="28" t="s">
        <v>502</v>
      </c>
      <c r="AV73" s="165" t="s">
        <v>485</v>
      </c>
      <c r="AW73" s="209">
        <f>+Tabla4[[#This Row],[Programación  meta
II trimestre ]]+Tabla4[[#This Row],[Programación  meta
IV trimestre ]]</f>
        <v>2</v>
      </c>
      <c r="AX73" s="205">
        <f>+Tabla4[[#This Row],[Avance cuantitativo
II trimestre]]+AR73</f>
        <v>2</v>
      </c>
      <c r="AY73" s="86">
        <f t="shared" si="2"/>
        <v>1</v>
      </c>
      <c r="AZ73" s="89" t="s">
        <v>503</v>
      </c>
      <c r="BA73" s="129"/>
      <c r="BB73" s="129"/>
      <c r="BC73" s="129"/>
      <c r="BD73" s="129"/>
      <c r="BE73" s="129"/>
      <c r="BF73" s="129"/>
      <c r="BG73" s="129"/>
      <c r="BH73" s="129"/>
      <c r="BI73" s="129"/>
      <c r="BJ73" s="129"/>
      <c r="BK73" s="129"/>
      <c r="BL73" s="129"/>
      <c r="BM73" s="129"/>
      <c r="BN73" s="129"/>
      <c r="BO73" s="129"/>
      <c r="BP73" s="129"/>
      <c r="BQ73" s="129"/>
      <c r="BR73" s="129"/>
      <c r="BS73" s="129"/>
      <c r="BT73" s="129"/>
      <c r="BU73" s="129"/>
      <c r="BV73" s="129"/>
      <c r="BW73" s="129"/>
      <c r="BX73" s="129"/>
      <c r="BY73" s="129"/>
      <c r="BZ73" s="129"/>
      <c r="CA73" s="129"/>
      <c r="CB73" s="129"/>
      <c r="CC73" s="129"/>
    </row>
    <row r="74" spans="1:81" s="141" customFormat="1" x14ac:dyDescent="0.2">
      <c r="A74" s="129"/>
      <c r="B74" s="142" t="s">
        <v>320</v>
      </c>
      <c r="C74" s="71" t="s">
        <v>48</v>
      </c>
      <c r="D74" s="104" t="s">
        <v>719</v>
      </c>
      <c r="E74" s="71" t="s">
        <v>547</v>
      </c>
      <c r="F74" s="104" t="s">
        <v>336</v>
      </c>
      <c r="G74" s="104" t="s">
        <v>93</v>
      </c>
      <c r="H74" s="104" t="s">
        <v>720</v>
      </c>
      <c r="I74" s="104" t="s">
        <v>40</v>
      </c>
      <c r="J74" s="104" t="s">
        <v>222</v>
      </c>
      <c r="K74" s="104" t="s">
        <v>403</v>
      </c>
      <c r="L74" s="104" t="s">
        <v>257</v>
      </c>
      <c r="M74" s="104" t="s">
        <v>225</v>
      </c>
      <c r="N74" s="45">
        <v>60</v>
      </c>
      <c r="O74" s="104" t="s">
        <v>896</v>
      </c>
      <c r="P74" s="53">
        <v>2</v>
      </c>
      <c r="Q74" s="45" t="e">
        <f t="shared" si="6"/>
        <v>#VALUE!</v>
      </c>
      <c r="R74" s="53" t="s">
        <v>45</v>
      </c>
      <c r="S74" s="104" t="s">
        <v>897</v>
      </c>
      <c r="T74" s="104" t="s">
        <v>723</v>
      </c>
      <c r="U74" s="215">
        <v>44562</v>
      </c>
      <c r="V74" s="53" t="s">
        <v>495</v>
      </c>
      <c r="W74" s="104" t="s">
        <v>292</v>
      </c>
      <c r="X74" s="71" t="s">
        <v>496</v>
      </c>
      <c r="Y74" s="45" t="s">
        <v>496</v>
      </c>
      <c r="Z74" s="45" t="s">
        <v>496</v>
      </c>
      <c r="AA74" s="45" t="s">
        <v>496</v>
      </c>
      <c r="AB74" s="71" t="s">
        <v>496</v>
      </c>
      <c r="AC74" s="71" t="s">
        <v>496</v>
      </c>
      <c r="AD74" s="104" t="s">
        <v>847</v>
      </c>
      <c r="AE74" s="53">
        <v>1</v>
      </c>
      <c r="AF74" s="45">
        <v>1</v>
      </c>
      <c r="AG74" s="48">
        <f t="shared" si="5"/>
        <v>1</v>
      </c>
      <c r="AH74" s="104" t="s">
        <v>898</v>
      </c>
      <c r="AI74" s="71" t="s">
        <v>511</v>
      </c>
      <c r="AJ74" s="71" t="s">
        <v>496</v>
      </c>
      <c r="AK74" s="45" t="s">
        <v>496</v>
      </c>
      <c r="AL74" s="45" t="s">
        <v>496</v>
      </c>
      <c r="AM74" s="45" t="s">
        <v>496</v>
      </c>
      <c r="AN74" s="71" t="s">
        <v>496</v>
      </c>
      <c r="AO74" s="170" t="s">
        <v>496</v>
      </c>
      <c r="AP74" s="104" t="s">
        <v>847</v>
      </c>
      <c r="AQ74" s="65">
        <v>1</v>
      </c>
      <c r="AR74" s="37">
        <v>1</v>
      </c>
      <c r="AS74" s="159">
        <f>(+Tabla4[[#This Row],[Programación  meta
IV trimestre ]]/AR74)</f>
        <v>1</v>
      </c>
      <c r="AT74" s="160" t="s">
        <v>899</v>
      </c>
      <c r="AU74" s="28" t="s">
        <v>502</v>
      </c>
      <c r="AV74" s="165" t="s">
        <v>485</v>
      </c>
      <c r="AW74" s="209">
        <f>+Tabla4[[#This Row],[Programación  meta
II trimestre ]]+Tabla4[[#This Row],[Programación  meta
IV trimestre ]]</f>
        <v>2</v>
      </c>
      <c r="AX74" s="205">
        <f>+Tabla4[[#This Row],[Avance cuantitativo
II trimestre]]+AR74</f>
        <v>2</v>
      </c>
      <c r="AY74" s="86">
        <f t="shared" si="2"/>
        <v>1</v>
      </c>
      <c r="AZ74" s="89" t="s">
        <v>503</v>
      </c>
      <c r="BA74" s="129"/>
      <c r="BB74" s="129"/>
      <c r="BC74" s="129"/>
      <c r="BD74" s="129"/>
      <c r="BE74" s="129"/>
      <c r="BF74" s="129"/>
      <c r="BG74" s="129"/>
      <c r="BH74" s="129"/>
      <c r="BI74" s="129"/>
      <c r="BJ74" s="129"/>
      <c r="BK74" s="129"/>
      <c r="BL74" s="129"/>
      <c r="BM74" s="129"/>
      <c r="BN74" s="129"/>
      <c r="BO74" s="129"/>
      <c r="BP74" s="129"/>
      <c r="BQ74" s="129"/>
      <c r="BR74" s="129"/>
      <c r="BS74" s="129"/>
      <c r="BT74" s="129"/>
      <c r="BU74" s="129"/>
      <c r="BV74" s="129"/>
      <c r="BW74" s="129"/>
      <c r="BX74" s="129"/>
      <c r="BY74" s="129"/>
      <c r="BZ74" s="129"/>
      <c r="CA74" s="129"/>
      <c r="CB74" s="129"/>
      <c r="CC74" s="129"/>
    </row>
    <row r="75" spans="1:81" s="141" customFormat="1" x14ac:dyDescent="0.2">
      <c r="A75" s="129"/>
      <c r="B75" s="142" t="s">
        <v>312</v>
      </c>
      <c r="C75" s="104" t="s">
        <v>33</v>
      </c>
      <c r="D75" s="104" t="s">
        <v>134</v>
      </c>
      <c r="E75" s="104" t="s">
        <v>20</v>
      </c>
      <c r="F75" s="104" t="s">
        <v>290</v>
      </c>
      <c r="G75" s="104" t="s">
        <v>146</v>
      </c>
      <c r="H75" s="104" t="s">
        <v>221</v>
      </c>
      <c r="I75" s="104" t="s">
        <v>25</v>
      </c>
      <c r="J75" s="104" t="s">
        <v>83</v>
      </c>
      <c r="K75" s="104" t="s">
        <v>264</v>
      </c>
      <c r="L75" s="104" t="s">
        <v>257</v>
      </c>
      <c r="M75" s="104" t="s">
        <v>233</v>
      </c>
      <c r="N75" s="45">
        <v>61</v>
      </c>
      <c r="O75" s="104" t="s">
        <v>900</v>
      </c>
      <c r="P75" s="53">
        <v>2</v>
      </c>
      <c r="Q75" s="45" t="e">
        <f t="shared" si="6"/>
        <v>#VALUE!</v>
      </c>
      <c r="R75" s="53" t="s">
        <v>45</v>
      </c>
      <c r="S75" s="104" t="s">
        <v>901</v>
      </c>
      <c r="T75" s="104" t="s">
        <v>852</v>
      </c>
      <c r="U75" s="215">
        <v>44562</v>
      </c>
      <c r="V75" s="53" t="s">
        <v>495</v>
      </c>
      <c r="W75" s="104" t="s">
        <v>292</v>
      </c>
      <c r="X75" s="71" t="s">
        <v>496</v>
      </c>
      <c r="Y75" s="45" t="s">
        <v>496</v>
      </c>
      <c r="Z75" s="45" t="s">
        <v>496</v>
      </c>
      <c r="AA75" s="45" t="s">
        <v>496</v>
      </c>
      <c r="AB75" s="71" t="s">
        <v>496</v>
      </c>
      <c r="AC75" s="71" t="s">
        <v>496</v>
      </c>
      <c r="AD75" s="104" t="s">
        <v>853</v>
      </c>
      <c r="AE75" s="53">
        <v>1</v>
      </c>
      <c r="AF75" s="45">
        <v>1</v>
      </c>
      <c r="AG75" s="48">
        <f t="shared" si="5"/>
        <v>1</v>
      </c>
      <c r="AH75" s="104" t="s">
        <v>902</v>
      </c>
      <c r="AI75" s="71" t="s">
        <v>511</v>
      </c>
      <c r="AJ75" s="71" t="s">
        <v>496</v>
      </c>
      <c r="AK75" s="45" t="s">
        <v>496</v>
      </c>
      <c r="AL75" s="45" t="s">
        <v>496</v>
      </c>
      <c r="AM75" s="45" t="s">
        <v>496</v>
      </c>
      <c r="AN75" s="71" t="s">
        <v>496</v>
      </c>
      <c r="AO75" s="170" t="s">
        <v>496</v>
      </c>
      <c r="AP75" s="104" t="s">
        <v>853</v>
      </c>
      <c r="AQ75" s="65">
        <v>1</v>
      </c>
      <c r="AR75" s="37">
        <v>1</v>
      </c>
      <c r="AS75" s="159">
        <f>(+Tabla4[[#This Row],[Programación  meta
IV trimestre ]]/AR75)</f>
        <v>1</v>
      </c>
      <c r="AT75" s="160" t="s">
        <v>903</v>
      </c>
      <c r="AU75" s="28" t="s">
        <v>502</v>
      </c>
      <c r="AV75" s="165" t="s">
        <v>485</v>
      </c>
      <c r="AW75" s="209">
        <f>+Tabla4[[#This Row],[Programación  meta
II trimestre ]]+Tabla4[[#This Row],[Programación  meta
IV trimestre ]]</f>
        <v>2</v>
      </c>
      <c r="AX75" s="205">
        <f>+Tabla4[[#This Row],[Avance cuantitativo
II trimestre]]+AR75</f>
        <v>2</v>
      </c>
      <c r="AY75" s="86">
        <f t="shared" si="2"/>
        <v>1</v>
      </c>
      <c r="AZ75" s="89" t="s">
        <v>503</v>
      </c>
      <c r="BA75" s="129"/>
      <c r="BB75" s="129"/>
      <c r="BC75" s="129"/>
      <c r="BD75" s="129"/>
      <c r="BE75" s="129"/>
      <c r="BF75" s="129"/>
      <c r="BG75" s="129"/>
      <c r="BH75" s="129"/>
      <c r="BI75" s="129"/>
      <c r="BJ75" s="129"/>
      <c r="BK75" s="129"/>
      <c r="BL75" s="129"/>
      <c r="BM75" s="129"/>
      <c r="BN75" s="129"/>
      <c r="BO75" s="129"/>
      <c r="BP75" s="129"/>
      <c r="BQ75" s="129"/>
      <c r="BR75" s="129"/>
      <c r="BS75" s="129"/>
      <c r="BT75" s="129"/>
      <c r="BU75" s="129"/>
      <c r="BV75" s="129"/>
      <c r="BW75" s="129"/>
      <c r="BX75" s="129"/>
      <c r="BY75" s="129"/>
      <c r="BZ75" s="129"/>
      <c r="CA75" s="129"/>
      <c r="CB75" s="129"/>
      <c r="CC75" s="129"/>
    </row>
    <row r="76" spans="1:81" s="141" customFormat="1" x14ac:dyDescent="0.2">
      <c r="A76" s="129"/>
      <c r="B76" s="142" t="s">
        <v>320</v>
      </c>
      <c r="C76" s="71" t="s">
        <v>48</v>
      </c>
      <c r="D76" s="104" t="s">
        <v>719</v>
      </c>
      <c r="E76" s="71" t="s">
        <v>547</v>
      </c>
      <c r="F76" s="104" t="s">
        <v>336</v>
      </c>
      <c r="G76" s="104" t="s">
        <v>93</v>
      </c>
      <c r="H76" s="104" t="s">
        <v>720</v>
      </c>
      <c r="I76" s="104" t="s">
        <v>40</v>
      </c>
      <c r="J76" s="104" t="s">
        <v>222</v>
      </c>
      <c r="K76" s="104" t="s">
        <v>403</v>
      </c>
      <c r="L76" s="104" t="s">
        <v>257</v>
      </c>
      <c r="M76" s="104" t="s">
        <v>225</v>
      </c>
      <c r="N76" s="45">
        <v>62</v>
      </c>
      <c r="O76" s="104" t="s">
        <v>904</v>
      </c>
      <c r="P76" s="53">
        <v>2</v>
      </c>
      <c r="Q76" s="45" t="e">
        <f t="shared" si="6"/>
        <v>#VALUE!</v>
      </c>
      <c r="R76" s="53" t="s">
        <v>45</v>
      </c>
      <c r="S76" s="104" t="s">
        <v>905</v>
      </c>
      <c r="T76" s="104" t="s">
        <v>723</v>
      </c>
      <c r="U76" s="215">
        <v>44562</v>
      </c>
      <c r="V76" s="53" t="s">
        <v>495</v>
      </c>
      <c r="W76" s="104" t="s">
        <v>288</v>
      </c>
      <c r="X76" s="71" t="s">
        <v>496</v>
      </c>
      <c r="Y76" s="45" t="s">
        <v>496</v>
      </c>
      <c r="Z76" s="45" t="s">
        <v>496</v>
      </c>
      <c r="AA76" s="45" t="s">
        <v>496</v>
      </c>
      <c r="AB76" s="71" t="s">
        <v>496</v>
      </c>
      <c r="AC76" s="71" t="s">
        <v>496</v>
      </c>
      <c r="AD76" s="104" t="s">
        <v>847</v>
      </c>
      <c r="AE76" s="53">
        <v>1</v>
      </c>
      <c r="AF76" s="45">
        <v>1</v>
      </c>
      <c r="AG76" s="48">
        <f t="shared" si="5"/>
        <v>1</v>
      </c>
      <c r="AH76" s="104" t="s">
        <v>906</v>
      </c>
      <c r="AI76" s="71" t="s">
        <v>511</v>
      </c>
      <c r="AJ76" s="71" t="s">
        <v>496</v>
      </c>
      <c r="AK76" s="45" t="s">
        <v>496</v>
      </c>
      <c r="AL76" s="45" t="s">
        <v>496</v>
      </c>
      <c r="AM76" s="45" t="s">
        <v>496</v>
      </c>
      <c r="AN76" s="71" t="s">
        <v>496</v>
      </c>
      <c r="AO76" s="170" t="s">
        <v>496</v>
      </c>
      <c r="AP76" s="104" t="s">
        <v>847</v>
      </c>
      <c r="AQ76" s="65">
        <v>1</v>
      </c>
      <c r="AR76" s="37">
        <v>1</v>
      </c>
      <c r="AS76" s="159">
        <f>(+Tabla4[[#This Row],[Programación  meta
IV trimestre ]]/AR76)</f>
        <v>1</v>
      </c>
      <c r="AT76" s="160" t="s">
        <v>907</v>
      </c>
      <c r="AU76" s="28" t="s">
        <v>502</v>
      </c>
      <c r="AV76" s="165" t="s">
        <v>485</v>
      </c>
      <c r="AW76" s="209">
        <f>+Tabla4[[#This Row],[Programación  meta
II trimestre ]]+Tabla4[[#This Row],[Programación  meta
IV trimestre ]]</f>
        <v>2</v>
      </c>
      <c r="AX76" s="205">
        <f>+Tabla4[[#This Row],[Avance cuantitativo
II trimestre]]+AR76</f>
        <v>2</v>
      </c>
      <c r="AY76" s="86">
        <f t="shared" si="2"/>
        <v>1</v>
      </c>
      <c r="AZ76" s="89" t="s">
        <v>503</v>
      </c>
      <c r="BA76" s="129"/>
      <c r="BB76" s="129"/>
      <c r="BC76" s="129"/>
      <c r="BD76" s="129"/>
      <c r="BE76" s="129"/>
      <c r="BF76" s="129"/>
      <c r="BG76" s="129"/>
      <c r="BH76" s="129"/>
      <c r="BI76" s="129"/>
      <c r="BJ76" s="129"/>
      <c r="BK76" s="129"/>
      <c r="BL76" s="129"/>
      <c r="BM76" s="129"/>
      <c r="BN76" s="129"/>
      <c r="BO76" s="129"/>
      <c r="BP76" s="129"/>
      <c r="BQ76" s="129"/>
      <c r="BR76" s="129"/>
      <c r="BS76" s="129"/>
      <c r="BT76" s="129"/>
      <c r="BU76" s="129"/>
      <c r="BV76" s="129"/>
      <c r="BW76" s="129"/>
      <c r="BX76" s="129"/>
      <c r="BY76" s="129"/>
      <c r="BZ76" s="129"/>
      <c r="CA76" s="129"/>
      <c r="CB76" s="129"/>
      <c r="CC76" s="129"/>
    </row>
    <row r="77" spans="1:81" s="141" customFormat="1" x14ac:dyDescent="0.2">
      <c r="A77" s="129"/>
      <c r="B77" s="142" t="s">
        <v>312</v>
      </c>
      <c r="C77" s="104" t="s">
        <v>33</v>
      </c>
      <c r="D77" s="104" t="s">
        <v>134</v>
      </c>
      <c r="E77" s="104" t="s">
        <v>20</v>
      </c>
      <c r="F77" s="104" t="s">
        <v>290</v>
      </c>
      <c r="G77" s="104" t="s">
        <v>146</v>
      </c>
      <c r="H77" s="104" t="s">
        <v>221</v>
      </c>
      <c r="I77" s="104" t="s">
        <v>25</v>
      </c>
      <c r="J77" s="104" t="s">
        <v>83</v>
      </c>
      <c r="K77" s="104" t="s">
        <v>264</v>
      </c>
      <c r="L77" s="104" t="s">
        <v>257</v>
      </c>
      <c r="M77" s="104" t="s">
        <v>233</v>
      </c>
      <c r="N77" s="45">
        <v>63</v>
      </c>
      <c r="O77" s="104" t="s">
        <v>908</v>
      </c>
      <c r="P77" s="53">
        <v>2</v>
      </c>
      <c r="Q77" s="45" t="e">
        <f t="shared" si="6"/>
        <v>#VALUE!</v>
      </c>
      <c r="R77" s="53" t="s">
        <v>45</v>
      </c>
      <c r="S77" s="104" t="s">
        <v>909</v>
      </c>
      <c r="T77" s="104" t="s">
        <v>852</v>
      </c>
      <c r="U77" s="215">
        <v>44562</v>
      </c>
      <c r="V77" s="53" t="s">
        <v>495</v>
      </c>
      <c r="W77" s="104" t="s">
        <v>288</v>
      </c>
      <c r="X77" s="71" t="s">
        <v>496</v>
      </c>
      <c r="Y77" s="45" t="s">
        <v>496</v>
      </c>
      <c r="Z77" s="45" t="s">
        <v>496</v>
      </c>
      <c r="AA77" s="45" t="s">
        <v>496</v>
      </c>
      <c r="AB77" s="71" t="s">
        <v>496</v>
      </c>
      <c r="AC77" s="71" t="s">
        <v>496</v>
      </c>
      <c r="AD77" s="104" t="s">
        <v>853</v>
      </c>
      <c r="AE77" s="53">
        <v>1</v>
      </c>
      <c r="AF77" s="45">
        <v>1</v>
      </c>
      <c r="AG77" s="48">
        <f t="shared" si="5"/>
        <v>1</v>
      </c>
      <c r="AH77" s="104" t="s">
        <v>910</v>
      </c>
      <c r="AI77" s="71" t="s">
        <v>511</v>
      </c>
      <c r="AJ77" s="71" t="s">
        <v>496</v>
      </c>
      <c r="AK77" s="45" t="s">
        <v>496</v>
      </c>
      <c r="AL77" s="45" t="s">
        <v>496</v>
      </c>
      <c r="AM77" s="45" t="s">
        <v>496</v>
      </c>
      <c r="AN77" s="71" t="s">
        <v>496</v>
      </c>
      <c r="AO77" s="170" t="s">
        <v>496</v>
      </c>
      <c r="AP77" s="104" t="s">
        <v>853</v>
      </c>
      <c r="AQ77" s="65">
        <v>1</v>
      </c>
      <c r="AR77" s="37">
        <v>1</v>
      </c>
      <c r="AS77" s="159">
        <f>(+Tabla4[[#This Row],[Programación  meta
IV trimestre ]]/AR77)</f>
        <v>1</v>
      </c>
      <c r="AT77" s="160" t="s">
        <v>911</v>
      </c>
      <c r="AU77" s="28" t="s">
        <v>502</v>
      </c>
      <c r="AV77" s="165" t="s">
        <v>485</v>
      </c>
      <c r="AW77" s="209">
        <f>+Tabla4[[#This Row],[Programación  meta
II trimestre ]]+Tabla4[[#This Row],[Programación  meta
IV trimestre ]]</f>
        <v>2</v>
      </c>
      <c r="AX77" s="205">
        <f>+Tabla4[[#This Row],[Avance cuantitativo
II trimestre]]+AR77</f>
        <v>2</v>
      </c>
      <c r="AY77" s="86">
        <f t="shared" si="2"/>
        <v>1</v>
      </c>
      <c r="AZ77" s="89" t="s">
        <v>503</v>
      </c>
      <c r="BA77" s="129"/>
      <c r="BB77" s="129"/>
      <c r="BC77" s="129"/>
      <c r="BD77" s="129"/>
      <c r="BE77" s="129"/>
      <c r="BF77" s="129"/>
      <c r="BG77" s="129"/>
      <c r="BH77" s="129"/>
      <c r="BI77" s="129"/>
      <c r="BJ77" s="129"/>
      <c r="BK77" s="129"/>
      <c r="BL77" s="129"/>
      <c r="BM77" s="129"/>
      <c r="BN77" s="129"/>
      <c r="BO77" s="129"/>
      <c r="BP77" s="129"/>
      <c r="BQ77" s="129"/>
      <c r="BR77" s="129"/>
      <c r="BS77" s="129"/>
      <c r="BT77" s="129"/>
      <c r="BU77" s="129"/>
      <c r="BV77" s="129"/>
      <c r="BW77" s="129"/>
      <c r="BX77" s="129"/>
      <c r="BY77" s="129"/>
      <c r="BZ77" s="129"/>
      <c r="CA77" s="129"/>
      <c r="CB77" s="129"/>
      <c r="CC77" s="129"/>
    </row>
    <row r="78" spans="1:81" s="141" customFormat="1" x14ac:dyDescent="0.2">
      <c r="A78" s="129"/>
      <c r="B78" s="142" t="s">
        <v>320</v>
      </c>
      <c r="C78" s="71" t="s">
        <v>48</v>
      </c>
      <c r="D78" s="104" t="s">
        <v>719</v>
      </c>
      <c r="E78" s="71" t="s">
        <v>547</v>
      </c>
      <c r="F78" s="104" t="s">
        <v>336</v>
      </c>
      <c r="G78" s="104" t="s">
        <v>93</v>
      </c>
      <c r="H78" s="104" t="s">
        <v>720</v>
      </c>
      <c r="I78" s="104" t="s">
        <v>40</v>
      </c>
      <c r="J78" s="104" t="s">
        <v>222</v>
      </c>
      <c r="K78" s="104" t="s">
        <v>403</v>
      </c>
      <c r="L78" s="104" t="s">
        <v>257</v>
      </c>
      <c r="M78" s="104" t="s">
        <v>225</v>
      </c>
      <c r="N78" s="45">
        <v>64</v>
      </c>
      <c r="O78" s="104" t="s">
        <v>912</v>
      </c>
      <c r="P78" s="53">
        <v>2</v>
      </c>
      <c r="Q78" s="45" t="e">
        <f t="shared" si="6"/>
        <v>#VALUE!</v>
      </c>
      <c r="R78" s="53" t="s">
        <v>45</v>
      </c>
      <c r="S78" s="104" t="s">
        <v>913</v>
      </c>
      <c r="T78" s="104" t="s">
        <v>723</v>
      </c>
      <c r="U78" s="215">
        <v>44562</v>
      </c>
      <c r="V78" s="53" t="s">
        <v>495</v>
      </c>
      <c r="W78" s="104" t="s">
        <v>326</v>
      </c>
      <c r="X78" s="71" t="s">
        <v>496</v>
      </c>
      <c r="Y78" s="45" t="s">
        <v>496</v>
      </c>
      <c r="Z78" s="45" t="s">
        <v>496</v>
      </c>
      <c r="AA78" s="45" t="s">
        <v>496</v>
      </c>
      <c r="AB78" s="71" t="s">
        <v>496</v>
      </c>
      <c r="AC78" s="71" t="s">
        <v>496</v>
      </c>
      <c r="AD78" s="104" t="s">
        <v>847</v>
      </c>
      <c r="AE78" s="53">
        <v>1</v>
      </c>
      <c r="AF78" s="45">
        <v>1</v>
      </c>
      <c r="AG78" s="48">
        <f t="shared" si="5"/>
        <v>1</v>
      </c>
      <c r="AH78" s="104" t="s">
        <v>914</v>
      </c>
      <c r="AI78" s="71" t="s">
        <v>511</v>
      </c>
      <c r="AJ78" s="71" t="s">
        <v>496</v>
      </c>
      <c r="AK78" s="45" t="s">
        <v>496</v>
      </c>
      <c r="AL78" s="45" t="s">
        <v>496</v>
      </c>
      <c r="AM78" s="45" t="s">
        <v>496</v>
      </c>
      <c r="AN78" s="71" t="s">
        <v>496</v>
      </c>
      <c r="AO78" s="170" t="s">
        <v>496</v>
      </c>
      <c r="AP78" s="104" t="s">
        <v>847</v>
      </c>
      <c r="AQ78" s="65">
        <v>1</v>
      </c>
      <c r="AR78" s="37">
        <v>1</v>
      </c>
      <c r="AS78" s="159">
        <f>(+Tabla4[[#This Row],[Programación  meta
IV trimestre ]]/AR78)</f>
        <v>1</v>
      </c>
      <c r="AT78" s="160" t="s">
        <v>915</v>
      </c>
      <c r="AU78" s="28" t="s">
        <v>502</v>
      </c>
      <c r="AV78" s="165" t="s">
        <v>485</v>
      </c>
      <c r="AW78" s="209">
        <f>+Tabla4[[#This Row],[Programación  meta
II trimestre ]]+Tabla4[[#This Row],[Programación  meta
IV trimestre ]]</f>
        <v>2</v>
      </c>
      <c r="AX78" s="205">
        <f>+Tabla4[[#This Row],[Avance cuantitativo
II trimestre]]+AR78</f>
        <v>2</v>
      </c>
      <c r="AY78" s="86">
        <f t="shared" si="2"/>
        <v>1</v>
      </c>
      <c r="AZ78" s="89" t="s">
        <v>503</v>
      </c>
      <c r="BA78" s="129"/>
      <c r="BB78" s="129"/>
      <c r="BC78" s="129"/>
      <c r="BD78" s="129"/>
      <c r="BE78" s="129"/>
      <c r="BF78" s="129"/>
      <c r="BG78" s="129"/>
      <c r="BH78" s="129"/>
      <c r="BI78" s="129"/>
      <c r="BJ78" s="129"/>
      <c r="BK78" s="129"/>
      <c r="BL78" s="129"/>
      <c r="BM78" s="129"/>
      <c r="BN78" s="129"/>
      <c r="BO78" s="129"/>
      <c r="BP78" s="129"/>
      <c r="BQ78" s="129"/>
      <c r="BR78" s="129"/>
      <c r="BS78" s="129"/>
      <c r="BT78" s="129"/>
      <c r="BU78" s="129"/>
      <c r="BV78" s="129"/>
      <c r="BW78" s="129"/>
      <c r="BX78" s="129"/>
      <c r="BY78" s="129"/>
      <c r="BZ78" s="129"/>
      <c r="CA78" s="129"/>
      <c r="CB78" s="129"/>
      <c r="CC78" s="129"/>
    </row>
    <row r="79" spans="1:81" s="141" customFormat="1" x14ac:dyDescent="0.2">
      <c r="A79" s="129"/>
      <c r="B79" s="142" t="s">
        <v>312</v>
      </c>
      <c r="C79" s="104" t="s">
        <v>33</v>
      </c>
      <c r="D79" s="104" t="s">
        <v>134</v>
      </c>
      <c r="E79" s="104" t="s">
        <v>20</v>
      </c>
      <c r="F79" s="104" t="s">
        <v>290</v>
      </c>
      <c r="G79" s="104" t="s">
        <v>146</v>
      </c>
      <c r="H79" s="104" t="s">
        <v>221</v>
      </c>
      <c r="I79" s="104" t="s">
        <v>25</v>
      </c>
      <c r="J79" s="104" t="s">
        <v>83</v>
      </c>
      <c r="K79" s="104" t="s">
        <v>264</v>
      </c>
      <c r="L79" s="104" t="s">
        <v>257</v>
      </c>
      <c r="M79" s="104" t="s">
        <v>233</v>
      </c>
      <c r="N79" s="45">
        <v>65</v>
      </c>
      <c r="O79" s="104" t="s">
        <v>916</v>
      </c>
      <c r="P79" s="53">
        <v>2</v>
      </c>
      <c r="Q79" s="45" t="e">
        <f t="shared" si="6"/>
        <v>#VALUE!</v>
      </c>
      <c r="R79" s="53" t="s">
        <v>45</v>
      </c>
      <c r="S79" s="104" t="s">
        <v>917</v>
      </c>
      <c r="T79" s="104" t="s">
        <v>852</v>
      </c>
      <c r="U79" s="215">
        <v>44562</v>
      </c>
      <c r="V79" s="53" t="s">
        <v>495</v>
      </c>
      <c r="W79" s="104" t="s">
        <v>326</v>
      </c>
      <c r="X79" s="71" t="s">
        <v>496</v>
      </c>
      <c r="Y79" s="45" t="s">
        <v>496</v>
      </c>
      <c r="Z79" s="45" t="s">
        <v>496</v>
      </c>
      <c r="AA79" s="45" t="s">
        <v>496</v>
      </c>
      <c r="AB79" s="71" t="s">
        <v>496</v>
      </c>
      <c r="AC79" s="71" t="s">
        <v>496</v>
      </c>
      <c r="AD79" s="104" t="s">
        <v>853</v>
      </c>
      <c r="AE79" s="53">
        <v>1</v>
      </c>
      <c r="AF79" s="45">
        <v>1</v>
      </c>
      <c r="AG79" s="48">
        <f t="shared" ref="AG79:AG110" si="7">(AF79/AE79)</f>
        <v>1</v>
      </c>
      <c r="AH79" s="104" t="s">
        <v>918</v>
      </c>
      <c r="AI79" s="71" t="s">
        <v>511</v>
      </c>
      <c r="AJ79" s="71" t="s">
        <v>496</v>
      </c>
      <c r="AK79" s="45" t="s">
        <v>496</v>
      </c>
      <c r="AL79" s="45" t="s">
        <v>496</v>
      </c>
      <c r="AM79" s="45" t="s">
        <v>496</v>
      </c>
      <c r="AN79" s="71" t="s">
        <v>496</v>
      </c>
      <c r="AO79" s="170" t="s">
        <v>496</v>
      </c>
      <c r="AP79" s="104" t="s">
        <v>853</v>
      </c>
      <c r="AQ79" s="65">
        <v>1</v>
      </c>
      <c r="AR79" s="37">
        <v>1</v>
      </c>
      <c r="AS79" s="159">
        <f>(+Tabla4[[#This Row],[Programación  meta
IV trimestre ]]/AR79)</f>
        <v>1</v>
      </c>
      <c r="AT79" s="160" t="s">
        <v>919</v>
      </c>
      <c r="AU79" s="28" t="s">
        <v>502</v>
      </c>
      <c r="AV79" s="165" t="s">
        <v>485</v>
      </c>
      <c r="AW79" s="209">
        <f>+Tabla4[[#This Row],[Programación  meta
II trimestre ]]+Tabla4[[#This Row],[Programación  meta
IV trimestre ]]</f>
        <v>2</v>
      </c>
      <c r="AX79" s="205">
        <f>+Tabla4[[#This Row],[Avance cuantitativo
II trimestre]]+AR79</f>
        <v>2</v>
      </c>
      <c r="AY79" s="86">
        <f t="shared" si="2"/>
        <v>1</v>
      </c>
      <c r="AZ79" s="89" t="s">
        <v>503</v>
      </c>
      <c r="BA79" s="129"/>
      <c r="BB79" s="129"/>
      <c r="BC79" s="129"/>
      <c r="BD79" s="129"/>
      <c r="BE79" s="129"/>
      <c r="BF79" s="129"/>
      <c r="BG79" s="129"/>
      <c r="BH79" s="129"/>
      <c r="BI79" s="129"/>
      <c r="BJ79" s="129"/>
      <c r="BK79" s="129"/>
      <c r="BL79" s="129"/>
      <c r="BM79" s="129"/>
      <c r="BN79" s="129"/>
      <c r="BO79" s="129"/>
      <c r="BP79" s="129"/>
      <c r="BQ79" s="129"/>
      <c r="BR79" s="129"/>
      <c r="BS79" s="129"/>
      <c r="BT79" s="129"/>
      <c r="BU79" s="129"/>
      <c r="BV79" s="129"/>
      <c r="BW79" s="129"/>
      <c r="BX79" s="129"/>
      <c r="BY79" s="129"/>
      <c r="BZ79" s="129"/>
      <c r="CA79" s="129"/>
      <c r="CB79" s="129"/>
      <c r="CC79" s="129"/>
    </row>
    <row r="80" spans="1:81" s="141" customFormat="1" x14ac:dyDescent="0.2">
      <c r="A80" s="129"/>
      <c r="B80" s="142" t="s">
        <v>320</v>
      </c>
      <c r="C80" s="71" t="s">
        <v>48</v>
      </c>
      <c r="D80" s="104" t="s">
        <v>719</v>
      </c>
      <c r="E80" s="71" t="s">
        <v>547</v>
      </c>
      <c r="F80" s="104" t="s">
        <v>336</v>
      </c>
      <c r="G80" s="104" t="s">
        <v>93</v>
      </c>
      <c r="H80" s="104" t="s">
        <v>720</v>
      </c>
      <c r="I80" s="104" t="s">
        <v>40</v>
      </c>
      <c r="J80" s="104" t="s">
        <v>222</v>
      </c>
      <c r="K80" s="104" t="s">
        <v>403</v>
      </c>
      <c r="L80" s="104" t="s">
        <v>257</v>
      </c>
      <c r="M80" s="104" t="s">
        <v>225</v>
      </c>
      <c r="N80" s="45">
        <v>66</v>
      </c>
      <c r="O80" s="104" t="s">
        <v>920</v>
      </c>
      <c r="P80" s="53">
        <v>2</v>
      </c>
      <c r="Q80" s="45" t="e">
        <f t="shared" si="6"/>
        <v>#VALUE!</v>
      </c>
      <c r="R80" s="53" t="s">
        <v>45</v>
      </c>
      <c r="S80" s="104" t="s">
        <v>921</v>
      </c>
      <c r="T80" s="104" t="s">
        <v>723</v>
      </c>
      <c r="U80" s="215">
        <v>44562</v>
      </c>
      <c r="V80" s="53" t="s">
        <v>495</v>
      </c>
      <c r="W80" s="104" t="s">
        <v>281</v>
      </c>
      <c r="X80" s="71" t="s">
        <v>496</v>
      </c>
      <c r="Y80" s="45" t="s">
        <v>496</v>
      </c>
      <c r="Z80" s="45" t="s">
        <v>496</v>
      </c>
      <c r="AA80" s="45" t="s">
        <v>496</v>
      </c>
      <c r="AB80" s="71" t="s">
        <v>496</v>
      </c>
      <c r="AC80" s="71" t="s">
        <v>496</v>
      </c>
      <c r="AD80" s="104" t="s">
        <v>847</v>
      </c>
      <c r="AE80" s="53">
        <v>1</v>
      </c>
      <c r="AF80" s="45">
        <v>1</v>
      </c>
      <c r="AG80" s="48">
        <f t="shared" si="7"/>
        <v>1</v>
      </c>
      <c r="AH80" s="104" t="s">
        <v>922</v>
      </c>
      <c r="AI80" s="71" t="s">
        <v>511</v>
      </c>
      <c r="AJ80" s="71" t="s">
        <v>496</v>
      </c>
      <c r="AK80" s="45" t="s">
        <v>496</v>
      </c>
      <c r="AL80" s="45" t="s">
        <v>496</v>
      </c>
      <c r="AM80" s="45" t="s">
        <v>496</v>
      </c>
      <c r="AN80" s="71" t="s">
        <v>496</v>
      </c>
      <c r="AO80" s="170" t="s">
        <v>496</v>
      </c>
      <c r="AP80" s="104" t="s">
        <v>847</v>
      </c>
      <c r="AQ80" s="65">
        <v>1</v>
      </c>
      <c r="AR80" s="37">
        <v>1</v>
      </c>
      <c r="AS80" s="159">
        <f>(+Tabla4[[#This Row],[Programación  meta
IV trimestre ]]/AR80)</f>
        <v>1</v>
      </c>
      <c r="AT80" s="160" t="s">
        <v>923</v>
      </c>
      <c r="AU80" s="28" t="s">
        <v>502</v>
      </c>
      <c r="AV80" s="165" t="s">
        <v>485</v>
      </c>
      <c r="AW80" s="209">
        <f>+Tabla4[[#This Row],[Programación  meta
II trimestre ]]+Tabla4[[#This Row],[Programación  meta
IV trimestre ]]</f>
        <v>2</v>
      </c>
      <c r="AX80" s="205">
        <f>+Tabla4[[#This Row],[Avance cuantitativo
II trimestre]]+AR80</f>
        <v>2</v>
      </c>
      <c r="AY80" s="86">
        <f t="shared" ref="AY80:AY143" si="8">+(AX80/AW80)</f>
        <v>1</v>
      </c>
      <c r="AZ80" s="89" t="s">
        <v>503</v>
      </c>
      <c r="BA80" s="129"/>
      <c r="BB80" s="129"/>
      <c r="BC80" s="129"/>
      <c r="BD80" s="129"/>
      <c r="BE80" s="129"/>
      <c r="BF80" s="129"/>
      <c r="BG80" s="129"/>
      <c r="BH80" s="129"/>
      <c r="BI80" s="129"/>
      <c r="BJ80" s="129"/>
      <c r="BK80" s="129"/>
      <c r="BL80" s="129"/>
      <c r="BM80" s="129"/>
      <c r="BN80" s="129"/>
      <c r="BO80" s="129"/>
      <c r="BP80" s="129"/>
      <c r="BQ80" s="129"/>
      <c r="BR80" s="129"/>
      <c r="BS80" s="129"/>
      <c r="BT80" s="129"/>
      <c r="BU80" s="129"/>
      <c r="BV80" s="129"/>
      <c r="BW80" s="129"/>
      <c r="BX80" s="129"/>
      <c r="BY80" s="129"/>
      <c r="BZ80" s="129"/>
      <c r="CA80" s="129"/>
      <c r="CB80" s="129"/>
      <c r="CC80" s="129"/>
    </row>
    <row r="81" spans="1:81" s="141" customFormat="1" x14ac:dyDescent="0.2">
      <c r="A81" s="129"/>
      <c r="B81" s="142" t="s">
        <v>312</v>
      </c>
      <c r="C81" s="104" t="s">
        <v>33</v>
      </c>
      <c r="D81" s="104" t="s">
        <v>134</v>
      </c>
      <c r="E81" s="104" t="s">
        <v>20</v>
      </c>
      <c r="F81" s="104" t="s">
        <v>290</v>
      </c>
      <c r="G81" s="104" t="s">
        <v>146</v>
      </c>
      <c r="H81" s="104" t="s">
        <v>221</v>
      </c>
      <c r="I81" s="104" t="s">
        <v>25</v>
      </c>
      <c r="J81" s="104" t="s">
        <v>83</v>
      </c>
      <c r="K81" s="104" t="s">
        <v>264</v>
      </c>
      <c r="L81" s="104" t="s">
        <v>257</v>
      </c>
      <c r="M81" s="104" t="s">
        <v>233</v>
      </c>
      <c r="N81" s="45">
        <v>67</v>
      </c>
      <c r="O81" s="104" t="s">
        <v>924</v>
      </c>
      <c r="P81" s="53">
        <v>2</v>
      </c>
      <c r="Q81" s="45" t="e">
        <f t="shared" si="6"/>
        <v>#VALUE!</v>
      </c>
      <c r="R81" s="53" t="s">
        <v>45</v>
      </c>
      <c r="S81" s="104" t="s">
        <v>925</v>
      </c>
      <c r="T81" s="104" t="s">
        <v>852</v>
      </c>
      <c r="U81" s="215">
        <v>44562</v>
      </c>
      <c r="V81" s="53" t="s">
        <v>495</v>
      </c>
      <c r="W81" s="104" t="s">
        <v>281</v>
      </c>
      <c r="X81" s="71" t="s">
        <v>496</v>
      </c>
      <c r="Y81" s="45" t="s">
        <v>496</v>
      </c>
      <c r="Z81" s="45" t="s">
        <v>496</v>
      </c>
      <c r="AA81" s="45" t="s">
        <v>496</v>
      </c>
      <c r="AB81" s="71" t="s">
        <v>496</v>
      </c>
      <c r="AC81" s="71" t="s">
        <v>496</v>
      </c>
      <c r="AD81" s="104" t="s">
        <v>853</v>
      </c>
      <c r="AE81" s="53">
        <v>1</v>
      </c>
      <c r="AF81" s="45">
        <v>1</v>
      </c>
      <c r="AG81" s="48">
        <f t="shared" si="7"/>
        <v>1</v>
      </c>
      <c r="AH81" s="104" t="s">
        <v>926</v>
      </c>
      <c r="AI81" s="71" t="s">
        <v>511</v>
      </c>
      <c r="AJ81" s="71" t="s">
        <v>496</v>
      </c>
      <c r="AK81" s="45" t="s">
        <v>496</v>
      </c>
      <c r="AL81" s="45" t="s">
        <v>496</v>
      </c>
      <c r="AM81" s="45" t="s">
        <v>496</v>
      </c>
      <c r="AN81" s="71" t="s">
        <v>496</v>
      </c>
      <c r="AO81" s="170" t="s">
        <v>496</v>
      </c>
      <c r="AP81" s="104" t="s">
        <v>853</v>
      </c>
      <c r="AQ81" s="65">
        <v>1</v>
      </c>
      <c r="AR81" s="37">
        <v>1</v>
      </c>
      <c r="AS81" s="159">
        <f>(+Tabla4[[#This Row],[Programación  meta
IV trimestre ]]/AR81)</f>
        <v>1</v>
      </c>
      <c r="AT81" s="160" t="s">
        <v>927</v>
      </c>
      <c r="AU81" s="28" t="s">
        <v>502</v>
      </c>
      <c r="AV81" s="165" t="s">
        <v>485</v>
      </c>
      <c r="AW81" s="209">
        <f>+Tabla4[[#This Row],[Programación  meta
II trimestre ]]+Tabla4[[#This Row],[Programación  meta
IV trimestre ]]</f>
        <v>2</v>
      </c>
      <c r="AX81" s="205">
        <f>+Tabla4[[#This Row],[Avance cuantitativo
II trimestre]]+AR81</f>
        <v>2</v>
      </c>
      <c r="AY81" s="86">
        <f t="shared" si="8"/>
        <v>1</v>
      </c>
      <c r="AZ81" s="89" t="s">
        <v>503</v>
      </c>
      <c r="BA81" s="129"/>
      <c r="BB81" s="129"/>
      <c r="BC81" s="129"/>
      <c r="BD81" s="129"/>
      <c r="BE81" s="129"/>
      <c r="BF81" s="129"/>
      <c r="BG81" s="129"/>
      <c r="BH81" s="129"/>
      <c r="BI81" s="129"/>
      <c r="BJ81" s="129"/>
      <c r="BK81" s="129"/>
      <c r="BL81" s="129"/>
      <c r="BM81" s="129"/>
      <c r="BN81" s="129"/>
      <c r="BO81" s="129"/>
      <c r="BP81" s="129"/>
      <c r="BQ81" s="129"/>
      <c r="BR81" s="129"/>
      <c r="BS81" s="129"/>
      <c r="BT81" s="129"/>
      <c r="BU81" s="129"/>
      <c r="BV81" s="129"/>
      <c r="BW81" s="129"/>
      <c r="BX81" s="129"/>
      <c r="BY81" s="129"/>
      <c r="BZ81" s="129"/>
      <c r="CA81" s="129"/>
      <c r="CB81" s="129"/>
      <c r="CC81" s="129"/>
    </row>
    <row r="82" spans="1:81" s="141" customFormat="1" x14ac:dyDescent="0.2">
      <c r="A82" s="129"/>
      <c r="B82" s="142" t="s">
        <v>320</v>
      </c>
      <c r="C82" s="71" t="s">
        <v>48</v>
      </c>
      <c r="D82" s="104" t="s">
        <v>719</v>
      </c>
      <c r="E82" s="71" t="s">
        <v>547</v>
      </c>
      <c r="F82" s="104" t="s">
        <v>336</v>
      </c>
      <c r="G82" s="104" t="s">
        <v>93</v>
      </c>
      <c r="H82" s="104" t="s">
        <v>720</v>
      </c>
      <c r="I82" s="104" t="s">
        <v>40</v>
      </c>
      <c r="J82" s="104" t="s">
        <v>222</v>
      </c>
      <c r="K82" s="104" t="s">
        <v>403</v>
      </c>
      <c r="L82" s="104" t="s">
        <v>257</v>
      </c>
      <c r="M82" s="104" t="s">
        <v>225</v>
      </c>
      <c r="N82" s="45">
        <v>68</v>
      </c>
      <c r="O82" s="104" t="s">
        <v>928</v>
      </c>
      <c r="P82" s="53">
        <v>2</v>
      </c>
      <c r="Q82" s="47" t="e">
        <f t="shared" si="6"/>
        <v>#VALUE!</v>
      </c>
      <c r="R82" s="53" t="s">
        <v>45</v>
      </c>
      <c r="S82" s="104" t="s">
        <v>929</v>
      </c>
      <c r="T82" s="104" t="s">
        <v>723</v>
      </c>
      <c r="U82" s="215">
        <v>44562</v>
      </c>
      <c r="V82" s="53" t="s">
        <v>495</v>
      </c>
      <c r="W82" s="104" t="s">
        <v>329</v>
      </c>
      <c r="X82" s="71" t="s">
        <v>496</v>
      </c>
      <c r="Y82" s="45" t="s">
        <v>496</v>
      </c>
      <c r="Z82" s="45" t="s">
        <v>496</v>
      </c>
      <c r="AA82" s="45" t="s">
        <v>496</v>
      </c>
      <c r="AB82" s="71" t="s">
        <v>496</v>
      </c>
      <c r="AC82" s="71" t="s">
        <v>496</v>
      </c>
      <c r="AD82" s="104" t="s">
        <v>847</v>
      </c>
      <c r="AE82" s="53">
        <v>1</v>
      </c>
      <c r="AF82" s="45">
        <v>1</v>
      </c>
      <c r="AG82" s="48">
        <f t="shared" si="7"/>
        <v>1</v>
      </c>
      <c r="AH82" s="104" t="s">
        <v>930</v>
      </c>
      <c r="AI82" s="170" t="s">
        <v>511</v>
      </c>
      <c r="AJ82" s="71" t="s">
        <v>496</v>
      </c>
      <c r="AK82" s="45" t="s">
        <v>496</v>
      </c>
      <c r="AL82" s="45" t="s">
        <v>496</v>
      </c>
      <c r="AM82" s="45" t="s">
        <v>496</v>
      </c>
      <c r="AN82" s="71" t="s">
        <v>496</v>
      </c>
      <c r="AO82" s="170" t="s">
        <v>496</v>
      </c>
      <c r="AP82" s="104" t="s">
        <v>847</v>
      </c>
      <c r="AQ82" s="65">
        <v>1</v>
      </c>
      <c r="AR82" s="37">
        <v>1</v>
      </c>
      <c r="AS82" s="159">
        <f>(+Tabla4[[#This Row],[Programación  meta
IV trimestre ]]/AR82)</f>
        <v>1</v>
      </c>
      <c r="AT82" s="160" t="s">
        <v>931</v>
      </c>
      <c r="AU82" s="28" t="s">
        <v>502</v>
      </c>
      <c r="AV82" s="165" t="s">
        <v>485</v>
      </c>
      <c r="AW82" s="209">
        <f>+Tabla4[[#This Row],[Programación  meta
II trimestre ]]+Tabla4[[#This Row],[Programación  meta
IV trimestre ]]</f>
        <v>2</v>
      </c>
      <c r="AX82" s="205">
        <f>+Tabla4[[#This Row],[Avance cuantitativo
II trimestre]]+AR82</f>
        <v>2</v>
      </c>
      <c r="AY82" s="86">
        <f t="shared" si="8"/>
        <v>1</v>
      </c>
      <c r="AZ82" s="89" t="s">
        <v>503</v>
      </c>
      <c r="BA82" s="129"/>
      <c r="BB82" s="129"/>
      <c r="BC82" s="129"/>
      <c r="BD82" s="129"/>
      <c r="BE82" s="129"/>
      <c r="BF82" s="129"/>
      <c r="BG82" s="129"/>
      <c r="BH82" s="129"/>
      <c r="BI82" s="129"/>
      <c r="BJ82" s="129"/>
      <c r="BK82" s="129"/>
      <c r="BL82" s="129"/>
      <c r="BM82" s="129"/>
      <c r="BN82" s="129"/>
      <c r="BO82" s="129"/>
      <c r="BP82" s="129"/>
      <c r="BQ82" s="129"/>
      <c r="BR82" s="129"/>
      <c r="BS82" s="129"/>
      <c r="BT82" s="129"/>
      <c r="BU82" s="129"/>
      <c r="BV82" s="129"/>
      <c r="BW82" s="129"/>
      <c r="BX82" s="129"/>
      <c r="BY82" s="129"/>
      <c r="BZ82" s="129"/>
      <c r="CA82" s="129"/>
      <c r="CB82" s="129"/>
      <c r="CC82" s="129"/>
    </row>
    <row r="83" spans="1:81" s="141" customFormat="1" x14ac:dyDescent="0.2">
      <c r="A83" s="129"/>
      <c r="B83" s="142" t="s">
        <v>312</v>
      </c>
      <c r="C83" s="104" t="s">
        <v>33</v>
      </c>
      <c r="D83" s="104" t="s">
        <v>134</v>
      </c>
      <c r="E83" s="104" t="s">
        <v>20</v>
      </c>
      <c r="F83" s="104" t="s">
        <v>290</v>
      </c>
      <c r="G83" s="104" t="s">
        <v>146</v>
      </c>
      <c r="H83" s="104" t="s">
        <v>221</v>
      </c>
      <c r="I83" s="104" t="s">
        <v>25</v>
      </c>
      <c r="J83" s="104" t="s">
        <v>83</v>
      </c>
      <c r="K83" s="104" t="s">
        <v>264</v>
      </c>
      <c r="L83" s="104" t="s">
        <v>257</v>
      </c>
      <c r="M83" s="104" t="s">
        <v>233</v>
      </c>
      <c r="N83" s="45">
        <v>69</v>
      </c>
      <c r="O83" s="104" t="s">
        <v>932</v>
      </c>
      <c r="P83" s="53">
        <v>2</v>
      </c>
      <c r="Q83" s="47" t="e">
        <f t="shared" si="6"/>
        <v>#VALUE!</v>
      </c>
      <c r="R83" s="53" t="s">
        <v>45</v>
      </c>
      <c r="S83" s="104" t="s">
        <v>933</v>
      </c>
      <c r="T83" s="104" t="s">
        <v>852</v>
      </c>
      <c r="U83" s="215">
        <v>44562</v>
      </c>
      <c r="V83" s="53" t="s">
        <v>495</v>
      </c>
      <c r="W83" s="104" t="s">
        <v>329</v>
      </c>
      <c r="X83" s="71" t="s">
        <v>496</v>
      </c>
      <c r="Y83" s="45" t="s">
        <v>496</v>
      </c>
      <c r="Z83" s="45" t="s">
        <v>496</v>
      </c>
      <c r="AA83" s="45" t="s">
        <v>496</v>
      </c>
      <c r="AB83" s="71" t="s">
        <v>496</v>
      </c>
      <c r="AC83" s="71" t="s">
        <v>496</v>
      </c>
      <c r="AD83" s="104" t="s">
        <v>853</v>
      </c>
      <c r="AE83" s="53">
        <v>1</v>
      </c>
      <c r="AF83" s="45">
        <v>1</v>
      </c>
      <c r="AG83" s="48">
        <f t="shared" si="7"/>
        <v>1</v>
      </c>
      <c r="AH83" s="104" t="s">
        <v>934</v>
      </c>
      <c r="AI83" s="71" t="s">
        <v>511</v>
      </c>
      <c r="AJ83" s="71" t="s">
        <v>496</v>
      </c>
      <c r="AK83" s="45" t="s">
        <v>496</v>
      </c>
      <c r="AL83" s="45" t="s">
        <v>496</v>
      </c>
      <c r="AM83" s="45" t="s">
        <v>496</v>
      </c>
      <c r="AN83" s="71" t="s">
        <v>496</v>
      </c>
      <c r="AO83" s="170" t="s">
        <v>496</v>
      </c>
      <c r="AP83" s="104" t="s">
        <v>853</v>
      </c>
      <c r="AQ83" s="65">
        <v>1</v>
      </c>
      <c r="AR83" s="37">
        <v>1</v>
      </c>
      <c r="AS83" s="159">
        <f>(+Tabla4[[#This Row],[Programación  meta
IV trimestre ]]/AR83)</f>
        <v>1</v>
      </c>
      <c r="AT83" s="160" t="s">
        <v>935</v>
      </c>
      <c r="AU83" s="28" t="s">
        <v>502</v>
      </c>
      <c r="AV83" s="165" t="s">
        <v>485</v>
      </c>
      <c r="AW83" s="209">
        <f>+Tabla4[[#This Row],[Programación  meta
II trimestre ]]+Tabla4[[#This Row],[Programación  meta
IV trimestre ]]</f>
        <v>2</v>
      </c>
      <c r="AX83" s="205">
        <f>+Tabla4[[#This Row],[Avance cuantitativo
II trimestre]]+AR83</f>
        <v>2</v>
      </c>
      <c r="AY83" s="86">
        <f t="shared" si="8"/>
        <v>1</v>
      </c>
      <c r="AZ83" s="89" t="s">
        <v>503</v>
      </c>
      <c r="BA83" s="129"/>
      <c r="BB83" s="129"/>
      <c r="BC83" s="129"/>
      <c r="BD83" s="129"/>
      <c r="BE83" s="129"/>
      <c r="BF83" s="129"/>
      <c r="BG83" s="129"/>
      <c r="BH83" s="129"/>
      <c r="BI83" s="129"/>
      <c r="BJ83" s="129"/>
      <c r="BK83" s="129"/>
      <c r="BL83" s="129"/>
      <c r="BM83" s="129"/>
      <c r="BN83" s="129"/>
      <c r="BO83" s="129"/>
      <c r="BP83" s="129"/>
      <c r="BQ83" s="129"/>
      <c r="BR83" s="129"/>
      <c r="BS83" s="129"/>
      <c r="BT83" s="129"/>
      <c r="BU83" s="129"/>
      <c r="BV83" s="129"/>
      <c r="BW83" s="129"/>
      <c r="BX83" s="129"/>
      <c r="BY83" s="129"/>
      <c r="BZ83" s="129"/>
      <c r="CA83" s="129"/>
      <c r="CB83" s="129"/>
      <c r="CC83" s="129"/>
    </row>
    <row r="84" spans="1:81" s="141" customFormat="1" x14ac:dyDescent="0.2">
      <c r="A84" s="129"/>
      <c r="B84" s="142" t="s">
        <v>320</v>
      </c>
      <c r="C84" s="71" t="s">
        <v>48</v>
      </c>
      <c r="D84" s="104" t="s">
        <v>719</v>
      </c>
      <c r="E84" s="71" t="s">
        <v>547</v>
      </c>
      <c r="F84" s="104" t="s">
        <v>336</v>
      </c>
      <c r="G84" s="104" t="s">
        <v>93</v>
      </c>
      <c r="H84" s="104" t="s">
        <v>720</v>
      </c>
      <c r="I84" s="104" t="s">
        <v>40</v>
      </c>
      <c r="J84" s="104" t="s">
        <v>222</v>
      </c>
      <c r="K84" s="104" t="s">
        <v>403</v>
      </c>
      <c r="L84" s="104" t="s">
        <v>257</v>
      </c>
      <c r="M84" s="104" t="s">
        <v>225</v>
      </c>
      <c r="N84" s="45">
        <v>70</v>
      </c>
      <c r="O84" s="104" t="s">
        <v>936</v>
      </c>
      <c r="P84" s="53">
        <v>2</v>
      </c>
      <c r="Q84" s="47" t="e">
        <f t="shared" si="6"/>
        <v>#VALUE!</v>
      </c>
      <c r="R84" s="53" t="s">
        <v>45</v>
      </c>
      <c r="S84" s="104" t="s">
        <v>937</v>
      </c>
      <c r="T84" s="104" t="s">
        <v>723</v>
      </c>
      <c r="U84" s="215">
        <v>44562</v>
      </c>
      <c r="V84" s="53" t="s">
        <v>495</v>
      </c>
      <c r="W84" s="104" t="s">
        <v>296</v>
      </c>
      <c r="X84" s="71" t="s">
        <v>496</v>
      </c>
      <c r="Y84" s="45" t="s">
        <v>496</v>
      </c>
      <c r="Z84" s="45" t="s">
        <v>496</v>
      </c>
      <c r="AA84" s="45" t="s">
        <v>496</v>
      </c>
      <c r="AB84" s="71" t="s">
        <v>496</v>
      </c>
      <c r="AC84" s="71" t="s">
        <v>496</v>
      </c>
      <c r="AD84" s="104" t="s">
        <v>847</v>
      </c>
      <c r="AE84" s="53">
        <v>1</v>
      </c>
      <c r="AF84" s="45">
        <v>1</v>
      </c>
      <c r="AG84" s="48">
        <f t="shared" si="7"/>
        <v>1</v>
      </c>
      <c r="AH84" s="104" t="s">
        <v>938</v>
      </c>
      <c r="AI84" s="71" t="s">
        <v>511</v>
      </c>
      <c r="AJ84" s="71" t="s">
        <v>496</v>
      </c>
      <c r="AK84" s="45" t="s">
        <v>496</v>
      </c>
      <c r="AL84" s="45" t="s">
        <v>496</v>
      </c>
      <c r="AM84" s="45" t="s">
        <v>496</v>
      </c>
      <c r="AN84" s="71" t="s">
        <v>496</v>
      </c>
      <c r="AO84" s="170" t="s">
        <v>496</v>
      </c>
      <c r="AP84" s="104" t="s">
        <v>847</v>
      </c>
      <c r="AQ84" s="65">
        <v>1</v>
      </c>
      <c r="AR84" s="37">
        <v>1</v>
      </c>
      <c r="AS84" s="159">
        <f>(+Tabla4[[#This Row],[Programación  meta
IV trimestre ]]/AR84)</f>
        <v>1</v>
      </c>
      <c r="AT84" s="160" t="s">
        <v>939</v>
      </c>
      <c r="AU84" s="28" t="s">
        <v>502</v>
      </c>
      <c r="AV84" s="165" t="s">
        <v>485</v>
      </c>
      <c r="AW84" s="209">
        <f>+Tabla4[[#This Row],[Programación  meta
II trimestre ]]+Tabla4[[#This Row],[Programación  meta
IV trimestre ]]</f>
        <v>2</v>
      </c>
      <c r="AX84" s="205">
        <f>+Tabla4[[#This Row],[Avance cuantitativo
II trimestre]]+AR84</f>
        <v>2</v>
      </c>
      <c r="AY84" s="86">
        <f t="shared" si="8"/>
        <v>1</v>
      </c>
      <c r="AZ84" s="89" t="s">
        <v>503</v>
      </c>
      <c r="BA84" s="129"/>
      <c r="BB84" s="129"/>
      <c r="BC84" s="129"/>
      <c r="BD84" s="129"/>
      <c r="BE84" s="129"/>
      <c r="BF84" s="129"/>
      <c r="BG84" s="129"/>
      <c r="BH84" s="129"/>
      <c r="BI84" s="129"/>
      <c r="BJ84" s="129"/>
      <c r="BK84" s="129"/>
      <c r="BL84" s="129"/>
      <c r="BM84" s="129"/>
      <c r="BN84" s="129"/>
      <c r="BO84" s="129"/>
      <c r="BP84" s="129"/>
      <c r="BQ84" s="129"/>
      <c r="BR84" s="129"/>
      <c r="BS84" s="129"/>
      <c r="BT84" s="129"/>
      <c r="BU84" s="129"/>
      <c r="BV84" s="129"/>
      <c r="BW84" s="129"/>
      <c r="BX84" s="129"/>
      <c r="BY84" s="129"/>
      <c r="BZ84" s="129"/>
      <c r="CA84" s="129"/>
      <c r="CB84" s="129"/>
      <c r="CC84" s="129"/>
    </row>
    <row r="85" spans="1:81" s="141" customFormat="1" x14ac:dyDescent="0.2">
      <c r="A85" s="129"/>
      <c r="B85" s="142" t="s">
        <v>312</v>
      </c>
      <c r="C85" s="104" t="s">
        <v>33</v>
      </c>
      <c r="D85" s="104" t="s">
        <v>134</v>
      </c>
      <c r="E85" s="104" t="s">
        <v>20</v>
      </c>
      <c r="F85" s="104" t="s">
        <v>290</v>
      </c>
      <c r="G85" s="104" t="s">
        <v>146</v>
      </c>
      <c r="H85" s="104" t="s">
        <v>221</v>
      </c>
      <c r="I85" s="104" t="s">
        <v>25</v>
      </c>
      <c r="J85" s="104" t="s">
        <v>83</v>
      </c>
      <c r="K85" s="104" t="s">
        <v>264</v>
      </c>
      <c r="L85" s="104" t="s">
        <v>257</v>
      </c>
      <c r="M85" s="104" t="s">
        <v>233</v>
      </c>
      <c r="N85" s="45">
        <v>71</v>
      </c>
      <c r="O85" s="104" t="s">
        <v>940</v>
      </c>
      <c r="P85" s="53">
        <v>2</v>
      </c>
      <c r="Q85" s="47" t="e">
        <f t="shared" si="6"/>
        <v>#VALUE!</v>
      </c>
      <c r="R85" s="53" t="s">
        <v>45</v>
      </c>
      <c r="S85" s="104" t="s">
        <v>941</v>
      </c>
      <c r="T85" s="104" t="s">
        <v>852</v>
      </c>
      <c r="U85" s="215">
        <v>44562</v>
      </c>
      <c r="V85" s="53" t="s">
        <v>495</v>
      </c>
      <c r="W85" s="104" t="s">
        <v>296</v>
      </c>
      <c r="X85" s="71" t="s">
        <v>496</v>
      </c>
      <c r="Y85" s="45" t="s">
        <v>496</v>
      </c>
      <c r="Z85" s="45" t="s">
        <v>496</v>
      </c>
      <c r="AA85" s="45" t="s">
        <v>496</v>
      </c>
      <c r="AB85" s="71" t="s">
        <v>496</v>
      </c>
      <c r="AC85" s="71" t="s">
        <v>496</v>
      </c>
      <c r="AD85" s="104" t="s">
        <v>853</v>
      </c>
      <c r="AE85" s="53">
        <v>1</v>
      </c>
      <c r="AF85" s="45">
        <v>1</v>
      </c>
      <c r="AG85" s="48">
        <f t="shared" si="7"/>
        <v>1</v>
      </c>
      <c r="AH85" s="104" t="s">
        <v>942</v>
      </c>
      <c r="AI85" s="71" t="s">
        <v>511</v>
      </c>
      <c r="AJ85" s="71" t="s">
        <v>496</v>
      </c>
      <c r="AK85" s="45" t="s">
        <v>496</v>
      </c>
      <c r="AL85" s="45" t="s">
        <v>496</v>
      </c>
      <c r="AM85" s="45" t="s">
        <v>496</v>
      </c>
      <c r="AN85" s="71" t="s">
        <v>496</v>
      </c>
      <c r="AO85" s="170" t="s">
        <v>496</v>
      </c>
      <c r="AP85" s="104" t="s">
        <v>853</v>
      </c>
      <c r="AQ85" s="65">
        <v>1</v>
      </c>
      <c r="AR85" s="37">
        <v>1</v>
      </c>
      <c r="AS85" s="159">
        <f>(+Tabla4[[#This Row],[Programación  meta
IV trimestre ]]/AR85)</f>
        <v>1</v>
      </c>
      <c r="AT85" s="160" t="s">
        <v>943</v>
      </c>
      <c r="AU85" s="28" t="s">
        <v>502</v>
      </c>
      <c r="AV85" s="165" t="s">
        <v>485</v>
      </c>
      <c r="AW85" s="209">
        <f>+Tabla4[[#This Row],[Programación  meta
II trimestre ]]+Tabla4[[#This Row],[Programación  meta
IV trimestre ]]</f>
        <v>2</v>
      </c>
      <c r="AX85" s="205">
        <f>+Tabla4[[#This Row],[Avance cuantitativo
II trimestre]]+AR85</f>
        <v>2</v>
      </c>
      <c r="AY85" s="86">
        <f t="shared" si="8"/>
        <v>1</v>
      </c>
      <c r="AZ85" s="89" t="s">
        <v>503</v>
      </c>
      <c r="BA85" s="129"/>
      <c r="BB85" s="129"/>
      <c r="BC85" s="129"/>
      <c r="BD85" s="129"/>
      <c r="BE85" s="129"/>
      <c r="BF85" s="129"/>
      <c r="BG85" s="129"/>
      <c r="BH85" s="129"/>
      <c r="BI85" s="129"/>
      <c r="BJ85" s="129"/>
      <c r="BK85" s="129"/>
      <c r="BL85" s="129"/>
      <c r="BM85" s="129"/>
      <c r="BN85" s="129"/>
      <c r="BO85" s="129"/>
      <c r="BP85" s="129"/>
      <c r="BQ85" s="129"/>
      <c r="BR85" s="129"/>
      <c r="BS85" s="129"/>
      <c r="BT85" s="129"/>
      <c r="BU85" s="129"/>
      <c r="BV85" s="129"/>
      <c r="BW85" s="129"/>
      <c r="BX85" s="129"/>
      <c r="BY85" s="129"/>
      <c r="BZ85" s="129"/>
      <c r="CA85" s="129"/>
      <c r="CB85" s="129"/>
      <c r="CC85" s="129"/>
    </row>
    <row r="86" spans="1:81" s="129" customFormat="1" x14ac:dyDescent="0.2">
      <c r="B86" s="142" t="s">
        <v>320</v>
      </c>
      <c r="C86" s="71" t="s">
        <v>48</v>
      </c>
      <c r="D86" s="104" t="s">
        <v>719</v>
      </c>
      <c r="E86" s="71" t="s">
        <v>547</v>
      </c>
      <c r="F86" s="104" t="s">
        <v>336</v>
      </c>
      <c r="G86" s="104" t="s">
        <v>93</v>
      </c>
      <c r="H86" s="104" t="s">
        <v>720</v>
      </c>
      <c r="I86" s="104" t="s">
        <v>40</v>
      </c>
      <c r="J86" s="104" t="s">
        <v>222</v>
      </c>
      <c r="K86" s="104" t="s">
        <v>403</v>
      </c>
      <c r="L86" s="104" t="s">
        <v>257</v>
      </c>
      <c r="M86" s="104" t="s">
        <v>225</v>
      </c>
      <c r="N86" s="45">
        <v>72</v>
      </c>
      <c r="O86" s="104" t="s">
        <v>944</v>
      </c>
      <c r="P86" s="53">
        <v>2</v>
      </c>
      <c r="Q86" s="45" t="e">
        <f t="shared" si="6"/>
        <v>#VALUE!</v>
      </c>
      <c r="R86" s="53" t="s">
        <v>45</v>
      </c>
      <c r="S86" s="104" t="s">
        <v>945</v>
      </c>
      <c r="T86" s="104" t="s">
        <v>723</v>
      </c>
      <c r="U86" s="215">
        <v>44562</v>
      </c>
      <c r="V86" s="53" t="s">
        <v>495</v>
      </c>
      <c r="W86" s="104" t="s">
        <v>300</v>
      </c>
      <c r="X86" s="71" t="s">
        <v>496</v>
      </c>
      <c r="Y86" s="45" t="s">
        <v>496</v>
      </c>
      <c r="Z86" s="45" t="s">
        <v>496</v>
      </c>
      <c r="AA86" s="45" t="s">
        <v>496</v>
      </c>
      <c r="AB86" s="71" t="s">
        <v>496</v>
      </c>
      <c r="AC86" s="71" t="s">
        <v>496</v>
      </c>
      <c r="AD86" s="104" t="s">
        <v>847</v>
      </c>
      <c r="AE86" s="53">
        <v>1</v>
      </c>
      <c r="AF86" s="45">
        <v>1</v>
      </c>
      <c r="AG86" s="48">
        <f t="shared" si="7"/>
        <v>1</v>
      </c>
      <c r="AH86" s="104" t="s">
        <v>946</v>
      </c>
      <c r="AI86" s="71" t="s">
        <v>511</v>
      </c>
      <c r="AJ86" s="71" t="s">
        <v>496</v>
      </c>
      <c r="AK86" s="45" t="s">
        <v>496</v>
      </c>
      <c r="AL86" s="45" t="s">
        <v>496</v>
      </c>
      <c r="AM86" s="45" t="s">
        <v>496</v>
      </c>
      <c r="AN86" s="71" t="s">
        <v>496</v>
      </c>
      <c r="AO86" s="170" t="s">
        <v>496</v>
      </c>
      <c r="AP86" s="104" t="s">
        <v>847</v>
      </c>
      <c r="AQ86" s="65">
        <v>1</v>
      </c>
      <c r="AR86" s="37">
        <v>1</v>
      </c>
      <c r="AS86" s="159">
        <f>(+Tabla4[[#This Row],[Programación  meta
IV trimestre ]]/AR86)</f>
        <v>1</v>
      </c>
      <c r="AT86" s="160" t="s">
        <v>947</v>
      </c>
      <c r="AU86" s="28" t="s">
        <v>502</v>
      </c>
      <c r="AV86" s="165" t="s">
        <v>485</v>
      </c>
      <c r="AW86" s="209">
        <f>+Tabla4[[#This Row],[Programación  meta
II trimestre ]]+Tabla4[[#This Row],[Programación  meta
IV trimestre ]]</f>
        <v>2</v>
      </c>
      <c r="AX86" s="205">
        <f>+Tabla4[[#This Row],[Avance cuantitativo
II trimestre]]+AR86</f>
        <v>2</v>
      </c>
      <c r="AY86" s="86">
        <f t="shared" si="8"/>
        <v>1</v>
      </c>
      <c r="AZ86" s="89" t="s">
        <v>503</v>
      </c>
    </row>
    <row r="87" spans="1:81" s="129" customFormat="1" x14ac:dyDescent="0.2">
      <c r="B87" s="142" t="s">
        <v>312</v>
      </c>
      <c r="C87" s="104" t="s">
        <v>33</v>
      </c>
      <c r="D87" s="104" t="s">
        <v>134</v>
      </c>
      <c r="E87" s="104" t="s">
        <v>20</v>
      </c>
      <c r="F87" s="104" t="s">
        <v>290</v>
      </c>
      <c r="G87" s="104" t="s">
        <v>146</v>
      </c>
      <c r="H87" s="104" t="s">
        <v>221</v>
      </c>
      <c r="I87" s="104" t="s">
        <v>25</v>
      </c>
      <c r="J87" s="104" t="s">
        <v>83</v>
      </c>
      <c r="K87" s="104" t="s">
        <v>264</v>
      </c>
      <c r="L87" s="104" t="s">
        <v>257</v>
      </c>
      <c r="M87" s="104" t="s">
        <v>233</v>
      </c>
      <c r="N87" s="45">
        <v>73</v>
      </c>
      <c r="O87" s="104" t="s">
        <v>948</v>
      </c>
      <c r="P87" s="53">
        <v>2</v>
      </c>
      <c r="Q87" s="45" t="e">
        <f t="shared" si="6"/>
        <v>#VALUE!</v>
      </c>
      <c r="R87" s="53" t="s">
        <v>45</v>
      </c>
      <c r="S87" s="104" t="s">
        <v>949</v>
      </c>
      <c r="T87" s="104" t="s">
        <v>852</v>
      </c>
      <c r="U87" s="215">
        <v>44562</v>
      </c>
      <c r="V87" s="53" t="s">
        <v>495</v>
      </c>
      <c r="W87" s="104" t="s">
        <v>300</v>
      </c>
      <c r="X87" s="71" t="s">
        <v>496</v>
      </c>
      <c r="Y87" s="45" t="s">
        <v>496</v>
      </c>
      <c r="Z87" s="45" t="s">
        <v>496</v>
      </c>
      <c r="AA87" s="45" t="s">
        <v>496</v>
      </c>
      <c r="AB87" s="71" t="s">
        <v>496</v>
      </c>
      <c r="AC87" s="71" t="s">
        <v>496</v>
      </c>
      <c r="AD87" s="104" t="s">
        <v>853</v>
      </c>
      <c r="AE87" s="53">
        <v>1</v>
      </c>
      <c r="AF87" s="45">
        <v>1</v>
      </c>
      <c r="AG87" s="48">
        <f t="shared" si="7"/>
        <v>1</v>
      </c>
      <c r="AH87" s="104" t="s">
        <v>950</v>
      </c>
      <c r="AI87" s="71" t="s">
        <v>511</v>
      </c>
      <c r="AJ87" s="71" t="s">
        <v>496</v>
      </c>
      <c r="AK87" s="45" t="s">
        <v>496</v>
      </c>
      <c r="AL87" s="45" t="s">
        <v>496</v>
      </c>
      <c r="AM87" s="45" t="s">
        <v>496</v>
      </c>
      <c r="AN87" s="71" t="s">
        <v>496</v>
      </c>
      <c r="AO87" s="170" t="s">
        <v>496</v>
      </c>
      <c r="AP87" s="104" t="s">
        <v>853</v>
      </c>
      <c r="AQ87" s="65">
        <v>1</v>
      </c>
      <c r="AR87" s="37">
        <v>1</v>
      </c>
      <c r="AS87" s="159">
        <f>(+Tabla4[[#This Row],[Programación  meta
IV trimestre ]]/AR87)</f>
        <v>1</v>
      </c>
      <c r="AT87" s="160" t="s">
        <v>951</v>
      </c>
      <c r="AU87" s="28" t="s">
        <v>502</v>
      </c>
      <c r="AV87" s="165" t="s">
        <v>485</v>
      </c>
      <c r="AW87" s="209">
        <f>+Tabla4[[#This Row],[Programación  meta
II trimestre ]]+Tabla4[[#This Row],[Programación  meta
IV trimestre ]]</f>
        <v>2</v>
      </c>
      <c r="AX87" s="205">
        <f>+Tabla4[[#This Row],[Avance cuantitativo
II trimestre]]+AR87</f>
        <v>2</v>
      </c>
      <c r="AY87" s="86">
        <f t="shared" si="8"/>
        <v>1</v>
      </c>
      <c r="AZ87" s="89" t="s">
        <v>503</v>
      </c>
    </row>
    <row r="88" spans="1:81" s="129" customFormat="1" x14ac:dyDescent="0.2">
      <c r="B88" s="142" t="s">
        <v>320</v>
      </c>
      <c r="C88" s="71" t="s">
        <v>48</v>
      </c>
      <c r="D88" s="104" t="s">
        <v>719</v>
      </c>
      <c r="E88" s="71" t="s">
        <v>547</v>
      </c>
      <c r="F88" s="104" t="s">
        <v>336</v>
      </c>
      <c r="G88" s="104" t="s">
        <v>93</v>
      </c>
      <c r="H88" s="104" t="s">
        <v>720</v>
      </c>
      <c r="I88" s="104" t="s">
        <v>40</v>
      </c>
      <c r="J88" s="104" t="s">
        <v>222</v>
      </c>
      <c r="K88" s="104" t="s">
        <v>403</v>
      </c>
      <c r="L88" s="104" t="s">
        <v>257</v>
      </c>
      <c r="M88" s="104" t="s">
        <v>225</v>
      </c>
      <c r="N88" s="45">
        <v>74</v>
      </c>
      <c r="O88" s="104" t="s">
        <v>952</v>
      </c>
      <c r="P88" s="53">
        <v>2</v>
      </c>
      <c r="Q88" s="45" t="e">
        <f t="shared" si="6"/>
        <v>#VALUE!</v>
      </c>
      <c r="R88" s="53" t="s">
        <v>45</v>
      </c>
      <c r="S88" s="104" t="s">
        <v>953</v>
      </c>
      <c r="T88" s="104" t="s">
        <v>723</v>
      </c>
      <c r="U88" s="215">
        <v>44562</v>
      </c>
      <c r="V88" s="53" t="s">
        <v>495</v>
      </c>
      <c r="W88" s="104" t="s">
        <v>335</v>
      </c>
      <c r="X88" s="71" t="s">
        <v>496</v>
      </c>
      <c r="Y88" s="45" t="s">
        <v>496</v>
      </c>
      <c r="Z88" s="45" t="s">
        <v>496</v>
      </c>
      <c r="AA88" s="45" t="s">
        <v>496</v>
      </c>
      <c r="AB88" s="71" t="s">
        <v>496</v>
      </c>
      <c r="AC88" s="71" t="s">
        <v>496</v>
      </c>
      <c r="AD88" s="104" t="s">
        <v>847</v>
      </c>
      <c r="AE88" s="53">
        <v>1</v>
      </c>
      <c r="AF88" s="45">
        <v>1</v>
      </c>
      <c r="AG88" s="48">
        <f t="shared" si="7"/>
        <v>1</v>
      </c>
      <c r="AH88" s="104" t="s">
        <v>954</v>
      </c>
      <c r="AI88" s="71" t="s">
        <v>511</v>
      </c>
      <c r="AJ88" s="71" t="s">
        <v>496</v>
      </c>
      <c r="AK88" s="45" t="s">
        <v>496</v>
      </c>
      <c r="AL88" s="45" t="s">
        <v>496</v>
      </c>
      <c r="AM88" s="45" t="s">
        <v>496</v>
      </c>
      <c r="AN88" s="71" t="s">
        <v>496</v>
      </c>
      <c r="AO88" s="170" t="s">
        <v>496</v>
      </c>
      <c r="AP88" s="104" t="s">
        <v>847</v>
      </c>
      <c r="AQ88" s="65">
        <v>1</v>
      </c>
      <c r="AR88" s="37">
        <v>1</v>
      </c>
      <c r="AS88" s="159">
        <f>(+Tabla4[[#This Row],[Programación  meta
IV trimestre ]]/AR88)</f>
        <v>1</v>
      </c>
      <c r="AT88" s="160" t="s">
        <v>955</v>
      </c>
      <c r="AU88" s="28" t="s">
        <v>502</v>
      </c>
      <c r="AV88" s="165" t="s">
        <v>485</v>
      </c>
      <c r="AW88" s="209">
        <f>+Tabla4[[#This Row],[Programación  meta
II trimestre ]]+Tabla4[[#This Row],[Programación  meta
IV trimestre ]]</f>
        <v>2</v>
      </c>
      <c r="AX88" s="205">
        <f>+Tabla4[[#This Row],[Avance cuantitativo
II trimestre]]+AR88</f>
        <v>2</v>
      </c>
      <c r="AY88" s="86">
        <f t="shared" si="8"/>
        <v>1</v>
      </c>
      <c r="AZ88" s="89" t="s">
        <v>503</v>
      </c>
    </row>
    <row r="89" spans="1:81" s="129" customFormat="1" x14ac:dyDescent="0.2">
      <c r="B89" s="142" t="s">
        <v>312</v>
      </c>
      <c r="C89" s="104" t="s">
        <v>33</v>
      </c>
      <c r="D89" s="104" t="s">
        <v>134</v>
      </c>
      <c r="E89" s="104" t="s">
        <v>20</v>
      </c>
      <c r="F89" s="104" t="s">
        <v>290</v>
      </c>
      <c r="G89" s="104" t="s">
        <v>146</v>
      </c>
      <c r="H89" s="104" t="s">
        <v>221</v>
      </c>
      <c r="I89" s="104" t="s">
        <v>25</v>
      </c>
      <c r="J89" s="104" t="s">
        <v>83</v>
      </c>
      <c r="K89" s="104" t="s">
        <v>264</v>
      </c>
      <c r="L89" s="104" t="s">
        <v>257</v>
      </c>
      <c r="M89" s="104" t="s">
        <v>233</v>
      </c>
      <c r="N89" s="45">
        <v>75</v>
      </c>
      <c r="O89" s="104" t="s">
        <v>956</v>
      </c>
      <c r="P89" s="53">
        <v>2</v>
      </c>
      <c r="Q89" s="45" t="e">
        <f t="shared" si="6"/>
        <v>#VALUE!</v>
      </c>
      <c r="R89" s="53" t="s">
        <v>45</v>
      </c>
      <c r="S89" s="104" t="s">
        <v>957</v>
      </c>
      <c r="T89" s="104" t="s">
        <v>852</v>
      </c>
      <c r="U89" s="215">
        <v>44562</v>
      </c>
      <c r="V89" s="53" t="s">
        <v>495</v>
      </c>
      <c r="W89" s="104" t="s">
        <v>335</v>
      </c>
      <c r="X89" s="71" t="s">
        <v>496</v>
      </c>
      <c r="Y89" s="45" t="s">
        <v>496</v>
      </c>
      <c r="Z89" s="45" t="s">
        <v>496</v>
      </c>
      <c r="AA89" s="45" t="s">
        <v>496</v>
      </c>
      <c r="AB89" s="71" t="s">
        <v>496</v>
      </c>
      <c r="AC89" s="71" t="s">
        <v>496</v>
      </c>
      <c r="AD89" s="104" t="s">
        <v>853</v>
      </c>
      <c r="AE89" s="53">
        <v>1</v>
      </c>
      <c r="AF89" s="45">
        <v>1</v>
      </c>
      <c r="AG89" s="48">
        <f t="shared" si="7"/>
        <v>1</v>
      </c>
      <c r="AH89" s="104" t="s">
        <v>958</v>
      </c>
      <c r="AI89" s="71" t="s">
        <v>511</v>
      </c>
      <c r="AJ89" s="71" t="s">
        <v>496</v>
      </c>
      <c r="AK89" s="45" t="s">
        <v>496</v>
      </c>
      <c r="AL89" s="45" t="s">
        <v>496</v>
      </c>
      <c r="AM89" s="45" t="s">
        <v>496</v>
      </c>
      <c r="AN89" s="71" t="s">
        <v>496</v>
      </c>
      <c r="AO89" s="170" t="s">
        <v>496</v>
      </c>
      <c r="AP89" s="104" t="s">
        <v>853</v>
      </c>
      <c r="AQ89" s="65">
        <v>1</v>
      </c>
      <c r="AR89" s="37">
        <v>1</v>
      </c>
      <c r="AS89" s="159">
        <f>(+Tabla4[[#This Row],[Programación  meta
IV trimestre ]]/AR89)</f>
        <v>1</v>
      </c>
      <c r="AT89" s="160" t="s">
        <v>959</v>
      </c>
      <c r="AU89" s="28" t="s">
        <v>502</v>
      </c>
      <c r="AV89" s="165" t="s">
        <v>485</v>
      </c>
      <c r="AW89" s="209">
        <f>+Tabla4[[#This Row],[Programación  meta
II trimestre ]]+Tabla4[[#This Row],[Programación  meta
IV trimestre ]]</f>
        <v>2</v>
      </c>
      <c r="AX89" s="205">
        <f>+Tabla4[[#This Row],[Avance cuantitativo
II trimestre]]+AR89</f>
        <v>2</v>
      </c>
      <c r="AY89" s="86">
        <f t="shared" si="8"/>
        <v>1</v>
      </c>
      <c r="AZ89" s="89" t="s">
        <v>503</v>
      </c>
    </row>
    <row r="90" spans="1:81" s="141" customFormat="1" x14ac:dyDescent="0.2">
      <c r="A90" s="129"/>
      <c r="B90" s="142" t="s">
        <v>320</v>
      </c>
      <c r="C90" s="71" t="s">
        <v>48</v>
      </c>
      <c r="D90" s="104" t="s">
        <v>719</v>
      </c>
      <c r="E90" s="71" t="s">
        <v>547</v>
      </c>
      <c r="F90" s="104" t="s">
        <v>336</v>
      </c>
      <c r="G90" s="104" t="s">
        <v>93</v>
      </c>
      <c r="H90" s="104" t="s">
        <v>720</v>
      </c>
      <c r="I90" s="104" t="s">
        <v>40</v>
      </c>
      <c r="J90" s="104" t="s">
        <v>222</v>
      </c>
      <c r="K90" s="104" t="s">
        <v>403</v>
      </c>
      <c r="L90" s="104" t="s">
        <v>257</v>
      </c>
      <c r="M90" s="104" t="s">
        <v>225</v>
      </c>
      <c r="N90" s="45">
        <v>76</v>
      </c>
      <c r="O90" s="104" t="s">
        <v>960</v>
      </c>
      <c r="P90" s="53">
        <v>2</v>
      </c>
      <c r="Q90" s="45" t="e">
        <f t="shared" si="6"/>
        <v>#VALUE!</v>
      </c>
      <c r="R90" s="53" t="s">
        <v>45</v>
      </c>
      <c r="S90" s="104" t="s">
        <v>961</v>
      </c>
      <c r="T90" s="104" t="s">
        <v>723</v>
      </c>
      <c r="U90" s="215">
        <v>44562</v>
      </c>
      <c r="V90" s="53" t="s">
        <v>495</v>
      </c>
      <c r="W90" s="104" t="s">
        <v>304</v>
      </c>
      <c r="X90" s="71" t="s">
        <v>496</v>
      </c>
      <c r="Y90" s="45" t="s">
        <v>496</v>
      </c>
      <c r="Z90" s="45" t="s">
        <v>496</v>
      </c>
      <c r="AA90" s="45" t="s">
        <v>496</v>
      </c>
      <c r="AB90" s="71" t="s">
        <v>496</v>
      </c>
      <c r="AC90" s="71" t="s">
        <v>496</v>
      </c>
      <c r="AD90" s="104" t="s">
        <v>847</v>
      </c>
      <c r="AE90" s="53">
        <v>1</v>
      </c>
      <c r="AF90" s="45">
        <v>1</v>
      </c>
      <c r="AG90" s="48">
        <f t="shared" si="7"/>
        <v>1</v>
      </c>
      <c r="AH90" s="104" t="s">
        <v>962</v>
      </c>
      <c r="AI90" s="71" t="s">
        <v>511</v>
      </c>
      <c r="AJ90" s="71" t="s">
        <v>496</v>
      </c>
      <c r="AK90" s="45" t="s">
        <v>496</v>
      </c>
      <c r="AL90" s="45" t="s">
        <v>496</v>
      </c>
      <c r="AM90" s="45" t="s">
        <v>496</v>
      </c>
      <c r="AN90" s="71" t="s">
        <v>496</v>
      </c>
      <c r="AO90" s="170" t="s">
        <v>496</v>
      </c>
      <c r="AP90" s="104" t="s">
        <v>847</v>
      </c>
      <c r="AQ90" s="65">
        <v>1</v>
      </c>
      <c r="AR90" s="37">
        <v>1</v>
      </c>
      <c r="AS90" s="159">
        <f>(+Tabla4[[#This Row],[Programación  meta
IV trimestre ]]/AR90)</f>
        <v>1</v>
      </c>
      <c r="AT90" s="160" t="s">
        <v>963</v>
      </c>
      <c r="AU90" s="28" t="s">
        <v>502</v>
      </c>
      <c r="AV90" s="165" t="s">
        <v>485</v>
      </c>
      <c r="AW90" s="209">
        <f>+Tabla4[[#This Row],[Programación  meta
II trimestre ]]+Tabla4[[#This Row],[Programación  meta
IV trimestre ]]</f>
        <v>2</v>
      </c>
      <c r="AX90" s="205">
        <f>+Tabla4[[#This Row],[Avance cuantitativo
II trimestre]]+AR90</f>
        <v>2</v>
      </c>
      <c r="AY90" s="86">
        <f t="shared" si="8"/>
        <v>1</v>
      </c>
      <c r="AZ90" s="89" t="s">
        <v>503</v>
      </c>
      <c r="BA90" s="129"/>
      <c r="BB90" s="129"/>
      <c r="BC90" s="129"/>
      <c r="BD90" s="129"/>
      <c r="BE90" s="129"/>
      <c r="BF90" s="129"/>
      <c r="BG90" s="129"/>
      <c r="BH90" s="129"/>
      <c r="BI90" s="129"/>
      <c r="BJ90" s="129"/>
      <c r="BK90" s="129"/>
      <c r="BL90" s="129"/>
      <c r="BM90" s="129"/>
      <c r="BN90" s="129"/>
      <c r="BO90" s="129"/>
      <c r="BP90" s="129"/>
      <c r="BQ90" s="129"/>
      <c r="BR90" s="129"/>
      <c r="BS90" s="129"/>
      <c r="BT90" s="129"/>
      <c r="BU90" s="129"/>
      <c r="BV90" s="129"/>
      <c r="BW90" s="129"/>
      <c r="BX90" s="129"/>
      <c r="BY90" s="129"/>
      <c r="BZ90" s="129"/>
      <c r="CA90" s="129"/>
      <c r="CB90" s="129"/>
      <c r="CC90" s="129"/>
    </row>
    <row r="91" spans="1:81" s="141" customFormat="1" x14ac:dyDescent="0.2">
      <c r="A91" s="129"/>
      <c r="B91" s="142" t="s">
        <v>312</v>
      </c>
      <c r="C91" s="104" t="s">
        <v>33</v>
      </c>
      <c r="D91" s="104" t="s">
        <v>134</v>
      </c>
      <c r="E91" s="104" t="s">
        <v>20</v>
      </c>
      <c r="F91" s="104" t="s">
        <v>290</v>
      </c>
      <c r="G91" s="104" t="s">
        <v>146</v>
      </c>
      <c r="H91" s="104" t="s">
        <v>221</v>
      </c>
      <c r="I91" s="104" t="s">
        <v>25</v>
      </c>
      <c r="J91" s="104" t="s">
        <v>83</v>
      </c>
      <c r="K91" s="104" t="s">
        <v>264</v>
      </c>
      <c r="L91" s="104" t="s">
        <v>257</v>
      </c>
      <c r="M91" s="104" t="s">
        <v>233</v>
      </c>
      <c r="N91" s="45">
        <v>77</v>
      </c>
      <c r="O91" s="104" t="s">
        <v>964</v>
      </c>
      <c r="P91" s="53">
        <v>2</v>
      </c>
      <c r="Q91" s="45" t="e">
        <f t="shared" si="6"/>
        <v>#VALUE!</v>
      </c>
      <c r="R91" s="53" t="s">
        <v>45</v>
      </c>
      <c r="S91" s="104" t="s">
        <v>965</v>
      </c>
      <c r="T91" s="104" t="s">
        <v>852</v>
      </c>
      <c r="U91" s="215">
        <v>44562</v>
      </c>
      <c r="V91" s="53" t="s">
        <v>495</v>
      </c>
      <c r="W91" s="104" t="s">
        <v>304</v>
      </c>
      <c r="X91" s="71" t="s">
        <v>496</v>
      </c>
      <c r="Y91" s="45" t="s">
        <v>496</v>
      </c>
      <c r="Z91" s="45" t="s">
        <v>496</v>
      </c>
      <c r="AA91" s="45" t="s">
        <v>496</v>
      </c>
      <c r="AB91" s="71" t="s">
        <v>496</v>
      </c>
      <c r="AC91" s="71" t="s">
        <v>496</v>
      </c>
      <c r="AD91" s="104" t="s">
        <v>853</v>
      </c>
      <c r="AE91" s="53">
        <v>1</v>
      </c>
      <c r="AF91" s="45">
        <v>1</v>
      </c>
      <c r="AG91" s="48">
        <f t="shared" si="7"/>
        <v>1</v>
      </c>
      <c r="AH91" s="104" t="s">
        <v>966</v>
      </c>
      <c r="AI91" s="71" t="s">
        <v>511</v>
      </c>
      <c r="AJ91" s="71" t="s">
        <v>496</v>
      </c>
      <c r="AK91" s="45" t="s">
        <v>496</v>
      </c>
      <c r="AL91" s="45" t="s">
        <v>496</v>
      </c>
      <c r="AM91" s="45" t="s">
        <v>496</v>
      </c>
      <c r="AN91" s="71" t="s">
        <v>496</v>
      </c>
      <c r="AO91" s="170" t="s">
        <v>496</v>
      </c>
      <c r="AP91" s="104" t="s">
        <v>853</v>
      </c>
      <c r="AQ91" s="65">
        <v>1</v>
      </c>
      <c r="AR91" s="37">
        <v>1</v>
      </c>
      <c r="AS91" s="159">
        <f>(+Tabla4[[#This Row],[Programación  meta
IV trimestre ]]/AR91)</f>
        <v>1</v>
      </c>
      <c r="AT91" s="160" t="s">
        <v>967</v>
      </c>
      <c r="AU91" s="28" t="s">
        <v>502</v>
      </c>
      <c r="AV91" s="165" t="s">
        <v>485</v>
      </c>
      <c r="AW91" s="209">
        <f>+Tabla4[[#This Row],[Programación  meta
II trimestre ]]+Tabla4[[#This Row],[Programación  meta
IV trimestre ]]</f>
        <v>2</v>
      </c>
      <c r="AX91" s="205">
        <f>+Tabla4[[#This Row],[Avance cuantitativo
II trimestre]]+AR91</f>
        <v>2</v>
      </c>
      <c r="AY91" s="86">
        <f t="shared" si="8"/>
        <v>1</v>
      </c>
      <c r="AZ91" s="89" t="s">
        <v>503</v>
      </c>
      <c r="BA91" s="129"/>
      <c r="BB91" s="129"/>
      <c r="BC91" s="129"/>
      <c r="BD91" s="129"/>
      <c r="BE91" s="129"/>
      <c r="BF91" s="129"/>
      <c r="BG91" s="129"/>
      <c r="BH91" s="129"/>
      <c r="BI91" s="129"/>
      <c r="BJ91" s="129"/>
      <c r="BK91" s="129"/>
      <c r="BL91" s="129"/>
      <c r="BM91" s="129"/>
      <c r="BN91" s="129"/>
      <c r="BO91" s="129"/>
      <c r="BP91" s="129"/>
      <c r="BQ91" s="129"/>
      <c r="BR91" s="129"/>
      <c r="BS91" s="129"/>
      <c r="BT91" s="129"/>
      <c r="BU91" s="129"/>
      <c r="BV91" s="129"/>
      <c r="BW91" s="129"/>
      <c r="BX91" s="129"/>
      <c r="BY91" s="129"/>
      <c r="BZ91" s="129"/>
      <c r="CA91" s="129"/>
      <c r="CB91" s="129"/>
      <c r="CC91" s="129"/>
    </row>
    <row r="92" spans="1:81" s="141" customFormat="1" x14ac:dyDescent="0.2">
      <c r="A92" s="129"/>
      <c r="B92" s="142" t="s">
        <v>320</v>
      </c>
      <c r="C92" s="71" t="s">
        <v>48</v>
      </c>
      <c r="D92" s="104" t="s">
        <v>719</v>
      </c>
      <c r="E92" s="71" t="s">
        <v>547</v>
      </c>
      <c r="F92" s="104" t="s">
        <v>336</v>
      </c>
      <c r="G92" s="104" t="s">
        <v>93</v>
      </c>
      <c r="H92" s="104" t="s">
        <v>720</v>
      </c>
      <c r="I92" s="104" t="s">
        <v>40</v>
      </c>
      <c r="J92" s="104" t="s">
        <v>222</v>
      </c>
      <c r="K92" s="104" t="s">
        <v>403</v>
      </c>
      <c r="L92" s="104" t="s">
        <v>257</v>
      </c>
      <c r="M92" s="104" t="s">
        <v>225</v>
      </c>
      <c r="N92" s="45">
        <v>78</v>
      </c>
      <c r="O92" s="104" t="s">
        <v>968</v>
      </c>
      <c r="P92" s="53">
        <v>2</v>
      </c>
      <c r="Q92" s="45" t="e">
        <f t="shared" si="6"/>
        <v>#VALUE!</v>
      </c>
      <c r="R92" s="53" t="s">
        <v>45</v>
      </c>
      <c r="S92" s="104" t="s">
        <v>969</v>
      </c>
      <c r="T92" s="104" t="s">
        <v>723</v>
      </c>
      <c r="U92" s="215">
        <v>44562</v>
      </c>
      <c r="V92" s="53" t="s">
        <v>495</v>
      </c>
      <c r="W92" s="104" t="s">
        <v>311</v>
      </c>
      <c r="X92" s="71" t="s">
        <v>496</v>
      </c>
      <c r="Y92" s="45" t="s">
        <v>496</v>
      </c>
      <c r="Z92" s="45" t="s">
        <v>496</v>
      </c>
      <c r="AA92" s="45" t="s">
        <v>496</v>
      </c>
      <c r="AB92" s="71" t="s">
        <v>496</v>
      </c>
      <c r="AC92" s="71" t="s">
        <v>496</v>
      </c>
      <c r="AD92" s="104" t="s">
        <v>847</v>
      </c>
      <c r="AE92" s="53">
        <v>1</v>
      </c>
      <c r="AF92" s="45">
        <v>1</v>
      </c>
      <c r="AG92" s="48">
        <f t="shared" si="7"/>
        <v>1</v>
      </c>
      <c r="AH92" s="104" t="s">
        <v>970</v>
      </c>
      <c r="AI92" s="71" t="s">
        <v>511</v>
      </c>
      <c r="AJ92" s="71" t="s">
        <v>496</v>
      </c>
      <c r="AK92" s="45" t="s">
        <v>496</v>
      </c>
      <c r="AL92" s="45" t="s">
        <v>496</v>
      </c>
      <c r="AM92" s="45" t="s">
        <v>496</v>
      </c>
      <c r="AN92" s="71" t="s">
        <v>496</v>
      </c>
      <c r="AO92" s="170" t="s">
        <v>496</v>
      </c>
      <c r="AP92" s="104" t="s">
        <v>847</v>
      </c>
      <c r="AQ92" s="65">
        <v>1</v>
      </c>
      <c r="AR92" s="37">
        <v>1</v>
      </c>
      <c r="AS92" s="159">
        <f>(+Tabla4[[#This Row],[Programación  meta
IV trimestre ]]/AR92)</f>
        <v>1</v>
      </c>
      <c r="AT92" s="160" t="s">
        <v>971</v>
      </c>
      <c r="AU92" s="28" t="s">
        <v>502</v>
      </c>
      <c r="AV92" s="165" t="s">
        <v>485</v>
      </c>
      <c r="AW92" s="209">
        <f>+Tabla4[[#This Row],[Programación  meta
II trimestre ]]+Tabla4[[#This Row],[Programación  meta
IV trimestre ]]</f>
        <v>2</v>
      </c>
      <c r="AX92" s="205">
        <f>+Tabla4[[#This Row],[Avance cuantitativo
II trimestre]]+AR92</f>
        <v>2</v>
      </c>
      <c r="AY92" s="86">
        <f t="shared" si="8"/>
        <v>1</v>
      </c>
      <c r="AZ92" s="89" t="s">
        <v>503</v>
      </c>
      <c r="BA92" s="129"/>
      <c r="BB92" s="129"/>
      <c r="BC92" s="129"/>
      <c r="BD92" s="129"/>
      <c r="BE92" s="129"/>
      <c r="BF92" s="129"/>
      <c r="BG92" s="129"/>
      <c r="BH92" s="129"/>
      <c r="BI92" s="129"/>
      <c r="BJ92" s="129"/>
      <c r="BK92" s="129"/>
      <c r="BL92" s="129"/>
      <c r="BM92" s="129"/>
      <c r="BN92" s="129"/>
      <c r="BO92" s="129"/>
      <c r="BP92" s="129"/>
      <c r="BQ92" s="129"/>
      <c r="BR92" s="129"/>
      <c r="BS92" s="129"/>
      <c r="BT92" s="129"/>
      <c r="BU92" s="129"/>
      <c r="BV92" s="129"/>
      <c r="BW92" s="129"/>
      <c r="BX92" s="129"/>
      <c r="BY92" s="129"/>
      <c r="BZ92" s="129"/>
      <c r="CA92" s="129"/>
      <c r="CB92" s="129"/>
      <c r="CC92" s="129"/>
    </row>
    <row r="93" spans="1:81" s="141" customFormat="1" x14ac:dyDescent="0.2">
      <c r="A93" s="129"/>
      <c r="B93" s="142" t="s">
        <v>312</v>
      </c>
      <c r="C93" s="104" t="s">
        <v>33</v>
      </c>
      <c r="D93" s="104" t="s">
        <v>134</v>
      </c>
      <c r="E93" s="104" t="s">
        <v>20</v>
      </c>
      <c r="F93" s="104" t="s">
        <v>290</v>
      </c>
      <c r="G93" s="104" t="s">
        <v>146</v>
      </c>
      <c r="H93" s="104" t="s">
        <v>221</v>
      </c>
      <c r="I93" s="104" t="s">
        <v>25</v>
      </c>
      <c r="J93" s="104" t="s">
        <v>83</v>
      </c>
      <c r="K93" s="104" t="s">
        <v>264</v>
      </c>
      <c r="L93" s="104" t="s">
        <v>257</v>
      </c>
      <c r="M93" s="104" t="s">
        <v>233</v>
      </c>
      <c r="N93" s="45">
        <v>79</v>
      </c>
      <c r="O93" s="104" t="s">
        <v>972</v>
      </c>
      <c r="P93" s="53">
        <v>2</v>
      </c>
      <c r="Q93" s="45" t="e">
        <f t="shared" si="6"/>
        <v>#VALUE!</v>
      </c>
      <c r="R93" s="53" t="s">
        <v>45</v>
      </c>
      <c r="S93" s="104" t="s">
        <v>973</v>
      </c>
      <c r="T93" s="104" t="s">
        <v>852</v>
      </c>
      <c r="U93" s="215">
        <v>44562</v>
      </c>
      <c r="V93" s="53" t="s">
        <v>495</v>
      </c>
      <c r="W93" s="104" t="s">
        <v>311</v>
      </c>
      <c r="X93" s="71" t="s">
        <v>496</v>
      </c>
      <c r="Y93" s="45" t="s">
        <v>496</v>
      </c>
      <c r="Z93" s="45" t="s">
        <v>496</v>
      </c>
      <c r="AA93" s="45" t="s">
        <v>496</v>
      </c>
      <c r="AB93" s="71" t="s">
        <v>496</v>
      </c>
      <c r="AC93" s="71" t="s">
        <v>496</v>
      </c>
      <c r="AD93" s="104" t="s">
        <v>853</v>
      </c>
      <c r="AE93" s="53">
        <v>1</v>
      </c>
      <c r="AF93" s="45">
        <v>1</v>
      </c>
      <c r="AG93" s="48">
        <f t="shared" si="7"/>
        <v>1</v>
      </c>
      <c r="AH93" s="104" t="s">
        <v>974</v>
      </c>
      <c r="AI93" s="71" t="s">
        <v>511</v>
      </c>
      <c r="AJ93" s="71" t="s">
        <v>496</v>
      </c>
      <c r="AK93" s="45" t="s">
        <v>496</v>
      </c>
      <c r="AL93" s="45" t="s">
        <v>496</v>
      </c>
      <c r="AM93" s="45" t="s">
        <v>496</v>
      </c>
      <c r="AN93" s="71" t="s">
        <v>496</v>
      </c>
      <c r="AO93" s="170" t="s">
        <v>496</v>
      </c>
      <c r="AP93" s="104" t="s">
        <v>853</v>
      </c>
      <c r="AQ93" s="65">
        <v>1</v>
      </c>
      <c r="AR93" s="37">
        <v>1</v>
      </c>
      <c r="AS93" s="159">
        <f>(+Tabla4[[#This Row],[Programación  meta
IV trimestre ]]/AR93)</f>
        <v>1</v>
      </c>
      <c r="AT93" s="160" t="s">
        <v>975</v>
      </c>
      <c r="AU93" s="28" t="s">
        <v>502</v>
      </c>
      <c r="AV93" s="165" t="s">
        <v>485</v>
      </c>
      <c r="AW93" s="209">
        <f>+Tabla4[[#This Row],[Programación  meta
II trimestre ]]+Tabla4[[#This Row],[Programación  meta
IV trimestre ]]</f>
        <v>2</v>
      </c>
      <c r="AX93" s="205">
        <f>+Tabla4[[#This Row],[Avance cuantitativo
II trimestre]]+AR93</f>
        <v>2</v>
      </c>
      <c r="AY93" s="86">
        <f t="shared" si="8"/>
        <v>1</v>
      </c>
      <c r="AZ93" s="89" t="s">
        <v>503</v>
      </c>
      <c r="BA93" s="129"/>
      <c r="BB93" s="129"/>
      <c r="BC93" s="129"/>
      <c r="BD93" s="129"/>
      <c r="BE93" s="129"/>
      <c r="BF93" s="129"/>
      <c r="BG93" s="129"/>
      <c r="BH93" s="129"/>
      <c r="BI93" s="129"/>
      <c r="BJ93" s="129"/>
      <c r="BK93" s="129"/>
      <c r="BL93" s="129"/>
      <c r="BM93" s="129"/>
      <c r="BN93" s="129"/>
      <c r="BO93" s="129"/>
      <c r="BP93" s="129"/>
      <c r="BQ93" s="129"/>
      <c r="BR93" s="129"/>
      <c r="BS93" s="129"/>
      <c r="BT93" s="129"/>
      <c r="BU93" s="129"/>
      <c r="BV93" s="129"/>
      <c r="BW93" s="129"/>
      <c r="BX93" s="129"/>
      <c r="BY93" s="129"/>
      <c r="BZ93" s="129"/>
      <c r="CA93" s="129"/>
      <c r="CB93" s="129"/>
      <c r="CC93" s="129"/>
    </row>
    <row r="94" spans="1:81" s="141" customFormat="1" x14ac:dyDescent="0.2">
      <c r="A94" s="180"/>
      <c r="B94" s="142" t="s">
        <v>305</v>
      </c>
      <c r="C94" s="170" t="s">
        <v>48</v>
      </c>
      <c r="D94" s="104" t="s">
        <v>595</v>
      </c>
      <c r="E94" s="170" t="s">
        <v>547</v>
      </c>
      <c r="F94" s="104" t="s">
        <v>604</v>
      </c>
      <c r="G94" s="104" t="s">
        <v>167</v>
      </c>
      <c r="H94" s="104" t="s">
        <v>167</v>
      </c>
      <c r="I94" s="104" t="s">
        <v>25</v>
      </c>
      <c r="J94" s="104" t="s">
        <v>138</v>
      </c>
      <c r="K94" s="104" t="s">
        <v>363</v>
      </c>
      <c r="L94" s="104" t="s">
        <v>206</v>
      </c>
      <c r="M94" s="104" t="s">
        <v>225</v>
      </c>
      <c r="N94" s="47">
        <v>80</v>
      </c>
      <c r="O94" s="104" t="s">
        <v>976</v>
      </c>
      <c r="P94" s="53">
        <v>2</v>
      </c>
      <c r="Q94" s="47" t="e">
        <f t="shared" si="6"/>
        <v>#VALUE!</v>
      </c>
      <c r="R94" s="53" t="s">
        <v>45</v>
      </c>
      <c r="S94" s="104" t="s">
        <v>977</v>
      </c>
      <c r="T94" s="104" t="s">
        <v>978</v>
      </c>
      <c r="U94" s="215">
        <v>44593</v>
      </c>
      <c r="V94" s="215">
        <v>44926</v>
      </c>
      <c r="W94" s="104" t="s">
        <v>132</v>
      </c>
      <c r="X94" s="104" t="s">
        <v>496</v>
      </c>
      <c r="Y94" s="53">
        <v>0</v>
      </c>
      <c r="Z94" s="45">
        <v>1</v>
      </c>
      <c r="AA94" s="53"/>
      <c r="AB94" s="71" t="s">
        <v>979</v>
      </c>
      <c r="AC94" s="71" t="s">
        <v>496</v>
      </c>
      <c r="AD94" s="104" t="s">
        <v>980</v>
      </c>
      <c r="AE94" s="53">
        <v>1</v>
      </c>
      <c r="AF94" s="47">
        <v>1</v>
      </c>
      <c r="AG94" s="49">
        <f t="shared" si="7"/>
        <v>1</v>
      </c>
      <c r="AH94" s="71" t="s">
        <v>981</v>
      </c>
      <c r="AI94" s="104" t="s">
        <v>982</v>
      </c>
      <c r="AJ94" s="170" t="s">
        <v>496</v>
      </c>
      <c r="AK94" s="244" t="s">
        <v>496</v>
      </c>
      <c r="AL94" s="244" t="s">
        <v>496</v>
      </c>
      <c r="AM94" s="244" t="s">
        <v>496</v>
      </c>
      <c r="AN94" s="71" t="s">
        <v>983</v>
      </c>
      <c r="AO94" s="181" t="s">
        <v>496</v>
      </c>
      <c r="AP94" s="104" t="s">
        <v>984</v>
      </c>
      <c r="AQ94" s="65">
        <v>1</v>
      </c>
      <c r="AR94" s="37">
        <v>1</v>
      </c>
      <c r="AS94" s="159">
        <f>(+Tabla4[[#This Row],[Programación  meta
IV trimestre ]]/AR94)</f>
        <v>1</v>
      </c>
      <c r="AT94" s="119" t="s">
        <v>985</v>
      </c>
      <c r="AU94" s="28" t="s">
        <v>986</v>
      </c>
      <c r="AV94" s="165" t="s">
        <v>485</v>
      </c>
      <c r="AW94" s="209">
        <f>+Tabla4[[#This Row],[Programación  meta
II trimestre ]]+Tabla4[[#This Row],[Programación  meta
IV trimestre ]]</f>
        <v>2</v>
      </c>
      <c r="AX94" s="205">
        <f>+Tabla4[[#This Row],[Avance cuantitativo
II trimestre]]+AR94</f>
        <v>2</v>
      </c>
      <c r="AY94" s="86">
        <f t="shared" si="8"/>
        <v>1</v>
      </c>
      <c r="AZ94" s="89" t="s">
        <v>503</v>
      </c>
      <c r="BA94" s="180"/>
      <c r="BB94" s="180"/>
      <c r="BC94" s="180"/>
      <c r="BD94" s="180"/>
      <c r="BE94" s="180"/>
      <c r="BF94" s="180"/>
      <c r="BG94" s="180"/>
      <c r="BH94" s="180"/>
      <c r="BI94" s="180"/>
      <c r="BJ94" s="180"/>
      <c r="BK94" s="180"/>
      <c r="BL94" s="180"/>
      <c r="BM94" s="180"/>
      <c r="BN94" s="180"/>
      <c r="BO94" s="180"/>
      <c r="BP94" s="180"/>
      <c r="BQ94" s="180"/>
      <c r="BR94" s="180"/>
      <c r="BS94" s="180"/>
      <c r="BT94" s="180"/>
      <c r="BU94" s="180"/>
      <c r="BV94" s="180"/>
      <c r="BW94" s="180"/>
      <c r="BX94" s="180"/>
      <c r="BY94" s="180"/>
      <c r="BZ94" s="180"/>
      <c r="CA94" s="180"/>
      <c r="CB94" s="180"/>
      <c r="CC94" s="180"/>
    </row>
    <row r="95" spans="1:81" s="141" customFormat="1" x14ac:dyDescent="0.2">
      <c r="A95" s="180"/>
      <c r="B95" s="142" t="s">
        <v>305</v>
      </c>
      <c r="C95" s="170" t="s">
        <v>48</v>
      </c>
      <c r="D95" s="104" t="s">
        <v>595</v>
      </c>
      <c r="E95" s="170" t="s">
        <v>547</v>
      </c>
      <c r="F95" s="104" t="s">
        <v>604</v>
      </c>
      <c r="G95" s="104" t="s">
        <v>167</v>
      </c>
      <c r="H95" s="104" t="s">
        <v>167</v>
      </c>
      <c r="I95" s="104" t="s">
        <v>25</v>
      </c>
      <c r="J95" s="104" t="s">
        <v>987</v>
      </c>
      <c r="K95" s="104" t="s">
        <v>357</v>
      </c>
      <c r="L95" s="104" t="s">
        <v>232</v>
      </c>
      <c r="M95" s="104" t="s">
        <v>225</v>
      </c>
      <c r="N95" s="47">
        <v>81</v>
      </c>
      <c r="O95" s="104" t="s">
        <v>988</v>
      </c>
      <c r="P95" s="53">
        <v>2</v>
      </c>
      <c r="Q95" s="47" t="e">
        <f t="shared" si="6"/>
        <v>#VALUE!</v>
      </c>
      <c r="R95" s="53" t="s">
        <v>45</v>
      </c>
      <c r="S95" s="104" t="s">
        <v>989</v>
      </c>
      <c r="T95" s="104" t="s">
        <v>990</v>
      </c>
      <c r="U95" s="215">
        <v>44593</v>
      </c>
      <c r="V95" s="215">
        <v>44926</v>
      </c>
      <c r="W95" s="104" t="s">
        <v>132</v>
      </c>
      <c r="X95" s="104" t="s">
        <v>496</v>
      </c>
      <c r="Y95" s="53">
        <v>0</v>
      </c>
      <c r="Z95" s="45">
        <v>1</v>
      </c>
      <c r="AA95" s="53"/>
      <c r="AB95" s="71" t="s">
        <v>979</v>
      </c>
      <c r="AC95" s="71" t="s">
        <v>496</v>
      </c>
      <c r="AD95" s="104" t="s">
        <v>990</v>
      </c>
      <c r="AE95" s="53">
        <v>1</v>
      </c>
      <c r="AF95" s="47">
        <v>1</v>
      </c>
      <c r="AG95" s="49">
        <f t="shared" si="7"/>
        <v>1</v>
      </c>
      <c r="AH95" s="71" t="s">
        <v>991</v>
      </c>
      <c r="AI95" s="104" t="s">
        <v>982</v>
      </c>
      <c r="AJ95" s="170" t="s">
        <v>496</v>
      </c>
      <c r="AK95" s="244" t="s">
        <v>496</v>
      </c>
      <c r="AL95" s="244" t="s">
        <v>496</v>
      </c>
      <c r="AM95" s="244" t="s">
        <v>496</v>
      </c>
      <c r="AN95" s="71" t="s">
        <v>992</v>
      </c>
      <c r="AO95" s="181" t="s">
        <v>496</v>
      </c>
      <c r="AP95" s="104" t="s">
        <v>990</v>
      </c>
      <c r="AQ95" s="65">
        <v>1</v>
      </c>
      <c r="AR95" s="37">
        <v>1</v>
      </c>
      <c r="AS95" s="159">
        <f>(+Tabla4[[#This Row],[Programación  meta
IV trimestre ]]/AR95)</f>
        <v>1</v>
      </c>
      <c r="AT95" s="119" t="s">
        <v>993</v>
      </c>
      <c r="AU95" s="28" t="s">
        <v>502</v>
      </c>
      <c r="AV95" s="165" t="s">
        <v>485</v>
      </c>
      <c r="AW95" s="209">
        <f>+Tabla4[[#This Row],[Programación  meta
II trimestre ]]+Tabla4[[#This Row],[Programación  meta
IV trimestre ]]</f>
        <v>2</v>
      </c>
      <c r="AX95" s="205">
        <f>+Tabla4[[#This Row],[Avance cuantitativo
II trimestre]]+AR95</f>
        <v>2</v>
      </c>
      <c r="AY95" s="86">
        <f t="shared" si="8"/>
        <v>1</v>
      </c>
      <c r="AZ95" s="89" t="s">
        <v>503</v>
      </c>
      <c r="BA95" s="180"/>
      <c r="BB95" s="180"/>
      <c r="BC95" s="180"/>
      <c r="BD95" s="180"/>
      <c r="BE95" s="180"/>
      <c r="BF95" s="180"/>
      <c r="BG95" s="180"/>
      <c r="BH95" s="180"/>
      <c r="BI95" s="180"/>
      <c r="BJ95" s="180"/>
      <c r="BK95" s="180"/>
      <c r="BL95" s="180"/>
      <c r="BM95" s="180"/>
      <c r="BN95" s="180"/>
      <c r="BO95" s="180"/>
      <c r="BP95" s="180"/>
      <c r="BQ95" s="180"/>
      <c r="BR95" s="180"/>
      <c r="BS95" s="180"/>
      <c r="BT95" s="180"/>
      <c r="BU95" s="180"/>
      <c r="BV95" s="180"/>
      <c r="BW95" s="180"/>
      <c r="BX95" s="180"/>
      <c r="BY95" s="180"/>
      <c r="BZ95" s="180"/>
      <c r="CA95" s="180"/>
      <c r="CB95" s="180"/>
      <c r="CC95" s="180"/>
    </row>
    <row r="96" spans="1:81" s="147" customFormat="1" x14ac:dyDescent="0.2">
      <c r="A96" s="180"/>
      <c r="B96" s="138" t="s">
        <v>305</v>
      </c>
      <c r="C96" s="170" t="s">
        <v>48</v>
      </c>
      <c r="D96" s="71" t="s">
        <v>595</v>
      </c>
      <c r="E96" s="170" t="s">
        <v>547</v>
      </c>
      <c r="F96" s="71" t="s">
        <v>604</v>
      </c>
      <c r="G96" s="71" t="s">
        <v>93</v>
      </c>
      <c r="H96" s="71" t="s">
        <v>195</v>
      </c>
      <c r="I96" s="71" t="s">
        <v>25</v>
      </c>
      <c r="J96" s="71" t="s">
        <v>138</v>
      </c>
      <c r="K96" s="71" t="s">
        <v>357</v>
      </c>
      <c r="L96" s="71" t="s">
        <v>257</v>
      </c>
      <c r="M96" s="71" t="s">
        <v>225</v>
      </c>
      <c r="N96" s="47">
        <v>82</v>
      </c>
      <c r="O96" s="104" t="s">
        <v>994</v>
      </c>
      <c r="P96" s="72">
        <v>1</v>
      </c>
      <c r="Q96" s="49">
        <f>(+Y96+AE96+AK96+AQ96)/4</f>
        <v>1</v>
      </c>
      <c r="R96" s="53" t="s">
        <v>30</v>
      </c>
      <c r="S96" s="104" t="s">
        <v>995</v>
      </c>
      <c r="T96" s="104" t="s">
        <v>996</v>
      </c>
      <c r="U96" s="215">
        <v>44562</v>
      </c>
      <c r="V96" s="215">
        <v>44926</v>
      </c>
      <c r="W96" s="104" t="s">
        <v>132</v>
      </c>
      <c r="X96" s="71" t="s">
        <v>997</v>
      </c>
      <c r="Y96" s="48">
        <v>1</v>
      </c>
      <c r="Z96" s="48">
        <v>1</v>
      </c>
      <c r="AA96" s="58">
        <f>(Z96/Y96)</f>
        <v>1</v>
      </c>
      <c r="AB96" s="60" t="s">
        <v>998</v>
      </c>
      <c r="AC96" s="175" t="s">
        <v>999</v>
      </c>
      <c r="AD96" s="71" t="s">
        <v>1000</v>
      </c>
      <c r="AE96" s="48">
        <v>1</v>
      </c>
      <c r="AF96" s="49">
        <v>1</v>
      </c>
      <c r="AG96" s="49">
        <f t="shared" si="7"/>
        <v>1</v>
      </c>
      <c r="AH96" s="60" t="s">
        <v>1001</v>
      </c>
      <c r="AI96" s="170" t="s">
        <v>511</v>
      </c>
      <c r="AJ96" s="71" t="s">
        <v>1000</v>
      </c>
      <c r="AK96" s="48">
        <v>1</v>
      </c>
      <c r="AL96" s="48">
        <v>1</v>
      </c>
      <c r="AM96" s="25">
        <f>+(Tabla4[[#This Row],[Avance cuantitativo
III trimestre]]/Tabla4[[#This Row],[Programación  meta
III trimestre ]])*100%</f>
        <v>1</v>
      </c>
      <c r="AN96" s="112" t="s">
        <v>1002</v>
      </c>
      <c r="AO96" s="170" t="s">
        <v>511</v>
      </c>
      <c r="AP96" s="71" t="s">
        <v>1000</v>
      </c>
      <c r="AQ96" s="109">
        <v>1</v>
      </c>
      <c r="AR96" s="92">
        <v>1</v>
      </c>
      <c r="AS96" s="159">
        <f>(+Tabla4[[#This Row],[Programación  meta
IV trimestre ]]/AR96)</f>
        <v>1</v>
      </c>
      <c r="AT96" s="120" t="s">
        <v>1003</v>
      </c>
      <c r="AU96" s="28" t="s">
        <v>502</v>
      </c>
      <c r="AV96" s="165" t="s">
        <v>485</v>
      </c>
      <c r="AW96" s="87">
        <f>+(Tabla4[[#This Row],[Programación  meta
I trimestre ]]+Tabla4[[#This Row],[Programación  meta
II trimestre ]]+Tabla4[[#This Row],[Programación  meta
III trimestre ]]+Tabla4[[#This Row],[Programación  meta
IV trimestre ]])/4</f>
        <v>1</v>
      </c>
      <c r="AX96" s="86">
        <f>+(Tabla4[[#This Row],[Avance cuantitativo
I trimestre]]+Tabla4[[#This Row],[Avance cuantitativo
II trimestre]]+Tabla4[[#This Row],[Avance cuantitativo
III trimestre]]+AR96)/4</f>
        <v>1</v>
      </c>
      <c r="AY96" s="86">
        <f t="shared" si="8"/>
        <v>1</v>
      </c>
      <c r="AZ96" s="89" t="s">
        <v>503</v>
      </c>
      <c r="BA96" s="180"/>
      <c r="BB96" s="180"/>
      <c r="BC96" s="180"/>
      <c r="BD96" s="180"/>
      <c r="BE96" s="180"/>
      <c r="BF96" s="180"/>
      <c r="BG96" s="180"/>
      <c r="BH96" s="180"/>
      <c r="BI96" s="180"/>
      <c r="BJ96" s="180"/>
      <c r="BK96" s="180"/>
      <c r="BL96" s="180"/>
      <c r="BM96" s="180"/>
      <c r="BN96" s="180"/>
      <c r="BO96" s="180"/>
      <c r="BP96" s="180"/>
      <c r="BQ96" s="180"/>
      <c r="BR96" s="180"/>
      <c r="BS96" s="180"/>
      <c r="BT96" s="180"/>
      <c r="BU96" s="180"/>
      <c r="BV96" s="180"/>
      <c r="BW96" s="180"/>
      <c r="BX96" s="180"/>
      <c r="BY96" s="180"/>
      <c r="BZ96" s="180"/>
      <c r="CA96" s="180"/>
      <c r="CB96" s="180"/>
      <c r="CC96" s="180"/>
    </row>
    <row r="97" spans="1:81" s="147" customFormat="1" x14ac:dyDescent="0.2">
      <c r="A97" s="180"/>
      <c r="B97" s="138" t="s">
        <v>305</v>
      </c>
      <c r="C97" s="170" t="s">
        <v>48</v>
      </c>
      <c r="D97" s="71" t="s">
        <v>595</v>
      </c>
      <c r="E97" s="170" t="s">
        <v>547</v>
      </c>
      <c r="F97" s="71" t="s">
        <v>604</v>
      </c>
      <c r="G97" s="71" t="s">
        <v>93</v>
      </c>
      <c r="H97" s="71" t="s">
        <v>195</v>
      </c>
      <c r="I97" s="71" t="s">
        <v>25</v>
      </c>
      <c r="J97" s="71" t="s">
        <v>138</v>
      </c>
      <c r="K97" s="71" t="s">
        <v>357</v>
      </c>
      <c r="L97" s="71" t="s">
        <v>257</v>
      </c>
      <c r="M97" s="71" t="s">
        <v>225</v>
      </c>
      <c r="N97" s="47">
        <v>83</v>
      </c>
      <c r="O97" s="71" t="s">
        <v>1004</v>
      </c>
      <c r="P97" s="45">
        <v>4</v>
      </c>
      <c r="Q97" s="47">
        <f>+Y97+AE97+AK97+AQ97</f>
        <v>4</v>
      </c>
      <c r="R97" s="45" t="s">
        <v>45</v>
      </c>
      <c r="S97" s="71" t="s">
        <v>1005</v>
      </c>
      <c r="T97" s="71" t="s">
        <v>1006</v>
      </c>
      <c r="U97" s="212">
        <v>44562</v>
      </c>
      <c r="V97" s="212">
        <v>44926</v>
      </c>
      <c r="W97" s="71" t="s">
        <v>132</v>
      </c>
      <c r="X97" s="71" t="s">
        <v>1007</v>
      </c>
      <c r="Y97" s="45">
        <v>1</v>
      </c>
      <c r="Z97" s="45">
        <v>1</v>
      </c>
      <c r="AA97" s="58">
        <f>(Z97/Y97)</f>
        <v>1</v>
      </c>
      <c r="AB97" s="60" t="s">
        <v>1008</v>
      </c>
      <c r="AC97" s="175" t="s">
        <v>499</v>
      </c>
      <c r="AD97" s="71" t="s">
        <v>1007</v>
      </c>
      <c r="AE97" s="45">
        <v>1</v>
      </c>
      <c r="AF97" s="47">
        <v>1</v>
      </c>
      <c r="AG97" s="49">
        <f t="shared" si="7"/>
        <v>1</v>
      </c>
      <c r="AH97" s="60" t="s">
        <v>1009</v>
      </c>
      <c r="AI97" s="170" t="s">
        <v>511</v>
      </c>
      <c r="AJ97" s="71" t="s">
        <v>1007</v>
      </c>
      <c r="AK97" s="45">
        <v>1</v>
      </c>
      <c r="AL97" s="48">
        <v>1</v>
      </c>
      <c r="AM97" s="25">
        <f>+(Tabla4[[#This Row],[Avance cuantitativo
III trimestre]]/Tabla4[[#This Row],[Programación  meta
III trimestre ]])*100%</f>
        <v>1</v>
      </c>
      <c r="AN97" s="112" t="s">
        <v>1010</v>
      </c>
      <c r="AO97" s="104" t="s">
        <v>1011</v>
      </c>
      <c r="AP97" s="71" t="s">
        <v>1007</v>
      </c>
      <c r="AQ97" s="63">
        <v>1</v>
      </c>
      <c r="AR97" s="37">
        <v>1</v>
      </c>
      <c r="AS97" s="159">
        <f>(+Tabla4[[#This Row],[Programación  meta
IV trimestre ]]/AR97)</f>
        <v>1</v>
      </c>
      <c r="AT97" s="120" t="s">
        <v>1012</v>
      </c>
      <c r="AU97" s="28" t="s">
        <v>502</v>
      </c>
      <c r="AV97" s="165" t="s">
        <v>485</v>
      </c>
      <c r="AW97" s="85">
        <f>+Tabla4[[#This Row],[Programación  meta
I trimestre ]]+Tabla4[[#This Row],[Programación  meta
II trimestre ]]+Tabla4[[#This Row],[Programación  meta
III trimestre ]]+Tabla4[[#This Row],[Programación  meta
IV trimestre ]]</f>
        <v>4</v>
      </c>
      <c r="AX97" s="84">
        <f>+Tabla4[[#This Row],[Avance cuantitativo
I trimestre]]+Tabla4[[#This Row],[Avance cuantitativo
II trimestre]]+Tabla4[[#This Row],[Avance cuantitativo
III trimestre]]+AR97</f>
        <v>4</v>
      </c>
      <c r="AY97" s="86">
        <f t="shared" si="8"/>
        <v>1</v>
      </c>
      <c r="AZ97" s="89" t="s">
        <v>503</v>
      </c>
      <c r="BA97" s="180"/>
      <c r="BB97" s="180"/>
      <c r="BC97" s="180"/>
      <c r="BD97" s="180"/>
      <c r="BE97" s="180"/>
      <c r="BF97" s="180"/>
      <c r="BG97" s="180"/>
      <c r="BH97" s="180"/>
      <c r="BI97" s="180"/>
      <c r="BJ97" s="180"/>
      <c r="BK97" s="180"/>
      <c r="BL97" s="180"/>
      <c r="BM97" s="180"/>
      <c r="BN97" s="180"/>
      <c r="BO97" s="180"/>
      <c r="BP97" s="180"/>
      <c r="BQ97" s="180"/>
      <c r="BR97" s="180"/>
      <c r="BS97" s="180"/>
      <c r="BT97" s="180"/>
      <c r="BU97" s="180"/>
      <c r="BV97" s="180"/>
      <c r="BW97" s="180"/>
      <c r="BX97" s="180"/>
      <c r="BY97" s="180"/>
      <c r="BZ97" s="180"/>
      <c r="CA97" s="180"/>
      <c r="CB97" s="180"/>
      <c r="CC97" s="180"/>
    </row>
    <row r="98" spans="1:81" s="141" customFormat="1" x14ac:dyDescent="0.2">
      <c r="A98" s="180"/>
      <c r="B98" s="138" t="s">
        <v>305</v>
      </c>
      <c r="C98" s="170" t="s">
        <v>48</v>
      </c>
      <c r="D98" s="71" t="s">
        <v>595</v>
      </c>
      <c r="E98" s="170" t="s">
        <v>547</v>
      </c>
      <c r="F98" s="71" t="s">
        <v>604</v>
      </c>
      <c r="G98" s="71" t="s">
        <v>93</v>
      </c>
      <c r="H98" s="71" t="s">
        <v>195</v>
      </c>
      <c r="I98" s="71" t="s">
        <v>25</v>
      </c>
      <c r="J98" s="71" t="s">
        <v>138</v>
      </c>
      <c r="K98" s="71" t="s">
        <v>357</v>
      </c>
      <c r="L98" s="71" t="s">
        <v>257</v>
      </c>
      <c r="M98" s="71" t="s">
        <v>225</v>
      </c>
      <c r="N98" s="47">
        <v>84</v>
      </c>
      <c r="O98" s="71" t="s">
        <v>1013</v>
      </c>
      <c r="P98" s="48">
        <v>1</v>
      </c>
      <c r="Q98" s="49">
        <f>(+Y98+AE98+AK98+AQ98)/4</f>
        <v>1</v>
      </c>
      <c r="R98" s="45" t="s">
        <v>30</v>
      </c>
      <c r="S98" s="71" t="s">
        <v>1014</v>
      </c>
      <c r="T98" s="71" t="s">
        <v>1015</v>
      </c>
      <c r="U98" s="212">
        <v>44562</v>
      </c>
      <c r="V98" s="212">
        <v>44926</v>
      </c>
      <c r="W98" s="71" t="s">
        <v>132</v>
      </c>
      <c r="X98" s="71" t="s">
        <v>1016</v>
      </c>
      <c r="Y98" s="48">
        <v>1</v>
      </c>
      <c r="Z98" s="48">
        <v>1</v>
      </c>
      <c r="AA98" s="58">
        <f>(Z98/Y98)</f>
        <v>1</v>
      </c>
      <c r="AB98" s="60" t="s">
        <v>1017</v>
      </c>
      <c r="AC98" s="175" t="s">
        <v>499</v>
      </c>
      <c r="AD98" s="71" t="s">
        <v>1016</v>
      </c>
      <c r="AE98" s="48">
        <v>1</v>
      </c>
      <c r="AF98" s="49">
        <v>1</v>
      </c>
      <c r="AG98" s="49">
        <f t="shared" si="7"/>
        <v>1</v>
      </c>
      <c r="AH98" s="60" t="s">
        <v>1018</v>
      </c>
      <c r="AI98" s="170" t="s">
        <v>511</v>
      </c>
      <c r="AJ98" s="71" t="s">
        <v>1016</v>
      </c>
      <c r="AK98" s="48">
        <v>1</v>
      </c>
      <c r="AL98" s="48">
        <v>1</v>
      </c>
      <c r="AM98" s="25">
        <f>+(Tabla4[[#This Row],[Avance cuantitativo
III trimestre]]/Tabla4[[#This Row],[Programación  meta
III trimestre ]])*100%</f>
        <v>1</v>
      </c>
      <c r="AN98" s="112" t="s">
        <v>1019</v>
      </c>
      <c r="AO98" s="104" t="s">
        <v>1020</v>
      </c>
      <c r="AP98" s="71" t="s">
        <v>1016</v>
      </c>
      <c r="AQ98" s="109">
        <v>1</v>
      </c>
      <c r="AR98" s="92">
        <v>1</v>
      </c>
      <c r="AS98" s="159">
        <f>(+Tabla4[[#This Row],[Programación  meta
IV trimestre ]]/AR98)</f>
        <v>1</v>
      </c>
      <c r="AT98" s="120" t="s">
        <v>1021</v>
      </c>
      <c r="AU98" s="28" t="s">
        <v>502</v>
      </c>
      <c r="AV98" s="165" t="s">
        <v>485</v>
      </c>
      <c r="AW98" s="87">
        <f>+(Tabla4[[#This Row],[Programación  meta
I trimestre ]]+Tabla4[[#This Row],[Programación  meta
II trimestre ]]+Tabla4[[#This Row],[Programación  meta
III trimestre ]]+Tabla4[[#This Row],[Programación  meta
IV trimestre ]])/4</f>
        <v>1</v>
      </c>
      <c r="AX98" s="86">
        <f>+(Tabla4[[#This Row],[Avance cuantitativo
I trimestre]]+Tabla4[[#This Row],[Avance cuantitativo
II trimestre]]+Tabla4[[#This Row],[Avance cuantitativo
III trimestre]]+AR98)/4</f>
        <v>1</v>
      </c>
      <c r="AY98" s="86">
        <f t="shared" si="8"/>
        <v>1</v>
      </c>
      <c r="AZ98" s="89" t="s">
        <v>503</v>
      </c>
      <c r="BA98" s="180"/>
      <c r="BB98" s="180"/>
      <c r="BC98" s="180"/>
      <c r="BD98" s="180"/>
      <c r="BE98" s="180"/>
      <c r="BF98" s="180"/>
      <c r="BG98" s="180"/>
      <c r="BH98" s="180"/>
      <c r="BI98" s="180"/>
      <c r="BJ98" s="180"/>
      <c r="BK98" s="180"/>
      <c r="BL98" s="180"/>
      <c r="BM98" s="180"/>
      <c r="BN98" s="180"/>
      <c r="BO98" s="180"/>
      <c r="BP98" s="180"/>
      <c r="BQ98" s="180"/>
      <c r="BR98" s="180"/>
      <c r="BS98" s="180"/>
      <c r="BT98" s="180"/>
      <c r="BU98" s="180"/>
      <c r="BV98" s="180"/>
      <c r="BW98" s="180"/>
      <c r="BX98" s="180"/>
      <c r="BY98" s="180"/>
      <c r="BZ98" s="180"/>
      <c r="CA98" s="180"/>
      <c r="CB98" s="180"/>
      <c r="CC98" s="180"/>
    </row>
    <row r="99" spans="1:81" s="141" customFormat="1" x14ac:dyDescent="0.2">
      <c r="A99" s="180"/>
      <c r="B99" s="138" t="s">
        <v>308</v>
      </c>
      <c r="C99" s="170" t="s">
        <v>48</v>
      </c>
      <c r="D99" s="71" t="s">
        <v>595</v>
      </c>
      <c r="E99" s="170" t="s">
        <v>547</v>
      </c>
      <c r="F99" s="71" t="s">
        <v>604</v>
      </c>
      <c r="G99" s="71" t="s">
        <v>93</v>
      </c>
      <c r="H99" s="71" t="s">
        <v>137</v>
      </c>
      <c r="I99" s="71" t="s">
        <v>25</v>
      </c>
      <c r="J99" s="71" t="s">
        <v>138</v>
      </c>
      <c r="K99" s="71" t="s">
        <v>362</v>
      </c>
      <c r="L99" s="71" t="s">
        <v>252</v>
      </c>
      <c r="M99" s="71" t="s">
        <v>225</v>
      </c>
      <c r="N99" s="47">
        <v>85</v>
      </c>
      <c r="O99" s="71" t="s">
        <v>1022</v>
      </c>
      <c r="P99" s="48">
        <v>1</v>
      </c>
      <c r="Q99" s="49">
        <f>(+Y99+AE99+AK99+AQ99)/4</f>
        <v>1</v>
      </c>
      <c r="R99" s="45" t="s">
        <v>30</v>
      </c>
      <c r="S99" s="71" t="s">
        <v>1023</v>
      </c>
      <c r="T99" s="71" t="s">
        <v>588</v>
      </c>
      <c r="U99" s="212">
        <v>44562</v>
      </c>
      <c r="V99" s="212">
        <v>44592</v>
      </c>
      <c r="W99" s="71" t="s">
        <v>132</v>
      </c>
      <c r="X99" s="71" t="s">
        <v>589</v>
      </c>
      <c r="Y99" s="48">
        <v>1</v>
      </c>
      <c r="Z99" s="48">
        <v>1</v>
      </c>
      <c r="AA99" s="58">
        <f>(Z99/Y99)</f>
        <v>1</v>
      </c>
      <c r="AB99" s="60" t="s">
        <v>1024</v>
      </c>
      <c r="AC99" s="175" t="s">
        <v>511</v>
      </c>
      <c r="AD99" s="71" t="s">
        <v>589</v>
      </c>
      <c r="AE99" s="48">
        <v>1</v>
      </c>
      <c r="AF99" s="49">
        <v>1</v>
      </c>
      <c r="AG99" s="49">
        <f t="shared" si="7"/>
        <v>1</v>
      </c>
      <c r="AH99" s="104" t="s">
        <v>1025</v>
      </c>
      <c r="AI99" s="170" t="s">
        <v>511</v>
      </c>
      <c r="AJ99" s="71" t="s">
        <v>589</v>
      </c>
      <c r="AK99" s="48">
        <v>1</v>
      </c>
      <c r="AL99" s="48">
        <v>1</v>
      </c>
      <c r="AM99" s="25">
        <f>+(Tabla4[[#This Row],[Avance cuantitativo
III trimestre]]/Tabla4[[#This Row],[Programación  meta
III trimestre ]])*100%</f>
        <v>1</v>
      </c>
      <c r="AN99" s="104" t="s">
        <v>1026</v>
      </c>
      <c r="AO99" s="170" t="s">
        <v>511</v>
      </c>
      <c r="AP99" s="71" t="s">
        <v>589</v>
      </c>
      <c r="AQ99" s="109">
        <v>1</v>
      </c>
      <c r="AR99" s="92">
        <v>1</v>
      </c>
      <c r="AS99" s="159">
        <f>(+Tabla4[[#This Row],[Programación  meta
IV trimestre ]]/AR99)</f>
        <v>1</v>
      </c>
      <c r="AT99" s="104" t="s">
        <v>1026</v>
      </c>
      <c r="AU99" s="28" t="s">
        <v>502</v>
      </c>
      <c r="AV99" s="165" t="s">
        <v>485</v>
      </c>
      <c r="AW99" s="87">
        <f>+(Tabla4[[#This Row],[Programación  meta
I trimestre ]]+Tabla4[[#This Row],[Programación  meta
II trimestre ]]+Tabla4[[#This Row],[Programación  meta
III trimestre ]]+Tabla4[[#This Row],[Programación  meta
IV trimestre ]])/4</f>
        <v>1</v>
      </c>
      <c r="AX99" s="86">
        <f>+(Tabla4[[#This Row],[Avance cuantitativo
I trimestre]]+Tabla4[[#This Row],[Avance cuantitativo
II trimestre]]+Tabla4[[#This Row],[Avance cuantitativo
III trimestre]]+AR99)/4</f>
        <v>1</v>
      </c>
      <c r="AY99" s="86">
        <f t="shared" si="8"/>
        <v>1</v>
      </c>
      <c r="AZ99" s="89" t="s">
        <v>503</v>
      </c>
      <c r="BA99" s="180"/>
      <c r="BB99" s="180"/>
      <c r="BC99" s="180"/>
      <c r="BD99" s="180"/>
      <c r="BE99" s="180"/>
      <c r="BF99" s="180"/>
      <c r="BG99" s="180"/>
      <c r="BH99" s="180"/>
      <c r="BI99" s="180"/>
      <c r="BJ99" s="180"/>
      <c r="BK99" s="180"/>
      <c r="BL99" s="180"/>
      <c r="BM99" s="180"/>
      <c r="BN99" s="180"/>
      <c r="BO99" s="180"/>
      <c r="BP99" s="180"/>
      <c r="BQ99" s="180"/>
      <c r="BR99" s="180"/>
      <c r="BS99" s="180"/>
      <c r="BT99" s="180"/>
      <c r="BU99" s="180"/>
      <c r="BV99" s="180"/>
      <c r="BW99" s="180"/>
      <c r="BX99" s="180"/>
      <c r="BY99" s="180"/>
      <c r="BZ99" s="180"/>
      <c r="CA99" s="180"/>
      <c r="CB99" s="180"/>
      <c r="CC99" s="180"/>
    </row>
    <row r="100" spans="1:81" s="32" customFormat="1" hidden="1" x14ac:dyDescent="0.2">
      <c r="A100" s="30"/>
      <c r="B100" s="68" t="s">
        <v>209</v>
      </c>
      <c r="C100" s="46" t="s">
        <v>48</v>
      </c>
      <c r="D100" s="50" t="s">
        <v>595</v>
      </c>
      <c r="E100" s="46" t="s">
        <v>547</v>
      </c>
      <c r="F100" s="50" t="s">
        <v>604</v>
      </c>
      <c r="G100" s="50" t="s">
        <v>68</v>
      </c>
      <c r="H100" s="50" t="s">
        <v>221</v>
      </c>
      <c r="I100" s="50" t="s">
        <v>25</v>
      </c>
      <c r="J100" s="50" t="s">
        <v>128</v>
      </c>
      <c r="K100" s="50" t="s">
        <v>128</v>
      </c>
      <c r="L100" s="50" t="s">
        <v>215</v>
      </c>
      <c r="M100" s="50" t="s">
        <v>161</v>
      </c>
      <c r="N100" s="47">
        <v>86</v>
      </c>
      <c r="O100" s="100" t="s">
        <v>1027</v>
      </c>
      <c r="P100" s="49">
        <v>1</v>
      </c>
      <c r="Q100" s="25" t="e">
        <f>(+Y100+AE100+AK100+AQ100)/3</f>
        <v>#VALUE!</v>
      </c>
      <c r="R100" s="47" t="s">
        <v>30</v>
      </c>
      <c r="S100" s="50" t="s">
        <v>1028</v>
      </c>
      <c r="T100" s="50" t="s">
        <v>1029</v>
      </c>
      <c r="U100" s="215">
        <v>44621</v>
      </c>
      <c r="V100" s="215">
        <v>44926</v>
      </c>
      <c r="W100" s="50" t="s">
        <v>277</v>
      </c>
      <c r="X100" s="70" t="s">
        <v>496</v>
      </c>
      <c r="Y100" s="244" t="s">
        <v>496</v>
      </c>
      <c r="Z100" s="244" t="s">
        <v>496</v>
      </c>
      <c r="AA100" s="244" t="s">
        <v>496</v>
      </c>
      <c r="AB100" s="70" t="s">
        <v>496</v>
      </c>
      <c r="AC100" s="71" t="s">
        <v>496</v>
      </c>
      <c r="AD100" s="70" t="s">
        <v>1028</v>
      </c>
      <c r="AE100" s="49">
        <v>1</v>
      </c>
      <c r="AF100" s="49">
        <v>1</v>
      </c>
      <c r="AG100" s="49">
        <f t="shared" si="7"/>
        <v>1</v>
      </c>
      <c r="AH100" s="50" t="s">
        <v>1030</v>
      </c>
      <c r="AI100" s="50" t="s">
        <v>636</v>
      </c>
      <c r="AJ100" s="70" t="s">
        <v>1028</v>
      </c>
      <c r="AK100" s="49">
        <v>1</v>
      </c>
      <c r="AL100" s="92">
        <v>0</v>
      </c>
      <c r="AM100" s="101">
        <f>+(Tabla4[[#This Row],[Avance cuantitativo
III trimestre]]/Tabla4[[#This Row],[Programación  meta
III trimestre ]])*100%</f>
        <v>0</v>
      </c>
      <c r="AN100" s="99" t="s">
        <v>1031</v>
      </c>
      <c r="AO100" s="28" t="s">
        <v>1032</v>
      </c>
      <c r="AP100" s="70" t="s">
        <v>585</v>
      </c>
      <c r="AQ100" s="48" t="s">
        <v>496</v>
      </c>
      <c r="AR100" s="48" t="s">
        <v>496</v>
      </c>
      <c r="AS100" s="48" t="s">
        <v>496</v>
      </c>
      <c r="AT100" s="139" t="s">
        <v>496</v>
      </c>
      <c r="AU100" s="246" t="s">
        <v>496</v>
      </c>
      <c r="AV100" s="165" t="s">
        <v>485</v>
      </c>
      <c r="AW100" s="87">
        <v>0</v>
      </c>
      <c r="AX100" s="86">
        <v>0</v>
      </c>
      <c r="AY100" s="86">
        <v>0</v>
      </c>
      <c r="AZ100" s="88" t="s">
        <v>585</v>
      </c>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row>
    <row r="101" spans="1:81" s="141" customFormat="1" x14ac:dyDescent="0.2">
      <c r="A101" s="180"/>
      <c r="B101" s="142" t="s">
        <v>209</v>
      </c>
      <c r="C101" s="170" t="s">
        <v>48</v>
      </c>
      <c r="D101" s="104" t="s">
        <v>174</v>
      </c>
      <c r="E101" s="170" t="s">
        <v>547</v>
      </c>
      <c r="F101" s="104" t="s">
        <v>604</v>
      </c>
      <c r="G101" s="104" t="s">
        <v>68</v>
      </c>
      <c r="H101" s="104" t="s">
        <v>221</v>
      </c>
      <c r="I101" s="104" t="s">
        <v>25</v>
      </c>
      <c r="J101" s="104" t="s">
        <v>128</v>
      </c>
      <c r="K101" s="104" t="s">
        <v>128</v>
      </c>
      <c r="L101" s="104" t="s">
        <v>215</v>
      </c>
      <c r="M101" s="104" t="s">
        <v>161</v>
      </c>
      <c r="N101" s="47">
        <v>87</v>
      </c>
      <c r="O101" s="76" t="s">
        <v>1033</v>
      </c>
      <c r="P101" s="49">
        <v>1</v>
      </c>
      <c r="Q101" s="25" t="e">
        <f>(+Y101+AE101+AK101+AQ101)/2</f>
        <v>#VALUE!</v>
      </c>
      <c r="R101" s="47" t="s">
        <v>30</v>
      </c>
      <c r="S101" s="104" t="s">
        <v>1034</v>
      </c>
      <c r="T101" s="104" t="s">
        <v>1035</v>
      </c>
      <c r="U101" s="215">
        <v>44743</v>
      </c>
      <c r="V101" s="215">
        <v>44926</v>
      </c>
      <c r="W101" s="104" t="s">
        <v>277</v>
      </c>
      <c r="X101" s="70" t="s">
        <v>496</v>
      </c>
      <c r="Y101" s="244" t="s">
        <v>496</v>
      </c>
      <c r="Z101" s="244" t="s">
        <v>496</v>
      </c>
      <c r="AA101" s="244" t="s">
        <v>496</v>
      </c>
      <c r="AB101" s="70" t="s">
        <v>496</v>
      </c>
      <c r="AC101" s="71" t="s">
        <v>496</v>
      </c>
      <c r="AD101" s="104" t="s">
        <v>496</v>
      </c>
      <c r="AE101" s="53" t="s">
        <v>496</v>
      </c>
      <c r="AF101" s="53" t="s">
        <v>496</v>
      </c>
      <c r="AG101" s="53" t="s">
        <v>496</v>
      </c>
      <c r="AH101" s="104" t="s">
        <v>496</v>
      </c>
      <c r="AI101" s="170" t="s">
        <v>496</v>
      </c>
      <c r="AJ101" s="181" t="s">
        <v>1034</v>
      </c>
      <c r="AK101" s="49">
        <v>1</v>
      </c>
      <c r="AL101" s="48">
        <v>1</v>
      </c>
      <c r="AM101" s="25">
        <f>+(Tabla4[[#This Row],[Avance cuantitativo
III trimestre]]/Tabla4[[#This Row],[Programación  meta
III trimestre ]])*100%</f>
        <v>1</v>
      </c>
      <c r="AN101" s="110" t="s">
        <v>1036</v>
      </c>
      <c r="AO101" s="104" t="s">
        <v>1037</v>
      </c>
      <c r="AP101" s="177" t="s">
        <v>1034</v>
      </c>
      <c r="AQ101" s="64">
        <v>1</v>
      </c>
      <c r="AR101" s="92">
        <v>1</v>
      </c>
      <c r="AS101" s="159">
        <f>(+Tabla4[[#This Row],[Programación  meta
IV trimestre ]]/AR101)</f>
        <v>1</v>
      </c>
      <c r="AT101" s="99" t="s">
        <v>1038</v>
      </c>
      <c r="AU101" s="28" t="s">
        <v>1039</v>
      </c>
      <c r="AV101" s="165" t="s">
        <v>485</v>
      </c>
      <c r="AW101" s="87">
        <f>+(Tabla4[[#This Row],[Programación  meta
III trimestre ]]+Tabla4[[#This Row],[Programación  meta
IV trimestre ]])/2</f>
        <v>1</v>
      </c>
      <c r="AX101" s="86">
        <f>+(Tabla4[[#This Row],[Avance cuantitativo
III trimestre]]+AR101)/2</f>
        <v>1</v>
      </c>
      <c r="AY101" s="86">
        <f t="shared" si="8"/>
        <v>1</v>
      </c>
      <c r="AZ101" s="89" t="s">
        <v>503</v>
      </c>
      <c r="BA101" s="180"/>
      <c r="BB101" s="180"/>
      <c r="BC101" s="180"/>
      <c r="BD101" s="180"/>
      <c r="BE101" s="180"/>
      <c r="BF101" s="180"/>
      <c r="BG101" s="180"/>
      <c r="BH101" s="180"/>
      <c r="BI101" s="180"/>
      <c r="BJ101" s="180"/>
      <c r="BK101" s="180"/>
      <c r="BL101" s="180"/>
      <c r="BM101" s="180"/>
      <c r="BN101" s="180"/>
      <c r="BO101" s="180"/>
      <c r="BP101" s="180"/>
      <c r="BQ101" s="180"/>
      <c r="BR101" s="180"/>
      <c r="BS101" s="180"/>
      <c r="BT101" s="180"/>
      <c r="BU101" s="180"/>
      <c r="BV101" s="180"/>
      <c r="BW101" s="180"/>
      <c r="BX101" s="180"/>
      <c r="BY101" s="180"/>
      <c r="BZ101" s="180"/>
      <c r="CA101" s="180"/>
      <c r="CB101" s="180"/>
      <c r="CC101" s="180"/>
    </row>
    <row r="102" spans="1:81" s="32" customFormat="1" x14ac:dyDescent="0.2">
      <c r="A102" s="30"/>
      <c r="B102" s="66" t="s">
        <v>209</v>
      </c>
      <c r="C102" s="46" t="s">
        <v>18</v>
      </c>
      <c r="D102" s="46" t="s">
        <v>134</v>
      </c>
      <c r="E102" s="46" t="s">
        <v>50</v>
      </c>
      <c r="F102" s="46" t="s">
        <v>1040</v>
      </c>
      <c r="G102" s="44" t="s">
        <v>81</v>
      </c>
      <c r="H102" s="44" t="s">
        <v>105</v>
      </c>
      <c r="I102" s="44" t="s">
        <v>25</v>
      </c>
      <c r="J102" s="44" t="s">
        <v>138</v>
      </c>
      <c r="K102" s="44" t="s">
        <v>360</v>
      </c>
      <c r="L102" s="44" t="s">
        <v>215</v>
      </c>
      <c r="M102" s="44" t="s">
        <v>225</v>
      </c>
      <c r="N102" s="47">
        <v>88</v>
      </c>
      <c r="O102" s="44" t="s">
        <v>1041</v>
      </c>
      <c r="P102" s="45">
        <v>1</v>
      </c>
      <c r="Q102" s="47" t="e">
        <f>+Y102+AE102+AK102+AQ102</f>
        <v>#VALUE!</v>
      </c>
      <c r="R102" s="45" t="s">
        <v>45</v>
      </c>
      <c r="S102" s="44" t="s">
        <v>1042</v>
      </c>
      <c r="T102" s="44" t="s">
        <v>1043</v>
      </c>
      <c r="U102" s="212">
        <v>44562</v>
      </c>
      <c r="V102" s="212">
        <v>44926</v>
      </c>
      <c r="W102" s="44" t="s">
        <v>121</v>
      </c>
      <c r="X102" s="44" t="s">
        <v>1044</v>
      </c>
      <c r="Y102" s="45">
        <v>1</v>
      </c>
      <c r="Z102" s="45">
        <v>1</v>
      </c>
      <c r="AA102" s="58">
        <f t="shared" ref="AA102:AA107" si="9">(Z102/Y102)</f>
        <v>1</v>
      </c>
      <c r="AB102" s="60" t="s">
        <v>1045</v>
      </c>
      <c r="AC102" s="61" t="s">
        <v>511</v>
      </c>
      <c r="AD102" s="104" t="s">
        <v>496</v>
      </c>
      <c r="AE102" s="53" t="s">
        <v>496</v>
      </c>
      <c r="AF102" s="53" t="s">
        <v>496</v>
      </c>
      <c r="AG102" s="53" t="s">
        <v>496</v>
      </c>
      <c r="AH102" s="104" t="s">
        <v>496</v>
      </c>
      <c r="AI102" s="170" t="s">
        <v>496</v>
      </c>
      <c r="AJ102" s="46" t="s">
        <v>496</v>
      </c>
      <c r="AK102" s="244" t="s">
        <v>496</v>
      </c>
      <c r="AL102" s="244" t="s">
        <v>496</v>
      </c>
      <c r="AM102" s="244" t="s">
        <v>496</v>
      </c>
      <c r="AN102" s="181" t="s">
        <v>496</v>
      </c>
      <c r="AO102" s="181" t="s">
        <v>496</v>
      </c>
      <c r="AP102" s="44" t="s">
        <v>496</v>
      </c>
      <c r="AQ102" s="48" t="s">
        <v>496</v>
      </c>
      <c r="AR102" s="48" t="s">
        <v>496</v>
      </c>
      <c r="AS102" s="48" t="s">
        <v>496</v>
      </c>
      <c r="AT102" s="139" t="s">
        <v>496</v>
      </c>
      <c r="AU102" s="246" t="s">
        <v>496</v>
      </c>
      <c r="AV102" s="165" t="s">
        <v>485</v>
      </c>
      <c r="AW102" s="85">
        <f>+Tabla4[[#This Row],[Programación  meta
I trimestre ]]</f>
        <v>1</v>
      </c>
      <c r="AX102" s="84">
        <f>+Tabla4[[#This Row],[Avance cuantitativo
I trimestre]]</f>
        <v>1</v>
      </c>
      <c r="AY102" s="86">
        <f t="shared" si="8"/>
        <v>1</v>
      </c>
      <c r="AZ102" s="89" t="s">
        <v>503</v>
      </c>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row>
    <row r="103" spans="1:81" s="141" customFormat="1" x14ac:dyDescent="0.2">
      <c r="A103" s="180"/>
      <c r="B103" s="174" t="s">
        <v>209</v>
      </c>
      <c r="C103" s="170" t="s">
        <v>18</v>
      </c>
      <c r="D103" s="170" t="s">
        <v>134</v>
      </c>
      <c r="E103" s="170" t="s">
        <v>50</v>
      </c>
      <c r="F103" s="170" t="s">
        <v>165</v>
      </c>
      <c r="G103" s="71" t="s">
        <v>93</v>
      </c>
      <c r="H103" s="71" t="s">
        <v>137</v>
      </c>
      <c r="I103" s="71" t="s">
        <v>25</v>
      </c>
      <c r="J103" s="71" t="s">
        <v>138</v>
      </c>
      <c r="K103" s="71" t="s">
        <v>362</v>
      </c>
      <c r="L103" s="71" t="s">
        <v>252</v>
      </c>
      <c r="M103" s="71" t="s">
        <v>225</v>
      </c>
      <c r="N103" s="47">
        <v>89</v>
      </c>
      <c r="O103" s="71" t="s">
        <v>1046</v>
      </c>
      <c r="P103" s="48">
        <v>1</v>
      </c>
      <c r="Q103" s="49">
        <f>(+Y103+AE103+AK103+AQ103)/4</f>
        <v>1</v>
      </c>
      <c r="R103" s="45" t="s">
        <v>30</v>
      </c>
      <c r="S103" s="71" t="s">
        <v>1047</v>
      </c>
      <c r="T103" s="71" t="s">
        <v>588</v>
      </c>
      <c r="U103" s="212">
        <v>44562</v>
      </c>
      <c r="V103" s="212">
        <v>44592</v>
      </c>
      <c r="W103" s="71" t="s">
        <v>121</v>
      </c>
      <c r="X103" s="71" t="s">
        <v>589</v>
      </c>
      <c r="Y103" s="48">
        <v>1</v>
      </c>
      <c r="Z103" s="48">
        <v>1</v>
      </c>
      <c r="AA103" s="58">
        <f t="shared" si="9"/>
        <v>1</v>
      </c>
      <c r="AB103" s="60" t="s">
        <v>1048</v>
      </c>
      <c r="AC103" s="175" t="s">
        <v>511</v>
      </c>
      <c r="AD103" s="71" t="s">
        <v>589</v>
      </c>
      <c r="AE103" s="48">
        <v>1</v>
      </c>
      <c r="AF103" s="49">
        <v>1</v>
      </c>
      <c r="AG103" s="49">
        <f t="shared" si="7"/>
        <v>1</v>
      </c>
      <c r="AH103" s="104" t="s">
        <v>1049</v>
      </c>
      <c r="AI103" s="170" t="s">
        <v>511</v>
      </c>
      <c r="AJ103" s="71" t="s">
        <v>589</v>
      </c>
      <c r="AK103" s="48">
        <v>1</v>
      </c>
      <c r="AL103" s="48">
        <v>1</v>
      </c>
      <c r="AM103" s="25">
        <f>+(Tabla4[[#This Row],[Avance cuantitativo
III trimestre]]/Tabla4[[#This Row],[Programación  meta
III trimestre ]])*100%</f>
        <v>1</v>
      </c>
      <c r="AN103" s="104" t="s">
        <v>1049</v>
      </c>
      <c r="AO103" s="170" t="s">
        <v>511</v>
      </c>
      <c r="AP103" s="71" t="s">
        <v>589</v>
      </c>
      <c r="AQ103" s="109">
        <v>1</v>
      </c>
      <c r="AR103" s="92">
        <v>1</v>
      </c>
      <c r="AS103" s="159">
        <f>(+Tabla4[[#This Row],[Programación  meta
IV trimestre ]]/AR103)</f>
        <v>1</v>
      </c>
      <c r="AT103" s="104" t="s">
        <v>1049</v>
      </c>
      <c r="AU103" s="28" t="s">
        <v>502</v>
      </c>
      <c r="AV103" s="165" t="s">
        <v>485</v>
      </c>
      <c r="AW103" s="87">
        <f>+(Tabla4[[#This Row],[Programación  meta
I trimestre ]]+Tabla4[[#This Row],[Programación  meta
II trimestre ]]+Tabla4[[#This Row],[Programación  meta
III trimestre ]]+Tabla4[[#This Row],[Programación  meta
IV trimestre ]])/4</f>
        <v>1</v>
      </c>
      <c r="AX103" s="86">
        <f>+(Tabla4[[#This Row],[Avance cuantitativo
I trimestre]]+Tabla4[[#This Row],[Avance cuantitativo
II trimestre]]+Tabla4[[#This Row],[Avance cuantitativo
III trimestre]]+AR103)/4</f>
        <v>1</v>
      </c>
      <c r="AY103" s="86">
        <f t="shared" si="8"/>
        <v>1</v>
      </c>
      <c r="AZ103" s="89" t="s">
        <v>503</v>
      </c>
      <c r="BA103" s="180"/>
      <c r="BB103" s="180"/>
      <c r="BC103" s="180"/>
      <c r="BD103" s="180"/>
      <c r="BE103" s="180"/>
      <c r="BF103" s="180"/>
      <c r="BG103" s="180"/>
      <c r="BH103" s="180"/>
      <c r="BI103" s="180"/>
      <c r="BJ103" s="180"/>
      <c r="BK103" s="180"/>
      <c r="BL103" s="180"/>
      <c r="BM103" s="180"/>
      <c r="BN103" s="180"/>
      <c r="BO103" s="180"/>
      <c r="BP103" s="180"/>
      <c r="BQ103" s="180"/>
      <c r="BR103" s="180"/>
      <c r="BS103" s="180"/>
      <c r="BT103" s="180"/>
      <c r="BU103" s="180"/>
      <c r="BV103" s="180"/>
      <c r="BW103" s="180"/>
      <c r="BX103" s="180"/>
      <c r="BY103" s="180"/>
      <c r="BZ103" s="180"/>
      <c r="CA103" s="180"/>
      <c r="CB103" s="180"/>
      <c r="CC103" s="180"/>
    </row>
    <row r="104" spans="1:81" s="141" customFormat="1" x14ac:dyDescent="0.2">
      <c r="A104" s="173"/>
      <c r="B104" s="174" t="s">
        <v>320</v>
      </c>
      <c r="C104" s="170" t="s">
        <v>48</v>
      </c>
      <c r="D104" s="170" t="s">
        <v>174</v>
      </c>
      <c r="E104" s="170" t="s">
        <v>547</v>
      </c>
      <c r="F104" s="170" t="s">
        <v>1050</v>
      </c>
      <c r="G104" s="170" t="s">
        <v>186</v>
      </c>
      <c r="H104" s="170" t="s">
        <v>720</v>
      </c>
      <c r="I104" s="170" t="s">
        <v>25</v>
      </c>
      <c r="J104" s="170" t="s">
        <v>106</v>
      </c>
      <c r="K104" s="170" t="s">
        <v>328</v>
      </c>
      <c r="L104" s="170" t="s">
        <v>252</v>
      </c>
      <c r="M104" s="170" t="s">
        <v>225</v>
      </c>
      <c r="N104" s="47">
        <v>90</v>
      </c>
      <c r="O104" s="170" t="s">
        <v>1051</v>
      </c>
      <c r="P104" s="47">
        <v>4</v>
      </c>
      <c r="Q104" s="47">
        <f>+Y104+AE104+AK104+AQ104</f>
        <v>4</v>
      </c>
      <c r="R104" s="47" t="s">
        <v>45</v>
      </c>
      <c r="S104" s="170" t="s">
        <v>1052</v>
      </c>
      <c r="T104" s="170" t="s">
        <v>1053</v>
      </c>
      <c r="U104" s="213">
        <v>44562</v>
      </c>
      <c r="V104" s="47" t="s">
        <v>495</v>
      </c>
      <c r="W104" s="170" t="s">
        <v>172</v>
      </c>
      <c r="X104" s="170" t="s">
        <v>1054</v>
      </c>
      <c r="Y104" s="47">
        <v>1</v>
      </c>
      <c r="Z104" s="47">
        <v>1</v>
      </c>
      <c r="AA104" s="58">
        <f t="shared" si="9"/>
        <v>1</v>
      </c>
      <c r="AB104" s="175" t="s">
        <v>1055</v>
      </c>
      <c r="AC104" s="175" t="s">
        <v>511</v>
      </c>
      <c r="AD104" s="170" t="s">
        <v>1056</v>
      </c>
      <c r="AE104" s="47">
        <v>1</v>
      </c>
      <c r="AF104" s="47">
        <v>1</v>
      </c>
      <c r="AG104" s="49">
        <f t="shared" si="7"/>
        <v>1</v>
      </c>
      <c r="AH104" s="104" t="s">
        <v>1057</v>
      </c>
      <c r="AI104" s="170" t="s">
        <v>511</v>
      </c>
      <c r="AJ104" s="170" t="s">
        <v>1058</v>
      </c>
      <c r="AK104" s="47">
        <v>1</v>
      </c>
      <c r="AL104" s="45">
        <v>1</v>
      </c>
      <c r="AM104" s="25">
        <f>+(Tabla4[[#This Row],[Avance cuantitativo
III trimestre]]/Tabla4[[#This Row],[Programación  meta
III trimestre ]])*100%</f>
        <v>1</v>
      </c>
      <c r="AN104" s="110" t="s">
        <v>1059</v>
      </c>
      <c r="AO104" s="170" t="s">
        <v>511</v>
      </c>
      <c r="AP104" s="170" t="s">
        <v>1060</v>
      </c>
      <c r="AQ104" s="103">
        <v>1</v>
      </c>
      <c r="AR104" s="37">
        <v>1</v>
      </c>
      <c r="AS104" s="159">
        <f>(+Tabla4[[#This Row],[Programación  meta
IV trimestre ]]/AR104)</f>
        <v>1</v>
      </c>
      <c r="AT104" s="99" t="s">
        <v>1061</v>
      </c>
      <c r="AU104" s="28" t="s">
        <v>502</v>
      </c>
      <c r="AV104" s="165" t="s">
        <v>485</v>
      </c>
      <c r="AW104" s="85">
        <f>+Tabla4[[#This Row],[Programación  meta
I trimestre ]]+Tabla4[[#This Row],[Programación  meta
II trimestre ]]+Tabla4[[#This Row],[Programación  meta
III trimestre ]]+Tabla4[[#This Row],[Programación  meta
IV trimestre ]]</f>
        <v>4</v>
      </c>
      <c r="AX104" s="84">
        <f>+Tabla4[[#This Row],[Avance cuantitativo
I trimestre]]+Tabla4[[#This Row],[Avance cuantitativo
II trimestre]]+Tabla4[[#This Row],[Avance cuantitativo
III trimestre]]+AR104</f>
        <v>4</v>
      </c>
      <c r="AY104" s="86">
        <f t="shared" si="8"/>
        <v>1</v>
      </c>
      <c r="AZ104" s="89" t="s">
        <v>503</v>
      </c>
      <c r="BA104" s="173"/>
      <c r="BB104" s="176"/>
      <c r="BC104" s="176"/>
      <c r="BD104" s="176"/>
      <c r="BE104" s="176"/>
      <c r="BF104" s="176"/>
      <c r="BG104" s="176"/>
      <c r="BH104" s="176"/>
      <c r="BI104" s="176"/>
      <c r="BJ104" s="176"/>
      <c r="BK104" s="176"/>
      <c r="BL104" s="176"/>
      <c r="BM104" s="176"/>
      <c r="BN104" s="176"/>
      <c r="BO104" s="176"/>
      <c r="BP104" s="176"/>
      <c r="BQ104" s="176"/>
      <c r="BR104" s="176"/>
      <c r="BS104" s="176"/>
      <c r="BT104" s="176"/>
      <c r="BU104" s="176"/>
      <c r="BV104" s="176"/>
      <c r="BW104" s="176"/>
      <c r="BX104" s="176"/>
      <c r="BY104" s="176"/>
      <c r="BZ104" s="176"/>
      <c r="CA104" s="176"/>
      <c r="CB104" s="176"/>
      <c r="CC104" s="176"/>
    </row>
    <row r="105" spans="1:81" s="141" customFormat="1" x14ac:dyDescent="0.2">
      <c r="A105" s="179"/>
      <c r="B105" s="174" t="s">
        <v>320</v>
      </c>
      <c r="C105" s="170" t="s">
        <v>48</v>
      </c>
      <c r="D105" s="170" t="s">
        <v>174</v>
      </c>
      <c r="E105" s="170" t="s">
        <v>547</v>
      </c>
      <c r="F105" s="170" t="s">
        <v>1062</v>
      </c>
      <c r="G105" s="170" t="s">
        <v>229</v>
      </c>
      <c r="H105" s="170" t="s">
        <v>720</v>
      </c>
      <c r="I105" s="170" t="s">
        <v>25</v>
      </c>
      <c r="J105" s="170" t="s">
        <v>106</v>
      </c>
      <c r="K105" s="170" t="s">
        <v>328</v>
      </c>
      <c r="L105" s="170" t="s">
        <v>257</v>
      </c>
      <c r="M105" s="170" t="s">
        <v>225</v>
      </c>
      <c r="N105" s="47">
        <v>91</v>
      </c>
      <c r="O105" s="170" t="s">
        <v>1063</v>
      </c>
      <c r="P105" s="49">
        <v>1</v>
      </c>
      <c r="Q105" s="49">
        <f>(+Y105+AE105+AK105+AQ105)/4</f>
        <v>1</v>
      </c>
      <c r="R105" s="47" t="s">
        <v>30</v>
      </c>
      <c r="S105" s="170" t="s">
        <v>1064</v>
      </c>
      <c r="T105" s="170" t="s">
        <v>1065</v>
      </c>
      <c r="U105" s="213">
        <v>44562</v>
      </c>
      <c r="V105" s="47" t="s">
        <v>495</v>
      </c>
      <c r="W105" s="170" t="s">
        <v>172</v>
      </c>
      <c r="X105" s="170" t="s">
        <v>1066</v>
      </c>
      <c r="Y105" s="49">
        <v>1</v>
      </c>
      <c r="Z105" s="49">
        <v>1</v>
      </c>
      <c r="AA105" s="58">
        <f t="shared" si="9"/>
        <v>1</v>
      </c>
      <c r="AB105" s="175" t="s">
        <v>1067</v>
      </c>
      <c r="AC105" s="175" t="s">
        <v>511</v>
      </c>
      <c r="AD105" s="170" t="s">
        <v>1068</v>
      </c>
      <c r="AE105" s="49">
        <v>1</v>
      </c>
      <c r="AF105" s="49">
        <v>1</v>
      </c>
      <c r="AG105" s="49">
        <f t="shared" si="7"/>
        <v>1</v>
      </c>
      <c r="AH105" s="175" t="s">
        <v>1069</v>
      </c>
      <c r="AI105" s="170" t="s">
        <v>511</v>
      </c>
      <c r="AJ105" s="170" t="s">
        <v>1070</v>
      </c>
      <c r="AK105" s="49">
        <v>1</v>
      </c>
      <c r="AL105" s="48">
        <v>1</v>
      </c>
      <c r="AM105" s="25">
        <f>+(Tabla4[[#This Row],[Avance cuantitativo
III trimestre]]/Tabla4[[#This Row],[Programación  meta
III trimestre ]])*100%</f>
        <v>1</v>
      </c>
      <c r="AN105" s="62" t="s">
        <v>1071</v>
      </c>
      <c r="AO105" s="170" t="s">
        <v>511</v>
      </c>
      <c r="AP105" s="170" t="s">
        <v>1072</v>
      </c>
      <c r="AQ105" s="64">
        <v>1</v>
      </c>
      <c r="AR105" s="92">
        <v>1</v>
      </c>
      <c r="AS105" s="159">
        <f>(+Tabla4[[#This Row],[Programación  meta
IV trimestre ]]/AR105)</f>
        <v>1</v>
      </c>
      <c r="AT105" s="250" t="s">
        <v>1073</v>
      </c>
      <c r="AU105" s="28" t="s">
        <v>502</v>
      </c>
      <c r="AV105" s="165" t="s">
        <v>485</v>
      </c>
      <c r="AW105" s="87">
        <f>+(Tabla4[[#This Row],[Programación  meta
I trimestre ]]+Tabla4[[#This Row],[Programación  meta
II trimestre ]]+Tabla4[[#This Row],[Programación  meta
III trimestre ]]+Tabla4[[#This Row],[Programación  meta
IV trimestre ]])/4</f>
        <v>1</v>
      </c>
      <c r="AX105" s="86">
        <f>+(Tabla4[[#This Row],[Avance cuantitativo
I trimestre]]+Tabla4[[#This Row],[Avance cuantitativo
II trimestre]]+Tabla4[[#This Row],[Avance cuantitativo
III trimestre]]+AR105)/4</f>
        <v>1</v>
      </c>
      <c r="AY105" s="86">
        <f t="shared" si="8"/>
        <v>1</v>
      </c>
      <c r="AZ105" s="89" t="s">
        <v>503</v>
      </c>
      <c r="BA105" s="179"/>
      <c r="BB105" s="176"/>
      <c r="BC105" s="176"/>
      <c r="BD105" s="176"/>
      <c r="BE105" s="176"/>
      <c r="BF105" s="176"/>
      <c r="BG105" s="176"/>
      <c r="BH105" s="176"/>
      <c r="BI105" s="176"/>
      <c r="BJ105" s="176"/>
      <c r="BK105" s="176"/>
      <c r="BL105" s="176"/>
      <c r="BM105" s="176"/>
      <c r="BN105" s="176"/>
      <c r="BO105" s="176"/>
      <c r="BP105" s="176"/>
      <c r="BQ105" s="176"/>
      <c r="BR105" s="176"/>
      <c r="BS105" s="176"/>
      <c r="BT105" s="176"/>
      <c r="BU105" s="176"/>
      <c r="BV105" s="176"/>
      <c r="BW105" s="176"/>
      <c r="BX105" s="176"/>
      <c r="BY105" s="176"/>
      <c r="BZ105" s="176"/>
      <c r="CA105" s="176"/>
      <c r="CB105" s="176"/>
      <c r="CC105" s="176"/>
    </row>
    <row r="106" spans="1:81" s="141" customFormat="1" x14ac:dyDescent="0.2">
      <c r="A106" s="179"/>
      <c r="B106" s="174" t="s">
        <v>320</v>
      </c>
      <c r="C106" s="170" t="s">
        <v>48</v>
      </c>
      <c r="D106" s="170" t="s">
        <v>174</v>
      </c>
      <c r="E106" s="170" t="s">
        <v>547</v>
      </c>
      <c r="F106" s="170" t="s">
        <v>1074</v>
      </c>
      <c r="G106" s="170" t="s">
        <v>146</v>
      </c>
      <c r="H106" s="170" t="s">
        <v>212</v>
      </c>
      <c r="I106" s="170" t="s">
        <v>25</v>
      </c>
      <c r="J106" s="170" t="s">
        <v>106</v>
      </c>
      <c r="K106" s="170" t="s">
        <v>325</v>
      </c>
      <c r="L106" s="170" t="s">
        <v>1075</v>
      </c>
      <c r="M106" s="170" t="s">
        <v>233</v>
      </c>
      <c r="N106" s="47">
        <v>92</v>
      </c>
      <c r="O106" s="170" t="s">
        <v>1076</v>
      </c>
      <c r="P106" s="47">
        <v>4</v>
      </c>
      <c r="Q106" s="47">
        <f>+Y106+AE106+AK106+AQ106</f>
        <v>4</v>
      </c>
      <c r="R106" s="47" t="s">
        <v>45</v>
      </c>
      <c r="S106" s="170" t="s">
        <v>1077</v>
      </c>
      <c r="T106" s="170" t="s">
        <v>1078</v>
      </c>
      <c r="U106" s="213">
        <v>44562</v>
      </c>
      <c r="V106" s="47" t="s">
        <v>495</v>
      </c>
      <c r="W106" s="170" t="s">
        <v>172</v>
      </c>
      <c r="X106" s="170" t="s">
        <v>1079</v>
      </c>
      <c r="Y106" s="47">
        <v>1</v>
      </c>
      <c r="Z106" s="47">
        <v>1</v>
      </c>
      <c r="AA106" s="58">
        <f t="shared" si="9"/>
        <v>1</v>
      </c>
      <c r="AB106" s="175" t="s">
        <v>1080</v>
      </c>
      <c r="AC106" s="175" t="s">
        <v>499</v>
      </c>
      <c r="AD106" s="170" t="s">
        <v>1081</v>
      </c>
      <c r="AE106" s="47">
        <v>1</v>
      </c>
      <c r="AF106" s="47">
        <v>1</v>
      </c>
      <c r="AG106" s="49">
        <f t="shared" si="7"/>
        <v>1</v>
      </c>
      <c r="AH106" s="170" t="s">
        <v>1082</v>
      </c>
      <c r="AI106" s="170" t="s">
        <v>511</v>
      </c>
      <c r="AJ106" s="170" t="s">
        <v>1083</v>
      </c>
      <c r="AK106" s="47">
        <v>1</v>
      </c>
      <c r="AL106" s="45">
        <v>1</v>
      </c>
      <c r="AM106" s="25">
        <f>+(Tabla4[[#This Row],[Avance cuantitativo
III trimestre]]/Tabla4[[#This Row],[Programación  meta
III trimestre ]])*100%</f>
        <v>1</v>
      </c>
      <c r="AN106" s="110" t="s">
        <v>1084</v>
      </c>
      <c r="AO106" s="170" t="s">
        <v>511</v>
      </c>
      <c r="AP106" s="170" t="s">
        <v>1085</v>
      </c>
      <c r="AQ106" s="103">
        <v>1</v>
      </c>
      <c r="AR106" s="37">
        <v>1</v>
      </c>
      <c r="AS106" s="159">
        <f>(+Tabla4[[#This Row],[Programación  meta
IV trimestre ]]/AR106)</f>
        <v>1</v>
      </c>
      <c r="AT106" s="250" t="s">
        <v>1086</v>
      </c>
      <c r="AU106" s="28" t="s">
        <v>502</v>
      </c>
      <c r="AV106" s="165" t="s">
        <v>485</v>
      </c>
      <c r="AW106" s="85">
        <f>+Tabla4[[#This Row],[Programación  meta
I trimestre ]]+Tabla4[[#This Row],[Programación  meta
II trimestre ]]+Tabla4[[#This Row],[Programación  meta
III trimestre ]]+Tabla4[[#This Row],[Programación  meta
IV trimestre ]]</f>
        <v>4</v>
      </c>
      <c r="AX106" s="84">
        <f>+Tabla4[[#This Row],[Avance cuantitativo
I trimestre]]+Tabla4[[#This Row],[Avance cuantitativo
II trimestre]]+Tabla4[[#This Row],[Avance cuantitativo
III trimestre]]+AR106</f>
        <v>4</v>
      </c>
      <c r="AY106" s="86">
        <f t="shared" si="8"/>
        <v>1</v>
      </c>
      <c r="AZ106" s="89" t="s">
        <v>503</v>
      </c>
      <c r="BA106" s="179"/>
      <c r="BB106" s="176"/>
      <c r="BC106" s="176"/>
      <c r="BD106" s="176"/>
      <c r="BE106" s="176"/>
      <c r="BF106" s="176"/>
      <c r="BG106" s="176"/>
      <c r="BH106" s="176"/>
      <c r="BI106" s="176"/>
      <c r="BJ106" s="176"/>
      <c r="BK106" s="176"/>
      <c r="BL106" s="176"/>
      <c r="BM106" s="176"/>
      <c r="BN106" s="176"/>
      <c r="BO106" s="176"/>
      <c r="BP106" s="176"/>
      <c r="BQ106" s="176"/>
      <c r="BR106" s="176"/>
      <c r="BS106" s="176"/>
      <c r="BT106" s="176"/>
      <c r="BU106" s="176"/>
      <c r="BV106" s="176"/>
      <c r="BW106" s="176"/>
      <c r="BX106" s="176"/>
      <c r="BY106" s="176"/>
      <c r="BZ106" s="176"/>
      <c r="CA106" s="176"/>
      <c r="CB106" s="176"/>
      <c r="CC106" s="176"/>
    </row>
    <row r="107" spans="1:81" s="141" customFormat="1" x14ac:dyDescent="0.2">
      <c r="A107" s="179"/>
      <c r="B107" s="174" t="s">
        <v>320</v>
      </c>
      <c r="C107" s="170" t="s">
        <v>48</v>
      </c>
      <c r="D107" s="170" t="s">
        <v>174</v>
      </c>
      <c r="E107" s="170" t="s">
        <v>547</v>
      </c>
      <c r="F107" s="170" t="s">
        <v>1087</v>
      </c>
      <c r="G107" s="170" t="s">
        <v>556</v>
      </c>
      <c r="H107" s="170" t="s">
        <v>557</v>
      </c>
      <c r="I107" s="170" t="s">
        <v>25</v>
      </c>
      <c r="J107" s="170" t="s">
        <v>106</v>
      </c>
      <c r="K107" s="170" t="s">
        <v>325</v>
      </c>
      <c r="L107" s="170" t="s">
        <v>257</v>
      </c>
      <c r="M107" s="170" t="s">
        <v>225</v>
      </c>
      <c r="N107" s="47">
        <v>93</v>
      </c>
      <c r="O107" s="170" t="s">
        <v>1088</v>
      </c>
      <c r="P107" s="49">
        <v>1</v>
      </c>
      <c r="Q107" s="49">
        <f>(+Y107+AE107+AK107+AQ107)/4</f>
        <v>1</v>
      </c>
      <c r="R107" s="47" t="s">
        <v>30</v>
      </c>
      <c r="S107" s="170" t="s">
        <v>1089</v>
      </c>
      <c r="T107" s="170" t="s">
        <v>1090</v>
      </c>
      <c r="U107" s="213">
        <v>44562</v>
      </c>
      <c r="V107" s="47" t="s">
        <v>495</v>
      </c>
      <c r="W107" s="170" t="s">
        <v>172</v>
      </c>
      <c r="X107" s="170" t="s">
        <v>1091</v>
      </c>
      <c r="Y107" s="49">
        <v>1</v>
      </c>
      <c r="Z107" s="49">
        <v>1</v>
      </c>
      <c r="AA107" s="58">
        <f t="shared" si="9"/>
        <v>1</v>
      </c>
      <c r="AB107" s="175" t="s">
        <v>1092</v>
      </c>
      <c r="AC107" s="175" t="s">
        <v>511</v>
      </c>
      <c r="AD107" s="170" t="s">
        <v>1091</v>
      </c>
      <c r="AE107" s="49">
        <v>1</v>
      </c>
      <c r="AF107" s="49">
        <v>1</v>
      </c>
      <c r="AG107" s="49">
        <f t="shared" si="7"/>
        <v>1</v>
      </c>
      <c r="AH107" s="175" t="s">
        <v>1093</v>
      </c>
      <c r="AI107" s="170" t="s">
        <v>511</v>
      </c>
      <c r="AJ107" s="170" t="s">
        <v>1091</v>
      </c>
      <c r="AK107" s="49">
        <v>1</v>
      </c>
      <c r="AL107" s="48">
        <v>1</v>
      </c>
      <c r="AM107" s="25">
        <f>+(Tabla4[[#This Row],[Avance cuantitativo
III trimestre]]/Tabla4[[#This Row],[Programación  meta
III trimestre ]])*100%</f>
        <v>1</v>
      </c>
      <c r="AN107" s="62" t="s">
        <v>1094</v>
      </c>
      <c r="AO107" s="170" t="s">
        <v>511</v>
      </c>
      <c r="AP107" s="170" t="s">
        <v>1091</v>
      </c>
      <c r="AQ107" s="64">
        <v>1</v>
      </c>
      <c r="AR107" s="92">
        <v>1</v>
      </c>
      <c r="AS107" s="159">
        <f>(+Tabla4[[#This Row],[Programación  meta
IV trimestre ]]/AR107)</f>
        <v>1</v>
      </c>
      <c r="AT107" s="93" t="s">
        <v>1095</v>
      </c>
      <c r="AU107" s="28" t="s">
        <v>502</v>
      </c>
      <c r="AV107" s="165" t="s">
        <v>485</v>
      </c>
      <c r="AW107" s="87">
        <f>+(Tabla4[[#This Row],[Programación  meta
I trimestre ]]+Tabla4[[#This Row],[Programación  meta
II trimestre ]]+Tabla4[[#This Row],[Programación  meta
III trimestre ]]+Tabla4[[#This Row],[Programación  meta
IV trimestre ]])/4</f>
        <v>1</v>
      </c>
      <c r="AX107" s="86">
        <f>+(Tabla4[[#This Row],[Avance cuantitativo
I trimestre]]+Tabla4[[#This Row],[Avance cuantitativo
II trimestre]]+Tabla4[[#This Row],[Avance cuantitativo
III trimestre]]+AR107)/4</f>
        <v>1</v>
      </c>
      <c r="AY107" s="86">
        <f t="shared" si="8"/>
        <v>1</v>
      </c>
      <c r="AZ107" s="89" t="s">
        <v>503</v>
      </c>
      <c r="BA107" s="179"/>
      <c r="BB107" s="176"/>
      <c r="BC107" s="176"/>
      <c r="BD107" s="176"/>
      <c r="BE107" s="176"/>
      <c r="BF107" s="176"/>
      <c r="BG107" s="176"/>
      <c r="BH107" s="176"/>
      <c r="BI107" s="176"/>
      <c r="BJ107" s="176"/>
      <c r="BK107" s="176"/>
      <c r="BL107" s="176"/>
      <c r="BM107" s="176"/>
      <c r="BN107" s="176"/>
      <c r="BO107" s="176"/>
      <c r="BP107" s="176"/>
      <c r="BQ107" s="176"/>
      <c r="BR107" s="176"/>
      <c r="BS107" s="176"/>
      <c r="BT107" s="176"/>
      <c r="BU107" s="176"/>
      <c r="BV107" s="176"/>
      <c r="BW107" s="176"/>
      <c r="BX107" s="176"/>
      <c r="BY107" s="176"/>
      <c r="BZ107" s="176"/>
      <c r="CA107" s="176"/>
      <c r="CB107" s="176"/>
      <c r="CC107" s="176"/>
    </row>
    <row r="108" spans="1:81" s="712" customFormat="1" x14ac:dyDescent="0.2">
      <c r="A108" s="694"/>
      <c r="B108" s="695" t="s">
        <v>320</v>
      </c>
      <c r="C108" s="696" t="s">
        <v>48</v>
      </c>
      <c r="D108" s="696" t="s">
        <v>174</v>
      </c>
      <c r="E108" s="696" t="s">
        <v>50</v>
      </c>
      <c r="F108" s="696" t="s">
        <v>1096</v>
      </c>
      <c r="G108" s="696" t="s">
        <v>93</v>
      </c>
      <c r="H108" s="696" t="s">
        <v>69</v>
      </c>
      <c r="I108" s="696" t="s">
        <v>25</v>
      </c>
      <c r="J108" s="696" t="s">
        <v>106</v>
      </c>
      <c r="K108" s="696" t="s">
        <v>331</v>
      </c>
      <c r="L108" s="696" t="s">
        <v>257</v>
      </c>
      <c r="M108" s="696" t="s">
        <v>225</v>
      </c>
      <c r="N108" s="697">
        <v>94</v>
      </c>
      <c r="O108" s="696" t="s">
        <v>1097</v>
      </c>
      <c r="P108" s="697">
        <v>3</v>
      </c>
      <c r="Q108" s="47" t="e">
        <f>+Y108+AE108+AK108+AQ108</f>
        <v>#VALUE!</v>
      </c>
      <c r="R108" s="697" t="s">
        <v>1098</v>
      </c>
      <c r="S108" s="696" t="s">
        <v>1099</v>
      </c>
      <c r="T108" s="696" t="s">
        <v>1100</v>
      </c>
      <c r="U108" s="698">
        <v>44562</v>
      </c>
      <c r="V108" s="697" t="s">
        <v>495</v>
      </c>
      <c r="W108" s="696" t="s">
        <v>172</v>
      </c>
      <c r="X108" s="699" t="s">
        <v>496</v>
      </c>
      <c r="Y108" s="697">
        <v>0</v>
      </c>
      <c r="Z108" s="697">
        <v>1</v>
      </c>
      <c r="AA108" s="697" t="s">
        <v>504</v>
      </c>
      <c r="AB108" s="700" t="s">
        <v>1101</v>
      </c>
      <c r="AC108" s="701" t="s">
        <v>496</v>
      </c>
      <c r="AD108" s="696" t="s">
        <v>1102</v>
      </c>
      <c r="AE108" s="697">
        <v>1</v>
      </c>
      <c r="AF108" s="697">
        <v>1</v>
      </c>
      <c r="AG108" s="702">
        <f t="shared" si="7"/>
        <v>1</v>
      </c>
      <c r="AH108" s="696" t="s">
        <v>1103</v>
      </c>
      <c r="AI108" s="696" t="s">
        <v>511</v>
      </c>
      <c r="AJ108" s="696" t="s">
        <v>496</v>
      </c>
      <c r="AK108" s="703" t="s">
        <v>496</v>
      </c>
      <c r="AL108" s="703" t="s">
        <v>496</v>
      </c>
      <c r="AM108" s="703" t="s">
        <v>496</v>
      </c>
      <c r="AN108" s="701" t="s">
        <v>496</v>
      </c>
      <c r="AO108" s="696" t="s">
        <v>496</v>
      </c>
      <c r="AP108" s="696" t="s">
        <v>1102</v>
      </c>
      <c r="AQ108" s="692">
        <v>2</v>
      </c>
      <c r="AR108" s="689">
        <v>1</v>
      </c>
      <c r="AS108" s="687">
        <f>+AR108/Tabla4[[#This Row],[Programación  meta
IV trimestre ]]</f>
        <v>0.5</v>
      </c>
      <c r="AT108" s="704" t="s">
        <v>1104</v>
      </c>
      <c r="AU108" s="705" t="s">
        <v>502</v>
      </c>
      <c r="AV108" s="706" t="s">
        <v>485</v>
      </c>
      <c r="AW108" s="707">
        <f>+Tabla4[[#This Row],[Programación  meta
I trimestre ]]+Tabla4[[#This Row],[Programación  meta
II trimestre ]]+Tabla4[[#This Row],[Programación  meta
IV trimestre ]]</f>
        <v>3</v>
      </c>
      <c r="AX108" s="708">
        <f>+Tabla4[[#This Row],[Avance cuantitativo
I trimestre]]+Tabla4[[#This Row],[Avance cuantitativo
II trimestre]]+AR108</f>
        <v>3</v>
      </c>
      <c r="AY108" s="709">
        <f t="shared" si="8"/>
        <v>1</v>
      </c>
      <c r="AZ108" s="710" t="s">
        <v>503</v>
      </c>
      <c r="BA108" s="694"/>
      <c r="BB108" s="711"/>
      <c r="BC108" s="711"/>
      <c r="BD108" s="711"/>
      <c r="BE108" s="711"/>
      <c r="BF108" s="711"/>
      <c r="BG108" s="711"/>
      <c r="BH108" s="711"/>
      <c r="BI108" s="711"/>
      <c r="BJ108" s="711"/>
      <c r="BK108" s="711"/>
      <c r="BL108" s="711"/>
      <c r="BM108" s="711"/>
      <c r="BN108" s="711"/>
      <c r="BO108" s="711"/>
      <c r="BP108" s="711"/>
      <c r="BQ108" s="711"/>
      <c r="BR108" s="711"/>
      <c r="BS108" s="711"/>
      <c r="BT108" s="711"/>
      <c r="BU108" s="711"/>
      <c r="BV108" s="711"/>
      <c r="BW108" s="711"/>
      <c r="BX108" s="711"/>
      <c r="BY108" s="711"/>
      <c r="BZ108" s="711"/>
      <c r="CA108" s="711"/>
      <c r="CB108" s="711"/>
      <c r="CC108" s="711"/>
    </row>
    <row r="109" spans="1:81" s="141" customFormat="1" x14ac:dyDescent="0.2">
      <c r="A109" s="179"/>
      <c r="B109" s="174" t="s">
        <v>320</v>
      </c>
      <c r="C109" s="170" t="s">
        <v>48</v>
      </c>
      <c r="D109" s="170" t="s">
        <v>174</v>
      </c>
      <c r="E109" s="170" t="s">
        <v>547</v>
      </c>
      <c r="F109" s="170" t="s">
        <v>1087</v>
      </c>
      <c r="G109" s="170" t="s">
        <v>211</v>
      </c>
      <c r="H109" s="170" t="s">
        <v>212</v>
      </c>
      <c r="I109" s="170" t="s">
        <v>25</v>
      </c>
      <c r="J109" s="170" t="s">
        <v>106</v>
      </c>
      <c r="K109" s="170" t="s">
        <v>318</v>
      </c>
      <c r="L109" s="170" t="s">
        <v>257</v>
      </c>
      <c r="M109" s="170" t="s">
        <v>225</v>
      </c>
      <c r="N109" s="47">
        <v>95</v>
      </c>
      <c r="O109" s="170" t="s">
        <v>1105</v>
      </c>
      <c r="P109" s="49">
        <v>1</v>
      </c>
      <c r="Q109" s="203">
        <f>(+Y109+AE109+AK109+AQ109)/4</f>
        <v>1</v>
      </c>
      <c r="R109" s="47" t="s">
        <v>30</v>
      </c>
      <c r="S109" s="170" t="s">
        <v>1106</v>
      </c>
      <c r="T109" s="170" t="s">
        <v>1107</v>
      </c>
      <c r="U109" s="213">
        <v>44562</v>
      </c>
      <c r="V109" s="47" t="s">
        <v>495</v>
      </c>
      <c r="W109" s="170" t="s">
        <v>172</v>
      </c>
      <c r="X109" s="170" t="s">
        <v>1108</v>
      </c>
      <c r="Y109" s="49">
        <v>1</v>
      </c>
      <c r="Z109" s="58">
        <v>0.99250000000000005</v>
      </c>
      <c r="AA109" s="58">
        <f t="shared" ref="AA109:AA114" si="10">(Z109/Y109)</f>
        <v>0.99250000000000005</v>
      </c>
      <c r="AB109" s="110" t="s">
        <v>1109</v>
      </c>
      <c r="AC109" s="170" t="s">
        <v>511</v>
      </c>
      <c r="AD109" s="170" t="s">
        <v>1110</v>
      </c>
      <c r="AE109" s="49">
        <v>1</v>
      </c>
      <c r="AF109" s="49">
        <v>1</v>
      </c>
      <c r="AG109" s="49">
        <f t="shared" si="7"/>
        <v>1</v>
      </c>
      <c r="AH109" s="170" t="s">
        <v>1111</v>
      </c>
      <c r="AI109" s="170" t="s">
        <v>511</v>
      </c>
      <c r="AJ109" s="170" t="s">
        <v>1112</v>
      </c>
      <c r="AK109" s="49">
        <v>1</v>
      </c>
      <c r="AL109" s="48">
        <v>1</v>
      </c>
      <c r="AM109" s="25">
        <f>+(Tabla4[[#This Row],[Avance cuantitativo
III trimestre]]/Tabla4[[#This Row],[Programación  meta
III trimestre ]])*100%</f>
        <v>1</v>
      </c>
      <c r="AN109" s="110" t="s">
        <v>1113</v>
      </c>
      <c r="AO109" s="170" t="s">
        <v>511</v>
      </c>
      <c r="AP109" s="170" t="s">
        <v>1114</v>
      </c>
      <c r="AQ109" s="64">
        <v>1</v>
      </c>
      <c r="AR109" s="92">
        <v>1</v>
      </c>
      <c r="AS109" s="159">
        <f>(+Tabla4[[#This Row],[Programación  meta
IV trimestre ]]/AR109)</f>
        <v>1</v>
      </c>
      <c r="AT109" s="99" t="s">
        <v>1115</v>
      </c>
      <c r="AU109" s="28" t="s">
        <v>502</v>
      </c>
      <c r="AV109" s="165" t="s">
        <v>485</v>
      </c>
      <c r="AW109" s="87">
        <f>+(Tabla4[[#This Row],[Programación  meta
I trimestre ]]+Tabla4[[#This Row],[Programación  meta
II trimestre ]]+Tabla4[[#This Row],[Programación  meta
III trimestre ]]+Tabla4[[#This Row],[Programación  meta
IV trimestre ]])/4</f>
        <v>1</v>
      </c>
      <c r="AX109" s="86">
        <f>+(Tabla4[[#This Row],[Avance cuantitativo
I trimestre]]+Tabla4[[#This Row],[Avance cuantitativo
II trimestre]]+Tabla4[[#This Row],[Avance cuantitativo
III trimestre]]+AR109)/4</f>
        <v>0.99812500000000004</v>
      </c>
      <c r="AY109" s="86">
        <f t="shared" si="8"/>
        <v>0.99812500000000004</v>
      </c>
      <c r="AZ109" s="89" t="s">
        <v>503</v>
      </c>
      <c r="BA109" s="179"/>
      <c r="BB109" s="176"/>
      <c r="BC109" s="176"/>
      <c r="BD109" s="176"/>
      <c r="BE109" s="176"/>
      <c r="BF109" s="176"/>
      <c r="BG109" s="176"/>
      <c r="BH109" s="176"/>
      <c r="BI109" s="176"/>
      <c r="BJ109" s="176"/>
      <c r="BK109" s="176"/>
      <c r="BL109" s="176"/>
      <c r="BM109" s="176"/>
      <c r="BN109" s="176"/>
      <c r="BO109" s="176"/>
      <c r="BP109" s="176"/>
      <c r="BQ109" s="176"/>
      <c r="BR109" s="176"/>
      <c r="BS109" s="176"/>
      <c r="BT109" s="176"/>
      <c r="BU109" s="176"/>
      <c r="BV109" s="176"/>
      <c r="BW109" s="176"/>
      <c r="BX109" s="176"/>
      <c r="BY109" s="176"/>
      <c r="BZ109" s="176"/>
      <c r="CA109" s="176"/>
      <c r="CB109" s="176"/>
      <c r="CC109" s="176"/>
    </row>
    <row r="110" spans="1:81" s="176" customFormat="1" x14ac:dyDescent="0.2">
      <c r="A110" s="179"/>
      <c r="B110" s="174" t="s">
        <v>320</v>
      </c>
      <c r="C110" s="170" t="s">
        <v>48</v>
      </c>
      <c r="D110" s="170" t="s">
        <v>174</v>
      </c>
      <c r="E110" s="170" t="s">
        <v>91</v>
      </c>
      <c r="F110" s="170" t="s">
        <v>1116</v>
      </c>
      <c r="G110" s="170" t="s">
        <v>68</v>
      </c>
      <c r="H110" s="170" t="s">
        <v>212</v>
      </c>
      <c r="I110" s="170" t="s">
        <v>25</v>
      </c>
      <c r="J110" s="170" t="s">
        <v>106</v>
      </c>
      <c r="K110" s="170" t="s">
        <v>325</v>
      </c>
      <c r="L110" s="170" t="s">
        <v>215</v>
      </c>
      <c r="M110" s="170" t="s">
        <v>225</v>
      </c>
      <c r="N110" s="47">
        <v>96</v>
      </c>
      <c r="O110" s="170" t="s">
        <v>1117</v>
      </c>
      <c r="P110" s="47">
        <v>12</v>
      </c>
      <c r="Q110" s="47">
        <f>+Y110+AE110+AK110+AQ110</f>
        <v>12</v>
      </c>
      <c r="R110" s="47" t="s">
        <v>45</v>
      </c>
      <c r="S110" s="170" t="s">
        <v>1118</v>
      </c>
      <c r="T110" s="170" t="s">
        <v>1119</v>
      </c>
      <c r="U110" s="213">
        <v>44562</v>
      </c>
      <c r="V110" s="47" t="s">
        <v>495</v>
      </c>
      <c r="W110" s="170" t="s">
        <v>172</v>
      </c>
      <c r="X110" s="170" t="s">
        <v>1120</v>
      </c>
      <c r="Y110" s="47">
        <v>3</v>
      </c>
      <c r="Z110" s="47">
        <v>3</v>
      </c>
      <c r="AA110" s="58">
        <f t="shared" si="10"/>
        <v>1</v>
      </c>
      <c r="AB110" s="62" t="s">
        <v>1121</v>
      </c>
      <c r="AC110" s="175" t="s">
        <v>511</v>
      </c>
      <c r="AD110" s="170" t="s">
        <v>1122</v>
      </c>
      <c r="AE110" s="47">
        <v>3</v>
      </c>
      <c r="AF110" s="47">
        <v>3</v>
      </c>
      <c r="AG110" s="49">
        <f t="shared" si="7"/>
        <v>1</v>
      </c>
      <c r="AH110" s="62" t="s">
        <v>1123</v>
      </c>
      <c r="AI110" s="170" t="s">
        <v>511</v>
      </c>
      <c r="AJ110" s="170" t="s">
        <v>1124</v>
      </c>
      <c r="AK110" s="47">
        <v>3</v>
      </c>
      <c r="AL110" s="237">
        <v>3</v>
      </c>
      <c r="AM110" s="25">
        <f>+(Tabla4[[#This Row],[Avance cuantitativo
III trimestre]]/Tabla4[[#This Row],[Programación  meta
III trimestre ]])*100%</f>
        <v>1</v>
      </c>
      <c r="AN110" s="62" t="s">
        <v>1125</v>
      </c>
      <c r="AO110" s="170" t="s">
        <v>511</v>
      </c>
      <c r="AP110" s="170" t="s">
        <v>1126</v>
      </c>
      <c r="AQ110" s="103">
        <v>3</v>
      </c>
      <c r="AR110" s="37">
        <v>3</v>
      </c>
      <c r="AS110" s="159">
        <f>(+Tabla4[[#This Row],[Programación  meta
IV trimestre ]]/AR110)</f>
        <v>1</v>
      </c>
      <c r="AT110" s="93" t="s">
        <v>1127</v>
      </c>
      <c r="AU110" s="28" t="s">
        <v>502</v>
      </c>
      <c r="AV110" s="165" t="s">
        <v>485</v>
      </c>
      <c r="AW110" s="85">
        <f>+Tabla4[[#This Row],[Programación  meta
I trimestre ]]+Tabla4[[#This Row],[Programación  meta
II trimestre ]]+Tabla4[[#This Row],[Programación  meta
III trimestre ]]+Tabla4[[#This Row],[Programación  meta
IV trimestre ]]</f>
        <v>12</v>
      </c>
      <c r="AX110" s="84">
        <f>+Tabla4[[#This Row],[Avance cuantitativo
I trimestre]]+Tabla4[[#This Row],[Avance cuantitativo
II trimestre]]+Tabla4[[#This Row],[Avance cuantitativo
III trimestre]]+AR110</f>
        <v>12</v>
      </c>
      <c r="AY110" s="86">
        <f t="shared" si="8"/>
        <v>1</v>
      </c>
      <c r="AZ110" s="89" t="s">
        <v>503</v>
      </c>
      <c r="BA110" s="179"/>
    </row>
    <row r="111" spans="1:81" s="180" customFormat="1" x14ac:dyDescent="0.2">
      <c r="A111" s="179"/>
      <c r="B111" s="174" t="s">
        <v>320</v>
      </c>
      <c r="C111" s="170" t="s">
        <v>48</v>
      </c>
      <c r="D111" s="170" t="s">
        <v>174</v>
      </c>
      <c r="E111" s="170" t="s">
        <v>547</v>
      </c>
      <c r="F111" s="170" t="s">
        <v>1128</v>
      </c>
      <c r="G111" s="170" t="s">
        <v>186</v>
      </c>
      <c r="H111" s="170" t="s">
        <v>212</v>
      </c>
      <c r="I111" s="170" t="s">
        <v>25</v>
      </c>
      <c r="J111" s="170" t="s">
        <v>106</v>
      </c>
      <c r="K111" s="170" t="s">
        <v>325</v>
      </c>
      <c r="L111" s="170" t="s">
        <v>257</v>
      </c>
      <c r="M111" s="170" t="s">
        <v>233</v>
      </c>
      <c r="N111" s="47">
        <v>97</v>
      </c>
      <c r="O111" s="170" t="s">
        <v>1129</v>
      </c>
      <c r="P111" s="47">
        <v>5</v>
      </c>
      <c r="Q111" s="47">
        <f>+Y111+AE111+AK111+AQ111</f>
        <v>5</v>
      </c>
      <c r="R111" s="47" t="s">
        <v>45</v>
      </c>
      <c r="S111" s="170" t="s">
        <v>1130</v>
      </c>
      <c r="T111" s="170" t="s">
        <v>1131</v>
      </c>
      <c r="U111" s="213">
        <v>44562</v>
      </c>
      <c r="V111" s="47" t="s">
        <v>495</v>
      </c>
      <c r="W111" s="170" t="s">
        <v>172</v>
      </c>
      <c r="X111" s="170" t="s">
        <v>1132</v>
      </c>
      <c r="Y111" s="47">
        <v>2</v>
      </c>
      <c r="Z111" s="47">
        <v>2</v>
      </c>
      <c r="AA111" s="58">
        <f t="shared" si="10"/>
        <v>1</v>
      </c>
      <c r="AB111" s="62" t="s">
        <v>1133</v>
      </c>
      <c r="AC111" s="175" t="s">
        <v>511</v>
      </c>
      <c r="AD111" s="170" t="s">
        <v>1134</v>
      </c>
      <c r="AE111" s="49">
        <v>1</v>
      </c>
      <c r="AF111" s="49">
        <v>1</v>
      </c>
      <c r="AG111" s="49">
        <f t="shared" ref="AG111:AG142" si="11">(AF111/AE111)</f>
        <v>1</v>
      </c>
      <c r="AH111" s="62" t="s">
        <v>1135</v>
      </c>
      <c r="AI111" s="170" t="s">
        <v>511</v>
      </c>
      <c r="AJ111" s="170" t="s">
        <v>1136</v>
      </c>
      <c r="AK111" s="47">
        <v>1</v>
      </c>
      <c r="AL111" s="74">
        <v>1</v>
      </c>
      <c r="AM111" s="25">
        <f>+(Tabla4[[#This Row],[Avance cuantitativo
III trimestre]]/Tabla4[[#This Row],[Programación  meta
III trimestre ]])*100%</f>
        <v>1</v>
      </c>
      <c r="AN111" s="62" t="s">
        <v>1137</v>
      </c>
      <c r="AO111" s="170" t="s">
        <v>511</v>
      </c>
      <c r="AP111" s="170" t="s">
        <v>1138</v>
      </c>
      <c r="AQ111" s="103">
        <v>1</v>
      </c>
      <c r="AR111" s="37">
        <v>1</v>
      </c>
      <c r="AS111" s="159">
        <f>(+Tabla4[[#This Row],[Programación  meta
IV trimestre ]]/AR111)</f>
        <v>1</v>
      </c>
      <c r="AT111" s="250" t="s">
        <v>1139</v>
      </c>
      <c r="AU111" s="28" t="s">
        <v>502</v>
      </c>
      <c r="AV111" s="165" t="s">
        <v>485</v>
      </c>
      <c r="AW111" s="85">
        <f>+Tabla4[[#This Row],[Programación  meta
I trimestre ]]+Tabla4[[#This Row],[Programación  meta
II trimestre ]]+Tabla4[[#This Row],[Programación  meta
III trimestre ]]+Tabla4[[#This Row],[Programación  meta
IV trimestre ]]</f>
        <v>5</v>
      </c>
      <c r="AX111" s="84">
        <f>+Tabla4[[#This Row],[Avance cuantitativo
I trimestre]]+Tabla4[[#This Row],[Avance cuantitativo
II trimestre]]+Tabla4[[#This Row],[Avance cuantitativo
III trimestre]]+AR111</f>
        <v>5</v>
      </c>
      <c r="AY111" s="86">
        <f t="shared" si="8"/>
        <v>1</v>
      </c>
      <c r="AZ111" s="89" t="s">
        <v>503</v>
      </c>
      <c r="BA111" s="179"/>
      <c r="BB111" s="176"/>
      <c r="BC111" s="176"/>
      <c r="BD111" s="176"/>
      <c r="BE111" s="176"/>
      <c r="BF111" s="176"/>
      <c r="BG111" s="176"/>
      <c r="BH111" s="176"/>
      <c r="BI111" s="176"/>
      <c r="BJ111" s="176"/>
      <c r="BK111" s="176"/>
      <c r="BL111" s="176"/>
      <c r="BM111" s="176"/>
      <c r="BN111" s="176"/>
      <c r="BO111" s="176"/>
      <c r="BP111" s="176"/>
      <c r="BQ111" s="176"/>
      <c r="BR111" s="176"/>
      <c r="BS111" s="176"/>
      <c r="BT111" s="176"/>
      <c r="BU111" s="176"/>
      <c r="BV111" s="176"/>
      <c r="BW111" s="176"/>
      <c r="BX111" s="176"/>
      <c r="BY111" s="176"/>
      <c r="BZ111" s="176"/>
      <c r="CA111" s="176"/>
      <c r="CB111" s="176"/>
      <c r="CC111" s="176"/>
    </row>
    <row r="112" spans="1:81" s="188" customFormat="1" x14ac:dyDescent="0.2">
      <c r="A112" s="185"/>
      <c r="B112" s="186" t="s">
        <v>320</v>
      </c>
      <c r="C112" s="175" t="s">
        <v>48</v>
      </c>
      <c r="D112" s="175" t="s">
        <v>174</v>
      </c>
      <c r="E112" s="175" t="s">
        <v>547</v>
      </c>
      <c r="F112" s="175" t="s">
        <v>1140</v>
      </c>
      <c r="G112" s="175" t="s">
        <v>186</v>
      </c>
      <c r="H112" s="175" t="s">
        <v>212</v>
      </c>
      <c r="I112" s="175" t="s">
        <v>25</v>
      </c>
      <c r="J112" s="175" t="s">
        <v>106</v>
      </c>
      <c r="K112" s="175" t="s">
        <v>325</v>
      </c>
      <c r="L112" s="175" t="s">
        <v>257</v>
      </c>
      <c r="M112" s="175" t="s">
        <v>225</v>
      </c>
      <c r="N112" s="75">
        <v>98</v>
      </c>
      <c r="O112" s="175" t="s">
        <v>1141</v>
      </c>
      <c r="P112" s="74">
        <v>1</v>
      </c>
      <c r="Q112" s="49">
        <f>(+Y112+AE112+AK112+AQ112)/4</f>
        <v>1</v>
      </c>
      <c r="R112" s="75" t="s">
        <v>30</v>
      </c>
      <c r="S112" s="175" t="s">
        <v>1142</v>
      </c>
      <c r="T112" s="170" t="s">
        <v>1143</v>
      </c>
      <c r="U112" s="216">
        <v>44562</v>
      </c>
      <c r="V112" s="75" t="s">
        <v>495</v>
      </c>
      <c r="W112" s="175" t="s">
        <v>172</v>
      </c>
      <c r="X112" s="175" t="s">
        <v>1144</v>
      </c>
      <c r="Y112" s="49">
        <v>1</v>
      </c>
      <c r="Z112" s="49">
        <v>0.94</v>
      </c>
      <c r="AA112" s="225">
        <f t="shared" si="10"/>
        <v>0.94</v>
      </c>
      <c r="AB112" s="62" t="s">
        <v>1145</v>
      </c>
      <c r="AC112" s="175" t="s">
        <v>511</v>
      </c>
      <c r="AD112" s="175" t="s">
        <v>1146</v>
      </c>
      <c r="AE112" s="74">
        <v>1</v>
      </c>
      <c r="AF112" s="49">
        <v>1</v>
      </c>
      <c r="AG112" s="49">
        <f t="shared" si="11"/>
        <v>1</v>
      </c>
      <c r="AH112" s="62" t="s">
        <v>1147</v>
      </c>
      <c r="AI112" s="170" t="s">
        <v>511</v>
      </c>
      <c r="AJ112" s="175" t="s">
        <v>1148</v>
      </c>
      <c r="AK112" s="74">
        <v>1</v>
      </c>
      <c r="AL112" s="74">
        <v>1</v>
      </c>
      <c r="AM112" s="25">
        <f>+(Tabla4[[#This Row],[Avance cuantitativo
III trimestre]]/Tabla4[[#This Row],[Programación  meta
III trimestre ]])*100%</f>
        <v>1</v>
      </c>
      <c r="AN112" s="62" t="s">
        <v>1149</v>
      </c>
      <c r="AO112" s="170" t="s">
        <v>511</v>
      </c>
      <c r="AP112" s="170" t="s">
        <v>1150</v>
      </c>
      <c r="AQ112" s="113">
        <v>1</v>
      </c>
      <c r="AR112" s="92">
        <v>1</v>
      </c>
      <c r="AS112" s="159">
        <f>(+Tabla4[[#This Row],[Programación  meta
IV trimestre ]]/AR112)</f>
        <v>1</v>
      </c>
      <c r="AT112" s="250" t="s">
        <v>1151</v>
      </c>
      <c r="AU112" s="28" t="s">
        <v>502</v>
      </c>
      <c r="AV112" s="165" t="s">
        <v>485</v>
      </c>
      <c r="AW112" s="87">
        <f>+(Tabla4[[#This Row],[Programación  meta
I trimestre ]]+Tabla4[[#This Row],[Programación  meta
II trimestre ]]+Tabla4[[#This Row],[Programación  meta
III trimestre ]]+Tabla4[[#This Row],[Programación  meta
IV trimestre ]])/4</f>
        <v>1</v>
      </c>
      <c r="AX112" s="86">
        <f>+(Tabla4[[#This Row],[Avance cuantitativo
I trimestre]]+Tabla4[[#This Row],[Avance cuantitativo
II trimestre]]+Tabla4[[#This Row],[Avance cuantitativo
III trimestre]]+AR112)/4</f>
        <v>0.98499999999999999</v>
      </c>
      <c r="AY112" s="86">
        <f t="shared" si="8"/>
        <v>0.98499999999999999</v>
      </c>
      <c r="AZ112" s="171" t="s">
        <v>1152</v>
      </c>
      <c r="BA112" s="185"/>
      <c r="BB112" s="187"/>
      <c r="BC112" s="187"/>
      <c r="BD112" s="187"/>
      <c r="BE112" s="187"/>
      <c r="BF112" s="187"/>
      <c r="BG112" s="187"/>
      <c r="BH112" s="187"/>
      <c r="BI112" s="187"/>
      <c r="BJ112" s="187"/>
      <c r="BK112" s="187"/>
      <c r="BL112" s="187"/>
      <c r="BM112" s="187"/>
      <c r="BN112" s="187"/>
      <c r="BO112" s="187"/>
      <c r="BP112" s="187"/>
      <c r="BQ112" s="187"/>
      <c r="BR112" s="187"/>
      <c r="BS112" s="187"/>
      <c r="BT112" s="187"/>
      <c r="BU112" s="187"/>
      <c r="BV112" s="187"/>
      <c r="BW112" s="187"/>
      <c r="BX112" s="187"/>
      <c r="BY112" s="187"/>
      <c r="BZ112" s="187"/>
      <c r="CA112" s="187"/>
      <c r="CB112" s="187"/>
      <c r="CC112" s="187"/>
    </row>
    <row r="113" spans="1:81" s="34" customFormat="1" x14ac:dyDescent="0.2">
      <c r="A113" s="35"/>
      <c r="B113" s="94" t="s">
        <v>320</v>
      </c>
      <c r="C113" s="57" t="s">
        <v>48</v>
      </c>
      <c r="D113" s="57" t="s">
        <v>174</v>
      </c>
      <c r="E113" s="57" t="s">
        <v>547</v>
      </c>
      <c r="F113" s="57" t="s">
        <v>1153</v>
      </c>
      <c r="G113" s="57" t="s">
        <v>104</v>
      </c>
      <c r="H113" s="57" t="s">
        <v>212</v>
      </c>
      <c r="I113" s="57" t="s">
        <v>55</v>
      </c>
      <c r="J113" s="57" t="s">
        <v>1154</v>
      </c>
      <c r="K113" s="57" t="s">
        <v>325</v>
      </c>
      <c r="L113" s="57" t="s">
        <v>1155</v>
      </c>
      <c r="M113" s="57" t="s">
        <v>225</v>
      </c>
      <c r="N113" s="79">
        <v>99</v>
      </c>
      <c r="O113" s="57" t="s">
        <v>1156</v>
      </c>
      <c r="P113" s="79">
        <v>3</v>
      </c>
      <c r="Q113" s="75" t="e">
        <f>+Y113+AE113+AK113+AQ113</f>
        <v>#VALUE!</v>
      </c>
      <c r="R113" s="79" t="s">
        <v>45</v>
      </c>
      <c r="S113" s="57" t="s">
        <v>1157</v>
      </c>
      <c r="T113" s="57" t="s">
        <v>1158</v>
      </c>
      <c r="U113" s="217">
        <v>44562</v>
      </c>
      <c r="V113" s="79" t="s">
        <v>495</v>
      </c>
      <c r="W113" s="57" t="s">
        <v>172</v>
      </c>
      <c r="X113" s="57" t="s">
        <v>1159</v>
      </c>
      <c r="Y113" s="79">
        <v>1</v>
      </c>
      <c r="Z113" s="79">
        <v>1</v>
      </c>
      <c r="AA113" s="80">
        <f t="shared" si="10"/>
        <v>1</v>
      </c>
      <c r="AB113" s="62" t="s">
        <v>1160</v>
      </c>
      <c r="AC113" s="61" t="s">
        <v>511</v>
      </c>
      <c r="AD113" s="57" t="s">
        <v>1161</v>
      </c>
      <c r="AE113" s="79">
        <v>1</v>
      </c>
      <c r="AF113" s="95">
        <v>1</v>
      </c>
      <c r="AG113" s="74">
        <f t="shared" si="11"/>
        <v>1</v>
      </c>
      <c r="AH113" s="189" t="s">
        <v>1162</v>
      </c>
      <c r="AI113" s="61" t="s">
        <v>511</v>
      </c>
      <c r="AJ113" s="57" t="s">
        <v>1163</v>
      </c>
      <c r="AK113" s="79">
        <v>1</v>
      </c>
      <c r="AL113" s="96">
        <v>1</v>
      </c>
      <c r="AM113" s="101">
        <f>+(Tabla4[[#This Row],[Avance cuantitativo
III trimestre]]/Tabla4[[#This Row],[Programación  meta
III trimestre ]])*100%</f>
        <v>1</v>
      </c>
      <c r="AN113" s="93" t="s">
        <v>1164</v>
      </c>
      <c r="AO113" s="26" t="s">
        <v>511</v>
      </c>
      <c r="AP113" s="44" t="s">
        <v>496</v>
      </c>
      <c r="AQ113" s="48" t="s">
        <v>496</v>
      </c>
      <c r="AR113" s="48" t="s">
        <v>496</v>
      </c>
      <c r="AS113" s="48" t="s">
        <v>496</v>
      </c>
      <c r="AT113" s="139" t="s">
        <v>496</v>
      </c>
      <c r="AU113" s="246" t="s">
        <v>496</v>
      </c>
      <c r="AV113" s="165" t="s">
        <v>485</v>
      </c>
      <c r="AW113" s="97">
        <f>+Tabla4[[#This Row],[Programación  meta
I trimestre ]]+Tabla4[[#This Row],[Programación  meta
II trimestre ]]+Tabla4[[#This Row],[Programación  meta
III trimestre ]]</f>
        <v>3</v>
      </c>
      <c r="AX113" s="257">
        <f>+Tabla4[[#This Row],[Avance cuantitativo
I trimestre]]+Tabla4[[#This Row],[Avance cuantitativo
II trimestre]]+Tabla4[[#This Row],[Avance cuantitativo
III trimestre]]</f>
        <v>3</v>
      </c>
      <c r="AY113" s="98">
        <f t="shared" si="8"/>
        <v>1</v>
      </c>
      <c r="AZ113" s="89" t="s">
        <v>503</v>
      </c>
      <c r="BA113" s="35"/>
      <c r="BB113" s="36"/>
      <c r="BC113" s="36"/>
      <c r="BD113" s="36"/>
      <c r="BE113" s="36"/>
      <c r="BF113" s="36"/>
      <c r="BG113" s="36"/>
      <c r="BH113" s="36"/>
      <c r="BI113" s="36"/>
      <c r="BJ113" s="36"/>
      <c r="BK113" s="36"/>
      <c r="BL113" s="36"/>
      <c r="BM113" s="36"/>
      <c r="BN113" s="36"/>
      <c r="BO113" s="36"/>
      <c r="BP113" s="36"/>
      <c r="BQ113" s="36"/>
      <c r="BR113" s="36"/>
      <c r="BS113" s="36"/>
      <c r="BT113" s="36"/>
      <c r="BU113" s="36"/>
      <c r="BV113" s="36"/>
      <c r="BW113" s="36"/>
      <c r="BX113" s="36"/>
      <c r="BY113" s="36"/>
      <c r="BZ113" s="36"/>
      <c r="CA113" s="36"/>
      <c r="CB113" s="36"/>
      <c r="CC113" s="36"/>
    </row>
    <row r="114" spans="1:81" s="180" customFormat="1" x14ac:dyDescent="0.2">
      <c r="B114" s="174" t="s">
        <v>320</v>
      </c>
      <c r="C114" s="170" t="s">
        <v>48</v>
      </c>
      <c r="D114" s="71" t="s">
        <v>174</v>
      </c>
      <c r="E114" s="71" t="s">
        <v>102</v>
      </c>
      <c r="F114" s="71" t="s">
        <v>336</v>
      </c>
      <c r="G114" s="71" t="s">
        <v>186</v>
      </c>
      <c r="H114" s="71" t="s">
        <v>79</v>
      </c>
      <c r="I114" s="71" t="s">
        <v>55</v>
      </c>
      <c r="J114" s="71" t="s">
        <v>106</v>
      </c>
      <c r="K114" s="71" t="s">
        <v>402</v>
      </c>
      <c r="L114" s="71" t="s">
        <v>252</v>
      </c>
      <c r="M114" s="170" t="s">
        <v>225</v>
      </c>
      <c r="N114" s="47">
        <v>100</v>
      </c>
      <c r="O114" s="71" t="s">
        <v>1165</v>
      </c>
      <c r="P114" s="48">
        <v>1</v>
      </c>
      <c r="Q114" s="49">
        <f>(+Y114+AE114+AK114+AQ114)/4</f>
        <v>1</v>
      </c>
      <c r="R114" s="45" t="s">
        <v>30</v>
      </c>
      <c r="S114" s="71" t="s">
        <v>1166</v>
      </c>
      <c r="T114" s="71" t="s">
        <v>588</v>
      </c>
      <c r="U114" s="212">
        <v>44562</v>
      </c>
      <c r="V114" s="212">
        <v>44926</v>
      </c>
      <c r="W114" s="71" t="s">
        <v>172</v>
      </c>
      <c r="X114" s="71" t="s">
        <v>589</v>
      </c>
      <c r="Y114" s="48">
        <v>1</v>
      </c>
      <c r="Z114" s="48">
        <v>0.5</v>
      </c>
      <c r="AA114" s="58">
        <f t="shared" si="10"/>
        <v>0.5</v>
      </c>
      <c r="AB114" s="71" t="s">
        <v>1167</v>
      </c>
      <c r="AC114" s="175" t="s">
        <v>511</v>
      </c>
      <c r="AD114" s="71" t="s">
        <v>589</v>
      </c>
      <c r="AE114" s="48">
        <v>1</v>
      </c>
      <c r="AF114" s="49">
        <v>1</v>
      </c>
      <c r="AG114" s="49">
        <f t="shared" si="11"/>
        <v>1</v>
      </c>
      <c r="AH114" s="104" t="s">
        <v>1168</v>
      </c>
      <c r="AI114" s="170" t="s">
        <v>511</v>
      </c>
      <c r="AJ114" s="71" t="s">
        <v>589</v>
      </c>
      <c r="AK114" s="48">
        <v>1</v>
      </c>
      <c r="AL114" s="48">
        <v>1</v>
      </c>
      <c r="AM114" s="25">
        <f>+(Tabla4[[#This Row],[Avance cuantitativo
III trimestre]]/Tabla4[[#This Row],[Programación  meta
III trimestre ]])*100%</f>
        <v>1</v>
      </c>
      <c r="AN114" s="104" t="s">
        <v>1169</v>
      </c>
      <c r="AO114" s="170" t="s">
        <v>511</v>
      </c>
      <c r="AP114" s="71" t="s">
        <v>589</v>
      </c>
      <c r="AQ114" s="109">
        <v>1</v>
      </c>
      <c r="AR114" s="92">
        <v>1</v>
      </c>
      <c r="AS114" s="159">
        <f>(+Tabla4[[#This Row],[Programación  meta
IV trimestre ]]/AR114)</f>
        <v>1</v>
      </c>
      <c r="AT114" s="104" t="s">
        <v>1169</v>
      </c>
      <c r="AU114" s="28" t="s">
        <v>502</v>
      </c>
      <c r="AV114" s="165" t="s">
        <v>485</v>
      </c>
      <c r="AW114" s="87">
        <f>+(Tabla4[[#This Row],[Programación  meta
I trimestre ]]+Tabla4[[#This Row],[Programación  meta
II trimestre ]]+Tabla4[[#This Row],[Programación  meta
III trimestre ]]+Tabla4[[#This Row],[Programación  meta
IV trimestre ]])/4</f>
        <v>1</v>
      </c>
      <c r="AX114" s="86">
        <f>+(Tabla4[[#This Row],[Avance cuantitativo
I trimestre]]+Tabla4[[#This Row],[Avance cuantitativo
II trimestre]]+Tabla4[[#This Row],[Avance cuantitativo
III trimestre]]+AR114)/4</f>
        <v>0.875</v>
      </c>
      <c r="AY114" s="86">
        <f t="shared" si="8"/>
        <v>0.875</v>
      </c>
      <c r="AZ114" s="143" t="s">
        <v>1170</v>
      </c>
      <c r="BA114" s="180" t="s">
        <v>594</v>
      </c>
    </row>
    <row r="115" spans="1:81" s="30" customFormat="1" x14ac:dyDescent="0.2">
      <c r="B115" s="68" t="s">
        <v>308</v>
      </c>
      <c r="C115" s="46" t="s">
        <v>48</v>
      </c>
      <c r="D115" s="50" t="s">
        <v>595</v>
      </c>
      <c r="E115" s="46" t="s">
        <v>547</v>
      </c>
      <c r="F115" s="50" t="s">
        <v>1171</v>
      </c>
      <c r="G115" s="50" t="s">
        <v>23</v>
      </c>
      <c r="H115" s="50" t="s">
        <v>137</v>
      </c>
      <c r="I115" s="50" t="s">
        <v>25</v>
      </c>
      <c r="J115" s="50" t="s">
        <v>138</v>
      </c>
      <c r="K115" s="50" t="s">
        <v>363</v>
      </c>
      <c r="L115" s="50" t="s">
        <v>43</v>
      </c>
      <c r="M115" s="50" t="s">
        <v>225</v>
      </c>
      <c r="N115" s="47">
        <v>101</v>
      </c>
      <c r="O115" s="50" t="s">
        <v>1172</v>
      </c>
      <c r="P115" s="72">
        <v>1</v>
      </c>
      <c r="Q115" s="25">
        <f>+AK115</f>
        <v>1</v>
      </c>
      <c r="R115" s="53" t="s">
        <v>60</v>
      </c>
      <c r="S115" s="50" t="s">
        <v>1173</v>
      </c>
      <c r="T115" s="50" t="s">
        <v>1174</v>
      </c>
      <c r="U115" s="215">
        <v>44562</v>
      </c>
      <c r="V115" s="215">
        <v>44834</v>
      </c>
      <c r="W115" s="50" t="s">
        <v>152</v>
      </c>
      <c r="X115" s="50" t="s">
        <v>496</v>
      </c>
      <c r="Y115" s="72">
        <v>0</v>
      </c>
      <c r="Z115" s="77">
        <v>1</v>
      </c>
      <c r="AA115" s="53"/>
      <c r="AB115" s="78" t="s">
        <v>1175</v>
      </c>
      <c r="AC115" s="71" t="s">
        <v>496</v>
      </c>
      <c r="AD115" s="50" t="s">
        <v>1176</v>
      </c>
      <c r="AE115" s="72">
        <v>0.5</v>
      </c>
      <c r="AF115" s="48">
        <v>0.5</v>
      </c>
      <c r="AG115" s="48">
        <f t="shared" si="11"/>
        <v>1</v>
      </c>
      <c r="AH115" s="50" t="s">
        <v>1177</v>
      </c>
      <c r="AI115" s="46" t="s">
        <v>511</v>
      </c>
      <c r="AJ115" s="50" t="s">
        <v>1178</v>
      </c>
      <c r="AK115" s="72">
        <v>1</v>
      </c>
      <c r="AL115" s="92">
        <v>1</v>
      </c>
      <c r="AM115" s="101">
        <f>+(Tabla4[[#This Row],[Avance cuantitativo
III trimestre]]/Tabla4[[#This Row],[Programación  meta
III trimestre ]])*100%</f>
        <v>1</v>
      </c>
      <c r="AN115" s="93" t="s">
        <v>1177</v>
      </c>
      <c r="AO115" s="26" t="s">
        <v>511</v>
      </c>
      <c r="AP115" s="54" t="s">
        <v>496</v>
      </c>
      <c r="AQ115" s="48" t="s">
        <v>496</v>
      </c>
      <c r="AR115" s="48" t="s">
        <v>496</v>
      </c>
      <c r="AS115" s="48" t="s">
        <v>496</v>
      </c>
      <c r="AT115" s="139" t="s">
        <v>496</v>
      </c>
      <c r="AU115" s="246" t="s">
        <v>496</v>
      </c>
      <c r="AV115" s="165" t="s">
        <v>485</v>
      </c>
      <c r="AW115" s="87">
        <f>+Tabla4[[#This Row],[Programación  meta
III trimestre ]]</f>
        <v>1</v>
      </c>
      <c r="AX115" s="86">
        <f>+Tabla4[[#This Row],[Avance cuantitativo
I trimestre]]</f>
        <v>1</v>
      </c>
      <c r="AY115" s="86">
        <f t="shared" si="8"/>
        <v>1</v>
      </c>
      <c r="AZ115" s="89" t="s">
        <v>503</v>
      </c>
    </row>
    <row r="116" spans="1:81" s="180" customFormat="1" x14ac:dyDescent="0.2">
      <c r="B116" s="138" t="s">
        <v>308</v>
      </c>
      <c r="C116" s="170" t="s">
        <v>48</v>
      </c>
      <c r="D116" s="71" t="s">
        <v>595</v>
      </c>
      <c r="E116" s="170" t="s">
        <v>547</v>
      </c>
      <c r="F116" s="71" t="s">
        <v>1171</v>
      </c>
      <c r="G116" s="71" t="s">
        <v>23</v>
      </c>
      <c r="H116" s="71" t="s">
        <v>137</v>
      </c>
      <c r="I116" s="71" t="s">
        <v>25</v>
      </c>
      <c r="J116" s="71" t="s">
        <v>138</v>
      </c>
      <c r="K116" s="71" t="s">
        <v>360</v>
      </c>
      <c r="L116" s="71" t="s">
        <v>58</v>
      </c>
      <c r="M116" s="104"/>
      <c r="N116" s="47">
        <v>102</v>
      </c>
      <c r="O116" s="71" t="s">
        <v>1179</v>
      </c>
      <c r="P116" s="48">
        <v>1</v>
      </c>
      <c r="Q116" s="49">
        <f t="shared" ref="Q116:Q121" si="12">(+Y116+AE116+AK116+AQ116)/4</f>
        <v>1</v>
      </c>
      <c r="R116" s="45" t="s">
        <v>30</v>
      </c>
      <c r="S116" s="71" t="s">
        <v>1180</v>
      </c>
      <c r="T116" s="71" t="s">
        <v>1181</v>
      </c>
      <c r="U116" s="212">
        <v>44562</v>
      </c>
      <c r="V116" s="212">
        <v>44926</v>
      </c>
      <c r="W116" s="71" t="s">
        <v>152</v>
      </c>
      <c r="X116" s="71" t="s">
        <v>1182</v>
      </c>
      <c r="Y116" s="48">
        <v>1</v>
      </c>
      <c r="Z116" s="226">
        <v>1</v>
      </c>
      <c r="AA116" s="59">
        <f t="shared" ref="AA116:AA120" si="13">(Z116/Y116)</f>
        <v>1</v>
      </c>
      <c r="AB116" s="114" t="s">
        <v>1183</v>
      </c>
      <c r="AC116" s="175" t="s">
        <v>511</v>
      </c>
      <c r="AD116" s="71" t="s">
        <v>1184</v>
      </c>
      <c r="AE116" s="48">
        <v>1</v>
      </c>
      <c r="AF116" s="48">
        <v>1</v>
      </c>
      <c r="AG116" s="48">
        <f t="shared" si="11"/>
        <v>1</v>
      </c>
      <c r="AH116" s="104" t="s">
        <v>1185</v>
      </c>
      <c r="AI116" s="170" t="s">
        <v>511</v>
      </c>
      <c r="AJ116" s="71" t="s">
        <v>1184</v>
      </c>
      <c r="AK116" s="48">
        <v>1</v>
      </c>
      <c r="AL116" s="48">
        <v>1</v>
      </c>
      <c r="AM116" s="25">
        <f>+(Tabla4[[#This Row],[Avance cuantitativo
III trimestre]]/Tabla4[[#This Row],[Programación  meta
III trimestre ]])*100%</f>
        <v>1</v>
      </c>
      <c r="AN116" s="62" t="s">
        <v>1186</v>
      </c>
      <c r="AO116" s="170" t="s">
        <v>511</v>
      </c>
      <c r="AP116" s="71" t="s">
        <v>1184</v>
      </c>
      <c r="AQ116" s="109">
        <v>1</v>
      </c>
      <c r="AR116" s="125">
        <v>1</v>
      </c>
      <c r="AS116" s="159">
        <f>(+Tabla4[[#This Row],[Programación  meta
IV trimestre ]]/AR116)</f>
        <v>1</v>
      </c>
      <c r="AT116" s="93" t="s">
        <v>1187</v>
      </c>
      <c r="AU116" s="28" t="s">
        <v>502</v>
      </c>
      <c r="AV116" s="165" t="s">
        <v>485</v>
      </c>
      <c r="AW116" s="87">
        <f>+(Tabla4[[#This Row],[Programación  meta
I trimestre ]]+Tabla4[[#This Row],[Programación  meta
II trimestre ]]+Tabla4[[#This Row],[Programación  meta
III trimestre ]]+Tabla4[[#This Row],[Programación  meta
IV trimestre ]])/4</f>
        <v>1</v>
      </c>
      <c r="AX116" s="86">
        <f>+(Tabla4[[#This Row],[Avance cuantitativo
I trimestre]]+Tabla4[[#This Row],[Avance cuantitativo
II trimestre]]+Tabla4[[#This Row],[Avance cuantitativo
III trimestre]]+AR116)/4</f>
        <v>1</v>
      </c>
      <c r="AY116" s="86">
        <f t="shared" si="8"/>
        <v>1</v>
      </c>
      <c r="AZ116" s="89" t="s">
        <v>503</v>
      </c>
    </row>
    <row r="117" spans="1:81" s="180" customFormat="1" x14ac:dyDescent="0.2">
      <c r="B117" s="138" t="s">
        <v>308</v>
      </c>
      <c r="C117" s="170" t="s">
        <v>48</v>
      </c>
      <c r="D117" s="71" t="s">
        <v>595</v>
      </c>
      <c r="E117" s="170" t="s">
        <v>547</v>
      </c>
      <c r="F117" s="71" t="s">
        <v>1171</v>
      </c>
      <c r="G117" s="71" t="s">
        <v>23</v>
      </c>
      <c r="H117" s="71" t="s">
        <v>137</v>
      </c>
      <c r="I117" s="71" t="s">
        <v>25</v>
      </c>
      <c r="J117" s="71" t="s">
        <v>138</v>
      </c>
      <c r="K117" s="71" t="s">
        <v>360</v>
      </c>
      <c r="L117" s="71" t="s">
        <v>72</v>
      </c>
      <c r="M117" s="71" t="s">
        <v>225</v>
      </c>
      <c r="N117" s="47">
        <v>103</v>
      </c>
      <c r="O117" s="71" t="s">
        <v>1188</v>
      </c>
      <c r="P117" s="48">
        <v>1</v>
      </c>
      <c r="Q117" s="49">
        <f t="shared" si="12"/>
        <v>1</v>
      </c>
      <c r="R117" s="45" t="s">
        <v>30</v>
      </c>
      <c r="S117" s="71" t="s">
        <v>1189</v>
      </c>
      <c r="T117" s="71" t="s">
        <v>1181</v>
      </c>
      <c r="U117" s="212">
        <v>44562</v>
      </c>
      <c r="V117" s="212">
        <v>44926</v>
      </c>
      <c r="W117" s="71" t="s">
        <v>152</v>
      </c>
      <c r="X117" s="71" t="s">
        <v>1182</v>
      </c>
      <c r="Y117" s="48">
        <v>1</v>
      </c>
      <c r="Z117" s="226">
        <v>1</v>
      </c>
      <c r="AA117" s="59">
        <f t="shared" si="13"/>
        <v>1</v>
      </c>
      <c r="AB117" s="114" t="s">
        <v>1190</v>
      </c>
      <c r="AC117" s="175" t="s">
        <v>511</v>
      </c>
      <c r="AD117" s="71" t="s">
        <v>1184</v>
      </c>
      <c r="AE117" s="48">
        <v>1</v>
      </c>
      <c r="AF117" s="48">
        <v>1</v>
      </c>
      <c r="AG117" s="48">
        <f t="shared" si="11"/>
        <v>1</v>
      </c>
      <c r="AH117" s="104" t="s">
        <v>1185</v>
      </c>
      <c r="AI117" s="170" t="s">
        <v>511</v>
      </c>
      <c r="AJ117" s="71" t="s">
        <v>1184</v>
      </c>
      <c r="AK117" s="48">
        <v>1</v>
      </c>
      <c r="AL117" s="48">
        <v>1</v>
      </c>
      <c r="AM117" s="25">
        <f>+(Tabla4[[#This Row],[Avance cuantitativo
III trimestre]]/Tabla4[[#This Row],[Programación  meta
III trimestre ]])*100%</f>
        <v>1</v>
      </c>
      <c r="AN117" s="115" t="s">
        <v>1186</v>
      </c>
      <c r="AO117" s="170" t="s">
        <v>511</v>
      </c>
      <c r="AP117" s="71" t="s">
        <v>1184</v>
      </c>
      <c r="AQ117" s="109">
        <v>1</v>
      </c>
      <c r="AR117" s="125">
        <v>1</v>
      </c>
      <c r="AS117" s="159">
        <f>(+Tabla4[[#This Row],[Programación  meta
IV trimestre ]]/AR117)</f>
        <v>1</v>
      </c>
      <c r="AT117" s="93" t="s">
        <v>1191</v>
      </c>
      <c r="AU117" s="28" t="s">
        <v>502</v>
      </c>
      <c r="AV117" s="165" t="s">
        <v>485</v>
      </c>
      <c r="AW117" s="87">
        <f>+(Tabla4[[#This Row],[Programación  meta
I trimestre ]]+Tabla4[[#This Row],[Programación  meta
II trimestre ]]+Tabla4[[#This Row],[Programación  meta
III trimestre ]]+Tabla4[[#This Row],[Programación  meta
IV trimestre ]])/4</f>
        <v>1</v>
      </c>
      <c r="AX117" s="86">
        <f>+(Tabla4[[#This Row],[Avance cuantitativo
I trimestre]]+Tabla4[[#This Row],[Avance cuantitativo
II trimestre]]+Tabla4[[#This Row],[Avance cuantitativo
III trimestre]]+AR117)/4</f>
        <v>1</v>
      </c>
      <c r="AY117" s="86">
        <f t="shared" si="8"/>
        <v>1</v>
      </c>
      <c r="AZ117" s="89" t="s">
        <v>503</v>
      </c>
    </row>
    <row r="118" spans="1:81" s="180" customFormat="1" ht="15" x14ac:dyDescent="0.2">
      <c r="B118" s="138" t="s">
        <v>308</v>
      </c>
      <c r="C118" s="170" t="s">
        <v>48</v>
      </c>
      <c r="D118" s="71" t="s">
        <v>595</v>
      </c>
      <c r="E118" s="170" t="s">
        <v>547</v>
      </c>
      <c r="F118" s="71" t="s">
        <v>1171</v>
      </c>
      <c r="G118" s="71" t="s">
        <v>23</v>
      </c>
      <c r="H118" s="71" t="s">
        <v>137</v>
      </c>
      <c r="I118" s="71" t="s">
        <v>25</v>
      </c>
      <c r="J118" s="71" t="s">
        <v>138</v>
      </c>
      <c r="K118" s="71" t="s">
        <v>363</v>
      </c>
      <c r="L118" s="71" t="s">
        <v>85</v>
      </c>
      <c r="M118" s="71" t="s">
        <v>225</v>
      </c>
      <c r="N118" s="47">
        <v>104</v>
      </c>
      <c r="O118" s="71" t="s">
        <v>1192</v>
      </c>
      <c r="P118" s="48">
        <v>1</v>
      </c>
      <c r="Q118" s="49">
        <f t="shared" si="12"/>
        <v>1</v>
      </c>
      <c r="R118" s="45" t="s">
        <v>30</v>
      </c>
      <c r="S118" s="71" t="s">
        <v>1193</v>
      </c>
      <c r="T118" s="71" t="s">
        <v>1194</v>
      </c>
      <c r="U118" s="212">
        <v>44562</v>
      </c>
      <c r="V118" s="212">
        <v>44926</v>
      </c>
      <c r="W118" s="71" t="s">
        <v>152</v>
      </c>
      <c r="X118" s="71" t="s">
        <v>1182</v>
      </c>
      <c r="Y118" s="48">
        <v>1</v>
      </c>
      <c r="Z118" s="226">
        <v>1</v>
      </c>
      <c r="AA118" s="59">
        <f t="shared" si="13"/>
        <v>1</v>
      </c>
      <c r="AB118" s="114" t="s">
        <v>1195</v>
      </c>
      <c r="AC118" s="175" t="s">
        <v>511</v>
      </c>
      <c r="AD118" s="71" t="s">
        <v>1184</v>
      </c>
      <c r="AE118" s="48">
        <v>1</v>
      </c>
      <c r="AF118" s="48">
        <v>1</v>
      </c>
      <c r="AG118" s="48">
        <f t="shared" si="11"/>
        <v>1</v>
      </c>
      <c r="AH118" s="104" t="s">
        <v>1196</v>
      </c>
      <c r="AI118" s="170" t="s">
        <v>511</v>
      </c>
      <c r="AJ118" s="71" t="s">
        <v>1184</v>
      </c>
      <c r="AK118" s="48">
        <v>1</v>
      </c>
      <c r="AL118" s="48">
        <v>1</v>
      </c>
      <c r="AM118" s="25">
        <f>+(Tabla4[[#This Row],[Avance cuantitativo
III trimestre]]/Tabla4[[#This Row],[Programación  meta
III trimestre ]])*100%</f>
        <v>1</v>
      </c>
      <c r="AN118" s="115" t="s">
        <v>1197</v>
      </c>
      <c r="AO118" s="170" t="s">
        <v>511</v>
      </c>
      <c r="AP118" s="71" t="s">
        <v>1184</v>
      </c>
      <c r="AQ118" s="109">
        <v>1</v>
      </c>
      <c r="AR118" s="125">
        <v>1</v>
      </c>
      <c r="AS118" s="159">
        <f>(+Tabla4[[#This Row],[Programación  meta
IV trimestre ]]/AR118)</f>
        <v>1</v>
      </c>
      <c r="AT118" s="93" t="s">
        <v>1198</v>
      </c>
      <c r="AU118" s="28" t="s">
        <v>502</v>
      </c>
      <c r="AV118" s="165" t="s">
        <v>485</v>
      </c>
      <c r="AW118" s="87">
        <f>+(Tabla4[[#This Row],[Programación  meta
I trimestre ]]+Tabla4[[#This Row],[Programación  meta
II trimestre ]]+Tabla4[[#This Row],[Programación  meta
III trimestre ]]+Tabla4[[#This Row],[Programación  meta
IV trimestre ]])/4</f>
        <v>1</v>
      </c>
      <c r="AX118" s="86">
        <f>+(Tabla4[[#This Row],[Avance cuantitativo
I trimestre]]+Tabla4[[#This Row],[Avance cuantitativo
II trimestre]]+Tabla4[[#This Row],[Avance cuantitativo
III trimestre]]+AR118)/4</f>
        <v>1</v>
      </c>
      <c r="AY118" s="86">
        <f t="shared" si="8"/>
        <v>1</v>
      </c>
      <c r="AZ118" s="89" t="s">
        <v>503</v>
      </c>
    </row>
    <row r="119" spans="1:81" s="180" customFormat="1" x14ac:dyDescent="0.2">
      <c r="B119" s="138" t="s">
        <v>308</v>
      </c>
      <c r="C119" s="170" t="s">
        <v>48</v>
      </c>
      <c r="D119" s="71" t="s">
        <v>595</v>
      </c>
      <c r="E119" s="170" t="s">
        <v>547</v>
      </c>
      <c r="F119" s="71" t="s">
        <v>1171</v>
      </c>
      <c r="G119" s="71" t="s">
        <v>23</v>
      </c>
      <c r="H119" s="71" t="s">
        <v>137</v>
      </c>
      <c r="I119" s="71" t="s">
        <v>25</v>
      </c>
      <c r="J119" s="71" t="s">
        <v>138</v>
      </c>
      <c r="K119" s="71" t="s">
        <v>363</v>
      </c>
      <c r="L119" s="71" t="s">
        <v>130</v>
      </c>
      <c r="M119" s="71" t="s">
        <v>225</v>
      </c>
      <c r="N119" s="47">
        <v>105</v>
      </c>
      <c r="O119" s="71" t="s">
        <v>1199</v>
      </c>
      <c r="P119" s="48">
        <v>1</v>
      </c>
      <c r="Q119" s="49">
        <f t="shared" si="12"/>
        <v>1</v>
      </c>
      <c r="R119" s="45" t="s">
        <v>30</v>
      </c>
      <c r="S119" s="71" t="s">
        <v>1200</v>
      </c>
      <c r="T119" s="71" t="s">
        <v>1194</v>
      </c>
      <c r="U119" s="212">
        <v>44562</v>
      </c>
      <c r="V119" s="212">
        <v>44926</v>
      </c>
      <c r="W119" s="71" t="s">
        <v>152</v>
      </c>
      <c r="X119" s="71" t="s">
        <v>1182</v>
      </c>
      <c r="Y119" s="48">
        <v>1</v>
      </c>
      <c r="Z119" s="226">
        <v>1</v>
      </c>
      <c r="AA119" s="59">
        <f t="shared" si="13"/>
        <v>1</v>
      </c>
      <c r="AB119" s="114" t="s">
        <v>1201</v>
      </c>
      <c r="AC119" s="175" t="s">
        <v>511</v>
      </c>
      <c r="AD119" s="71" t="s">
        <v>1184</v>
      </c>
      <c r="AE119" s="48">
        <v>1</v>
      </c>
      <c r="AF119" s="48">
        <v>1</v>
      </c>
      <c r="AG119" s="48">
        <f t="shared" si="11"/>
        <v>1</v>
      </c>
      <c r="AH119" s="104" t="s">
        <v>1202</v>
      </c>
      <c r="AI119" s="170" t="s">
        <v>511</v>
      </c>
      <c r="AJ119" s="71" t="s">
        <v>1184</v>
      </c>
      <c r="AK119" s="48">
        <v>1</v>
      </c>
      <c r="AL119" s="48">
        <v>1</v>
      </c>
      <c r="AM119" s="25">
        <f>+(Tabla4[[#This Row],[Avance cuantitativo
III trimestre]]/Tabla4[[#This Row],[Programación  meta
III trimestre ]])*100%</f>
        <v>1</v>
      </c>
      <c r="AN119" s="115" t="s">
        <v>1203</v>
      </c>
      <c r="AO119" s="170" t="s">
        <v>511</v>
      </c>
      <c r="AP119" s="71" t="s">
        <v>1184</v>
      </c>
      <c r="AQ119" s="109">
        <v>1</v>
      </c>
      <c r="AR119" s="125">
        <v>1</v>
      </c>
      <c r="AS119" s="159">
        <f>(+Tabla4[[#This Row],[Programación  meta
IV trimestre ]]/AR119)</f>
        <v>1</v>
      </c>
      <c r="AT119" s="93" t="s">
        <v>1204</v>
      </c>
      <c r="AU119" s="28" t="s">
        <v>502</v>
      </c>
      <c r="AV119" s="165" t="s">
        <v>485</v>
      </c>
      <c r="AW119" s="87">
        <f>+(Tabla4[[#This Row],[Programación  meta
I trimestre ]]+Tabla4[[#This Row],[Programación  meta
II trimestre ]]+Tabla4[[#This Row],[Programación  meta
III trimestre ]]+Tabla4[[#This Row],[Programación  meta
IV trimestre ]])/4</f>
        <v>1</v>
      </c>
      <c r="AX119" s="86">
        <f>+(Tabla4[[#This Row],[Avance cuantitativo
I trimestre]]+Tabla4[[#This Row],[Avance cuantitativo
II trimestre]]+Tabla4[[#This Row],[Avance cuantitativo
III trimestre]]+AR119)/4</f>
        <v>1</v>
      </c>
      <c r="AY119" s="86">
        <f t="shared" si="8"/>
        <v>1</v>
      </c>
      <c r="AZ119" s="89" t="s">
        <v>503</v>
      </c>
    </row>
    <row r="120" spans="1:81" s="180" customFormat="1" x14ac:dyDescent="0.2">
      <c r="B120" s="138" t="s">
        <v>308</v>
      </c>
      <c r="C120" s="170" t="s">
        <v>48</v>
      </c>
      <c r="D120" s="71" t="s">
        <v>595</v>
      </c>
      <c r="E120" s="170" t="s">
        <v>547</v>
      </c>
      <c r="F120" s="71" t="s">
        <v>1171</v>
      </c>
      <c r="G120" s="71" t="s">
        <v>23</v>
      </c>
      <c r="H120" s="71" t="s">
        <v>137</v>
      </c>
      <c r="I120" s="71" t="s">
        <v>25</v>
      </c>
      <c r="J120" s="71" t="s">
        <v>138</v>
      </c>
      <c r="K120" s="71" t="s">
        <v>363</v>
      </c>
      <c r="L120" s="71" t="s">
        <v>97</v>
      </c>
      <c r="M120" s="71" t="s">
        <v>225</v>
      </c>
      <c r="N120" s="47">
        <v>106</v>
      </c>
      <c r="O120" s="71" t="s">
        <v>1205</v>
      </c>
      <c r="P120" s="48">
        <v>1</v>
      </c>
      <c r="Q120" s="49">
        <f t="shared" si="12"/>
        <v>1</v>
      </c>
      <c r="R120" s="45" t="s">
        <v>30</v>
      </c>
      <c r="S120" s="71" t="s">
        <v>1206</v>
      </c>
      <c r="T120" s="71" t="s">
        <v>1194</v>
      </c>
      <c r="U120" s="212">
        <v>44562</v>
      </c>
      <c r="V120" s="212">
        <v>44926</v>
      </c>
      <c r="W120" s="71" t="s">
        <v>152</v>
      </c>
      <c r="X120" s="71" t="s">
        <v>1182</v>
      </c>
      <c r="Y120" s="48">
        <v>1</v>
      </c>
      <c r="Z120" s="226">
        <v>1</v>
      </c>
      <c r="AA120" s="59">
        <f t="shared" si="13"/>
        <v>1</v>
      </c>
      <c r="AB120" s="114" t="s">
        <v>1207</v>
      </c>
      <c r="AC120" s="175" t="s">
        <v>511</v>
      </c>
      <c r="AD120" s="71" t="s">
        <v>1184</v>
      </c>
      <c r="AE120" s="48">
        <v>1</v>
      </c>
      <c r="AF120" s="48">
        <v>1</v>
      </c>
      <c r="AG120" s="48">
        <f t="shared" si="11"/>
        <v>1</v>
      </c>
      <c r="AH120" s="104" t="s">
        <v>1208</v>
      </c>
      <c r="AI120" s="170" t="s">
        <v>511</v>
      </c>
      <c r="AJ120" s="71" t="s">
        <v>1184</v>
      </c>
      <c r="AK120" s="48">
        <v>1</v>
      </c>
      <c r="AL120" s="48">
        <v>1</v>
      </c>
      <c r="AM120" s="25">
        <f>+(Tabla4[[#This Row],[Avance cuantitativo
III trimestre]]/Tabla4[[#This Row],[Programación  meta
III trimestre ]])*100%</f>
        <v>1</v>
      </c>
      <c r="AN120" s="115" t="s">
        <v>1209</v>
      </c>
      <c r="AO120" s="170" t="s">
        <v>511</v>
      </c>
      <c r="AP120" s="71" t="s">
        <v>1184</v>
      </c>
      <c r="AQ120" s="109">
        <v>1</v>
      </c>
      <c r="AR120" s="125">
        <v>1</v>
      </c>
      <c r="AS120" s="159">
        <f>(+Tabla4[[#This Row],[Programación  meta
IV trimestre ]]/AR120)</f>
        <v>1</v>
      </c>
      <c r="AT120" s="93" t="s">
        <v>1210</v>
      </c>
      <c r="AU120" s="28" t="s">
        <v>502</v>
      </c>
      <c r="AV120" s="165" t="s">
        <v>485</v>
      </c>
      <c r="AW120" s="87">
        <f>+(Tabla4[[#This Row],[Programación  meta
I trimestre ]]+Tabla4[[#This Row],[Programación  meta
II trimestre ]]+Tabla4[[#This Row],[Programación  meta
III trimestre ]]+Tabla4[[#This Row],[Programación  meta
IV trimestre ]])/4</f>
        <v>1</v>
      </c>
      <c r="AX120" s="86">
        <f>+(Tabla4[[#This Row],[Avance cuantitativo
I trimestre]]+Tabla4[[#This Row],[Avance cuantitativo
II trimestre]]+Tabla4[[#This Row],[Avance cuantitativo
III trimestre]]+AR120)/4</f>
        <v>1</v>
      </c>
      <c r="AY120" s="86">
        <f t="shared" si="8"/>
        <v>1</v>
      </c>
      <c r="AZ120" s="89" t="s">
        <v>503</v>
      </c>
    </row>
    <row r="121" spans="1:81" s="180" customFormat="1" ht="15" x14ac:dyDescent="0.2">
      <c r="B121" s="142" t="s">
        <v>308</v>
      </c>
      <c r="C121" s="170" t="s">
        <v>48</v>
      </c>
      <c r="D121" s="104" t="s">
        <v>595</v>
      </c>
      <c r="E121" s="170" t="s">
        <v>547</v>
      </c>
      <c r="F121" s="104" t="s">
        <v>1171</v>
      </c>
      <c r="G121" s="104" t="s">
        <v>23</v>
      </c>
      <c r="H121" s="104" t="s">
        <v>137</v>
      </c>
      <c r="I121" s="104" t="s">
        <v>25</v>
      </c>
      <c r="J121" s="104" t="s">
        <v>138</v>
      </c>
      <c r="K121" s="104" t="s">
        <v>362</v>
      </c>
      <c r="L121" s="104" t="s">
        <v>108</v>
      </c>
      <c r="M121" s="104" t="s">
        <v>225</v>
      </c>
      <c r="N121" s="47">
        <v>107</v>
      </c>
      <c r="O121" s="104" t="s">
        <v>1211</v>
      </c>
      <c r="P121" s="72">
        <v>1</v>
      </c>
      <c r="Q121" s="25">
        <f t="shared" si="12"/>
        <v>1</v>
      </c>
      <c r="R121" s="53" t="s">
        <v>30</v>
      </c>
      <c r="S121" s="104" t="s">
        <v>1212</v>
      </c>
      <c r="T121" s="104" t="s">
        <v>1194</v>
      </c>
      <c r="U121" s="215">
        <v>44562</v>
      </c>
      <c r="V121" s="215">
        <v>44926</v>
      </c>
      <c r="W121" s="104" t="s">
        <v>152</v>
      </c>
      <c r="X121" s="104" t="s">
        <v>1182</v>
      </c>
      <c r="Y121" s="227">
        <v>1</v>
      </c>
      <c r="Z121" s="228">
        <v>1</v>
      </c>
      <c r="AA121" s="53"/>
      <c r="AB121" s="148" t="s">
        <v>1213</v>
      </c>
      <c r="AC121" s="71" t="s">
        <v>511</v>
      </c>
      <c r="AD121" s="104" t="s">
        <v>1184</v>
      </c>
      <c r="AE121" s="227">
        <v>1</v>
      </c>
      <c r="AF121" s="45">
        <v>1</v>
      </c>
      <c r="AG121" s="48">
        <f t="shared" si="11"/>
        <v>1</v>
      </c>
      <c r="AH121" s="104" t="s">
        <v>1214</v>
      </c>
      <c r="AI121" s="170" t="s">
        <v>511</v>
      </c>
      <c r="AJ121" s="170" t="s">
        <v>1184</v>
      </c>
      <c r="AK121" s="53">
        <v>1</v>
      </c>
      <c r="AL121" s="48">
        <v>1</v>
      </c>
      <c r="AM121" s="25">
        <f>+(Tabla4[[#This Row],[Avance cuantitativo
III trimestre]]/Tabla4[[#This Row],[Programación  meta
III trimestre ]])*100%</f>
        <v>1</v>
      </c>
      <c r="AN121" s="115" t="s">
        <v>1215</v>
      </c>
      <c r="AO121" s="170" t="s">
        <v>511</v>
      </c>
      <c r="AP121" s="104" t="s">
        <v>1184</v>
      </c>
      <c r="AQ121" s="685">
        <v>1</v>
      </c>
      <c r="AR121" s="686">
        <v>0.98</v>
      </c>
      <c r="AS121" s="687">
        <f>+AR121/Tabla4[[#This Row],[Programación  meta
IV trimestre ]]</f>
        <v>0.98</v>
      </c>
      <c r="AT121" s="93" t="s">
        <v>1216</v>
      </c>
      <c r="AU121" s="28" t="s">
        <v>502</v>
      </c>
      <c r="AV121" s="165" t="s">
        <v>485</v>
      </c>
      <c r="AW121" s="87">
        <f>+(Tabla4[[#This Row],[Programación  meta
I trimestre ]]+Tabla4[[#This Row],[Programación  meta
II trimestre ]]+Tabla4[[#This Row],[Programación  meta
III trimestre ]]+Tabla4[[#This Row],[Programación  meta
IV trimestre ]])/4</f>
        <v>1</v>
      </c>
      <c r="AX121" s="86">
        <f>+(Tabla4[[#This Row],[Avance cuantitativo
I trimestre]]+Tabla4[[#This Row],[Avance cuantitativo
II trimestre]]+Tabla4[[#This Row],[Avance cuantitativo
III trimestre]]+AR121)/4</f>
        <v>0.995</v>
      </c>
      <c r="AY121" s="86">
        <f t="shared" si="8"/>
        <v>0.995</v>
      </c>
      <c r="AZ121" s="89" t="s">
        <v>503</v>
      </c>
    </row>
    <row r="122" spans="1:81" s="180" customFormat="1" x14ac:dyDescent="0.2">
      <c r="B122" s="142" t="s">
        <v>308</v>
      </c>
      <c r="C122" s="170" t="s">
        <v>48</v>
      </c>
      <c r="D122" s="104" t="s">
        <v>595</v>
      </c>
      <c r="E122" s="170" t="s">
        <v>547</v>
      </c>
      <c r="F122" s="104" t="s">
        <v>1171</v>
      </c>
      <c r="G122" s="104" t="s">
        <v>23</v>
      </c>
      <c r="H122" s="104" t="s">
        <v>137</v>
      </c>
      <c r="I122" s="104" t="s">
        <v>25</v>
      </c>
      <c r="J122" s="104" t="s">
        <v>138</v>
      </c>
      <c r="K122" s="104" t="s">
        <v>363</v>
      </c>
      <c r="L122" s="104" t="s">
        <v>108</v>
      </c>
      <c r="M122" s="104" t="s">
        <v>225</v>
      </c>
      <c r="N122" s="47">
        <v>108</v>
      </c>
      <c r="O122" s="104" t="s">
        <v>1217</v>
      </c>
      <c r="P122" s="72">
        <v>1</v>
      </c>
      <c r="Q122" s="25" t="e">
        <f>+Y122+AE122+AK122+AQ122</f>
        <v>#VALUE!</v>
      </c>
      <c r="R122" s="53" t="s">
        <v>45</v>
      </c>
      <c r="S122" s="104" t="s">
        <v>1218</v>
      </c>
      <c r="T122" s="104" t="s">
        <v>1194</v>
      </c>
      <c r="U122" s="215">
        <v>44562</v>
      </c>
      <c r="V122" s="215">
        <v>44926</v>
      </c>
      <c r="W122" s="104" t="s">
        <v>152</v>
      </c>
      <c r="X122" s="104" t="s">
        <v>496</v>
      </c>
      <c r="Y122" s="227">
        <v>0</v>
      </c>
      <c r="Z122" s="228">
        <v>0</v>
      </c>
      <c r="AA122" s="51" t="s">
        <v>496</v>
      </c>
      <c r="AB122" s="148" t="s">
        <v>1219</v>
      </c>
      <c r="AC122" s="71" t="s">
        <v>496</v>
      </c>
      <c r="AD122" s="104" t="s">
        <v>496</v>
      </c>
      <c r="AE122" s="53" t="s">
        <v>496</v>
      </c>
      <c r="AF122" s="53" t="s">
        <v>496</v>
      </c>
      <c r="AG122" s="53" t="s">
        <v>496</v>
      </c>
      <c r="AH122" s="104" t="s">
        <v>496</v>
      </c>
      <c r="AI122" s="170" t="s">
        <v>496</v>
      </c>
      <c r="AJ122" s="170" t="s">
        <v>496</v>
      </c>
      <c r="AK122" s="244" t="s">
        <v>496</v>
      </c>
      <c r="AL122" s="244" t="s">
        <v>496</v>
      </c>
      <c r="AM122" s="244" t="s">
        <v>496</v>
      </c>
      <c r="AN122" s="190" t="s">
        <v>1219</v>
      </c>
      <c r="AO122" s="181" t="s">
        <v>496</v>
      </c>
      <c r="AP122" s="104" t="s">
        <v>1220</v>
      </c>
      <c r="AQ122" s="73">
        <v>1</v>
      </c>
      <c r="AR122" s="125">
        <v>1</v>
      </c>
      <c r="AS122" s="159">
        <f>(+Tabla4[[#This Row],[Programación  meta
IV trimestre ]]/AR122)</f>
        <v>1</v>
      </c>
      <c r="AT122" s="93" t="s">
        <v>1221</v>
      </c>
      <c r="AU122" s="28" t="s">
        <v>502</v>
      </c>
      <c r="AV122" s="165" t="s">
        <v>485</v>
      </c>
      <c r="AW122" s="87">
        <f>+Tabla4[[#This Row],[Programación  meta
IV trimestre ]]</f>
        <v>1</v>
      </c>
      <c r="AX122" s="86">
        <f>+AR122</f>
        <v>1</v>
      </c>
      <c r="AY122" s="86">
        <f t="shared" si="8"/>
        <v>1</v>
      </c>
      <c r="AZ122" s="89" t="s">
        <v>503</v>
      </c>
    </row>
    <row r="123" spans="1:81" s="180" customFormat="1" x14ac:dyDescent="0.2">
      <c r="B123" s="138" t="s">
        <v>308</v>
      </c>
      <c r="C123" s="170" t="s">
        <v>48</v>
      </c>
      <c r="D123" s="71" t="s">
        <v>595</v>
      </c>
      <c r="E123" s="170" t="s">
        <v>547</v>
      </c>
      <c r="F123" s="71" t="s">
        <v>1171</v>
      </c>
      <c r="G123" s="71" t="s">
        <v>23</v>
      </c>
      <c r="H123" s="71" t="s">
        <v>137</v>
      </c>
      <c r="I123" s="71" t="s">
        <v>25</v>
      </c>
      <c r="J123" s="71" t="s">
        <v>138</v>
      </c>
      <c r="K123" s="71" t="s">
        <v>363</v>
      </c>
      <c r="L123" s="71" t="s">
        <v>257</v>
      </c>
      <c r="M123" s="71" t="s">
        <v>225</v>
      </c>
      <c r="N123" s="47">
        <v>109</v>
      </c>
      <c r="O123" s="71" t="s">
        <v>1222</v>
      </c>
      <c r="P123" s="48">
        <v>1</v>
      </c>
      <c r="Q123" s="49">
        <f>(+Y123+AE123+AK123+AQ123)/4</f>
        <v>1</v>
      </c>
      <c r="R123" s="45" t="s">
        <v>30</v>
      </c>
      <c r="S123" s="71" t="s">
        <v>1223</v>
      </c>
      <c r="T123" s="71" t="s">
        <v>1224</v>
      </c>
      <c r="U123" s="212">
        <v>44562</v>
      </c>
      <c r="V123" s="212">
        <v>44926</v>
      </c>
      <c r="W123" s="71" t="s">
        <v>152</v>
      </c>
      <c r="X123" s="71" t="s">
        <v>1225</v>
      </c>
      <c r="Y123" s="48">
        <v>1</v>
      </c>
      <c r="Z123" s="226">
        <v>1</v>
      </c>
      <c r="AA123" s="59">
        <f>(Z123/Y123)</f>
        <v>1</v>
      </c>
      <c r="AB123" s="114" t="s">
        <v>1226</v>
      </c>
      <c r="AC123" s="175" t="s">
        <v>511</v>
      </c>
      <c r="AD123" s="71" t="s">
        <v>1225</v>
      </c>
      <c r="AE123" s="48">
        <v>1</v>
      </c>
      <c r="AF123" s="48">
        <v>1</v>
      </c>
      <c r="AG123" s="48">
        <f t="shared" si="11"/>
        <v>1</v>
      </c>
      <c r="AH123" s="104" t="s">
        <v>1227</v>
      </c>
      <c r="AI123" s="170" t="s">
        <v>511</v>
      </c>
      <c r="AJ123" s="71" t="s">
        <v>1225</v>
      </c>
      <c r="AK123" s="48">
        <v>1</v>
      </c>
      <c r="AL123" s="48">
        <v>1</v>
      </c>
      <c r="AM123" s="25">
        <f>+(Tabla4[[#This Row],[Avance cuantitativo
III trimestre]]/Tabla4[[#This Row],[Programación  meta
III trimestre ]])*100%</f>
        <v>1</v>
      </c>
      <c r="AN123" s="116" t="s">
        <v>1228</v>
      </c>
      <c r="AO123" s="104" t="s">
        <v>511</v>
      </c>
      <c r="AP123" s="71" t="s">
        <v>1184</v>
      </c>
      <c r="AQ123" s="109">
        <v>1</v>
      </c>
      <c r="AR123" s="125">
        <v>1</v>
      </c>
      <c r="AS123" s="159">
        <f>(+Tabla4[[#This Row],[Programación  meta
IV trimestre ]]/AR123)</f>
        <v>1</v>
      </c>
      <c r="AT123" s="93" t="s">
        <v>1229</v>
      </c>
      <c r="AU123" s="28" t="s">
        <v>502</v>
      </c>
      <c r="AV123" s="165" t="s">
        <v>485</v>
      </c>
      <c r="AW123" s="87">
        <f>+(Tabla4[[#This Row],[Programación  meta
I trimestre ]]+Tabla4[[#This Row],[Programación  meta
II trimestre ]]+Tabla4[[#This Row],[Programación  meta
III trimestre ]]+Tabla4[[#This Row],[Programación  meta
IV trimestre ]])/4</f>
        <v>1</v>
      </c>
      <c r="AX123" s="86">
        <f>+(Tabla4[[#This Row],[Avance cuantitativo
I trimestre]]+Tabla4[[#This Row],[Avance cuantitativo
II trimestre]]+Tabla4[[#This Row],[Avance cuantitativo
III trimestre]]+AR123)/4</f>
        <v>1</v>
      </c>
      <c r="AY123" s="86">
        <f t="shared" si="8"/>
        <v>1</v>
      </c>
      <c r="AZ123" s="89" t="s">
        <v>503</v>
      </c>
    </row>
    <row r="124" spans="1:81" s="180" customFormat="1" x14ac:dyDescent="0.2">
      <c r="B124" s="138" t="s">
        <v>308</v>
      </c>
      <c r="C124" s="170" t="s">
        <v>48</v>
      </c>
      <c r="D124" s="71" t="s">
        <v>595</v>
      </c>
      <c r="E124" s="170" t="s">
        <v>547</v>
      </c>
      <c r="F124" s="71" t="s">
        <v>1171</v>
      </c>
      <c r="G124" s="71" t="s">
        <v>38</v>
      </c>
      <c r="H124" s="71" t="s">
        <v>137</v>
      </c>
      <c r="I124" s="71" t="s">
        <v>25</v>
      </c>
      <c r="J124" s="71" t="s">
        <v>138</v>
      </c>
      <c r="K124" s="71" t="s">
        <v>363</v>
      </c>
      <c r="L124" s="71" t="s">
        <v>119</v>
      </c>
      <c r="M124" s="71" t="s">
        <v>225</v>
      </c>
      <c r="N124" s="47">
        <v>110</v>
      </c>
      <c r="O124" s="71" t="s">
        <v>1230</v>
      </c>
      <c r="P124" s="48">
        <v>1</v>
      </c>
      <c r="Q124" s="49">
        <f>(+Y124+AE124+AK124+AQ124)/4</f>
        <v>1</v>
      </c>
      <c r="R124" s="45" t="s">
        <v>30</v>
      </c>
      <c r="S124" s="71" t="s">
        <v>1231</v>
      </c>
      <c r="T124" s="71" t="s">
        <v>1232</v>
      </c>
      <c r="U124" s="212">
        <v>44562</v>
      </c>
      <c r="V124" s="212">
        <v>44926</v>
      </c>
      <c r="W124" s="71" t="s">
        <v>152</v>
      </c>
      <c r="X124" s="71" t="s">
        <v>1182</v>
      </c>
      <c r="Y124" s="48">
        <v>1</v>
      </c>
      <c r="Z124" s="226">
        <v>1</v>
      </c>
      <c r="AA124" s="59">
        <f>(Z124/Y124)</f>
        <v>1</v>
      </c>
      <c r="AB124" s="114" t="s">
        <v>1233</v>
      </c>
      <c r="AC124" s="175" t="s">
        <v>511</v>
      </c>
      <c r="AD124" s="71" t="s">
        <v>1184</v>
      </c>
      <c r="AE124" s="48">
        <v>1</v>
      </c>
      <c r="AF124" s="48">
        <v>1</v>
      </c>
      <c r="AG124" s="48">
        <f t="shared" si="11"/>
        <v>1</v>
      </c>
      <c r="AH124" s="104" t="s">
        <v>1234</v>
      </c>
      <c r="AI124" s="170" t="s">
        <v>511</v>
      </c>
      <c r="AJ124" s="71" t="s">
        <v>1184</v>
      </c>
      <c r="AK124" s="48">
        <v>1</v>
      </c>
      <c r="AL124" s="48">
        <v>1</v>
      </c>
      <c r="AM124" s="25">
        <f>+(Tabla4[[#This Row],[Avance cuantitativo
III trimestre]]/Tabla4[[#This Row],[Programación  meta
III trimestre ]])*100%</f>
        <v>1</v>
      </c>
      <c r="AN124" s="62" t="s">
        <v>1235</v>
      </c>
      <c r="AO124" s="170" t="s">
        <v>511</v>
      </c>
      <c r="AP124" s="71" t="s">
        <v>1184</v>
      </c>
      <c r="AQ124" s="109">
        <v>1</v>
      </c>
      <c r="AR124" s="125">
        <v>1</v>
      </c>
      <c r="AS124" s="159">
        <f>(+Tabla4[[#This Row],[Programación  meta
IV trimestre ]]/AR124)</f>
        <v>1</v>
      </c>
      <c r="AT124" s="93" t="s">
        <v>1236</v>
      </c>
      <c r="AU124" s="28" t="s">
        <v>502</v>
      </c>
      <c r="AV124" s="165" t="s">
        <v>485</v>
      </c>
      <c r="AW124" s="87">
        <f>+(Tabla4[[#This Row],[Programación  meta
I trimestre ]]+Tabla4[[#This Row],[Programación  meta
II trimestre ]]+Tabla4[[#This Row],[Programación  meta
III trimestre ]]+Tabla4[[#This Row],[Programación  meta
IV trimestre ]])/4</f>
        <v>1</v>
      </c>
      <c r="AX124" s="86">
        <f>+(Tabla4[[#This Row],[Avance cuantitativo
I trimestre]]+Tabla4[[#This Row],[Avance cuantitativo
II trimestre]]+Tabla4[[#This Row],[Avance cuantitativo
III trimestre]]+AR124)/4</f>
        <v>1</v>
      </c>
      <c r="AY124" s="86">
        <f t="shared" si="8"/>
        <v>1</v>
      </c>
      <c r="AZ124" s="89" t="s">
        <v>503</v>
      </c>
    </row>
    <row r="125" spans="1:81" s="180" customFormat="1" x14ac:dyDescent="0.2">
      <c r="B125" s="138" t="s">
        <v>308</v>
      </c>
      <c r="C125" s="170" t="s">
        <v>48</v>
      </c>
      <c r="D125" s="71" t="s">
        <v>174</v>
      </c>
      <c r="E125" s="170" t="s">
        <v>547</v>
      </c>
      <c r="F125" s="71" t="s">
        <v>1171</v>
      </c>
      <c r="G125" s="71" t="s">
        <v>23</v>
      </c>
      <c r="H125" s="71" t="s">
        <v>137</v>
      </c>
      <c r="I125" s="71" t="s">
        <v>25</v>
      </c>
      <c r="J125" s="71" t="s">
        <v>138</v>
      </c>
      <c r="K125" s="71" t="s">
        <v>363</v>
      </c>
      <c r="L125" s="71" t="s">
        <v>252</v>
      </c>
      <c r="M125" s="71" t="s">
        <v>225</v>
      </c>
      <c r="N125" s="47">
        <v>111</v>
      </c>
      <c r="O125" s="71" t="s">
        <v>1237</v>
      </c>
      <c r="P125" s="48">
        <v>1</v>
      </c>
      <c r="Q125" s="49">
        <f>(+Y125+AE125+AK125+AQ125)/4</f>
        <v>1</v>
      </c>
      <c r="R125" s="45" t="s">
        <v>30</v>
      </c>
      <c r="S125" s="71" t="s">
        <v>1238</v>
      </c>
      <c r="T125" s="71" t="s">
        <v>588</v>
      </c>
      <c r="U125" s="212">
        <v>44562</v>
      </c>
      <c r="V125" s="212">
        <v>44592</v>
      </c>
      <c r="W125" s="71" t="s">
        <v>152</v>
      </c>
      <c r="X125" s="71" t="s">
        <v>589</v>
      </c>
      <c r="Y125" s="48">
        <v>1</v>
      </c>
      <c r="Z125" s="229">
        <v>1</v>
      </c>
      <c r="AA125" s="59">
        <f>(Z125/Y125)</f>
        <v>1</v>
      </c>
      <c r="AB125" s="114" t="s">
        <v>1239</v>
      </c>
      <c r="AC125" s="175" t="s">
        <v>511</v>
      </c>
      <c r="AD125" s="71" t="s">
        <v>589</v>
      </c>
      <c r="AE125" s="48">
        <v>1</v>
      </c>
      <c r="AF125" s="48">
        <v>1</v>
      </c>
      <c r="AG125" s="48">
        <f t="shared" si="11"/>
        <v>1</v>
      </c>
      <c r="AH125" s="104" t="s">
        <v>1240</v>
      </c>
      <c r="AI125" s="170" t="s">
        <v>511</v>
      </c>
      <c r="AJ125" s="71" t="s">
        <v>589</v>
      </c>
      <c r="AK125" s="48">
        <v>1</v>
      </c>
      <c r="AL125" s="48">
        <v>1</v>
      </c>
      <c r="AM125" s="25">
        <f>+(Tabla4[[#This Row],[Avance cuantitativo
III trimestre]]/Tabla4[[#This Row],[Programación  meta
III trimestre ]])*100%</f>
        <v>1</v>
      </c>
      <c r="AN125" s="104" t="s">
        <v>1241</v>
      </c>
      <c r="AO125" s="170" t="s">
        <v>511</v>
      </c>
      <c r="AP125" s="71" t="s">
        <v>589</v>
      </c>
      <c r="AQ125" s="109">
        <v>1</v>
      </c>
      <c r="AR125" s="125">
        <v>1</v>
      </c>
      <c r="AS125" s="159">
        <f>(+Tabla4[[#This Row],[Programación  meta
IV trimestre ]]/AR125)</f>
        <v>1</v>
      </c>
      <c r="AT125" s="104" t="s">
        <v>1241</v>
      </c>
      <c r="AU125" s="28" t="s">
        <v>502</v>
      </c>
      <c r="AV125" s="165" t="s">
        <v>485</v>
      </c>
      <c r="AW125" s="87">
        <f>+(Tabla4[[#This Row],[Programación  meta
I trimestre ]]+Tabla4[[#This Row],[Programación  meta
II trimestre ]]+Tabla4[[#This Row],[Programación  meta
III trimestre ]]+Tabla4[[#This Row],[Programación  meta
IV trimestre ]])/4</f>
        <v>1</v>
      </c>
      <c r="AX125" s="86">
        <f>+(Tabla4[[#This Row],[Avance cuantitativo
I trimestre]]+Tabla4[[#This Row],[Avance cuantitativo
II trimestre]]+Tabla4[[#This Row],[Avance cuantitativo
III trimestre]]+AR125)/4</f>
        <v>1</v>
      </c>
      <c r="AY125" s="86">
        <f t="shared" si="8"/>
        <v>1</v>
      </c>
      <c r="AZ125" s="89" t="s">
        <v>503</v>
      </c>
    </row>
    <row r="126" spans="1:81" s="180" customFormat="1" x14ac:dyDescent="0.2">
      <c r="A126" s="179"/>
      <c r="B126" s="174" t="s">
        <v>293</v>
      </c>
      <c r="C126" s="170" t="s">
        <v>48</v>
      </c>
      <c r="D126" s="170" t="s">
        <v>174</v>
      </c>
      <c r="E126" s="177" t="s">
        <v>91</v>
      </c>
      <c r="F126" s="177" t="s">
        <v>1242</v>
      </c>
      <c r="G126" s="177" t="s">
        <v>156</v>
      </c>
      <c r="H126" s="177" t="s">
        <v>1243</v>
      </c>
      <c r="I126" s="177" t="s">
        <v>1244</v>
      </c>
      <c r="J126" s="170" t="s">
        <v>1154</v>
      </c>
      <c r="K126" s="177" t="s">
        <v>1245</v>
      </c>
      <c r="L126" s="177" t="s">
        <v>1246</v>
      </c>
      <c r="M126" s="170" t="s">
        <v>225</v>
      </c>
      <c r="N126" s="47">
        <v>112</v>
      </c>
      <c r="O126" s="170" t="s">
        <v>1247</v>
      </c>
      <c r="P126" s="198">
        <v>1</v>
      </c>
      <c r="Q126" s="25">
        <f>+AQ126</f>
        <v>1</v>
      </c>
      <c r="R126" s="51" t="s">
        <v>60</v>
      </c>
      <c r="S126" s="177" t="s">
        <v>1248</v>
      </c>
      <c r="T126" s="177" t="s">
        <v>1249</v>
      </c>
      <c r="U126" s="213">
        <v>44562</v>
      </c>
      <c r="V126" s="47" t="s">
        <v>495</v>
      </c>
      <c r="W126" s="177" t="s">
        <v>182</v>
      </c>
      <c r="X126" s="177" t="s">
        <v>496</v>
      </c>
      <c r="Y126" s="51" t="s">
        <v>496</v>
      </c>
      <c r="Z126" s="51" t="s">
        <v>496</v>
      </c>
      <c r="AA126" s="51" t="s">
        <v>496</v>
      </c>
      <c r="AB126" s="177" t="s">
        <v>496</v>
      </c>
      <c r="AC126" s="71" t="s">
        <v>496</v>
      </c>
      <c r="AD126" s="104" t="s">
        <v>496</v>
      </c>
      <c r="AE126" s="53" t="s">
        <v>496</v>
      </c>
      <c r="AF126" s="53" t="s">
        <v>496</v>
      </c>
      <c r="AG126" s="53" t="s">
        <v>496</v>
      </c>
      <c r="AH126" s="104" t="s">
        <v>496</v>
      </c>
      <c r="AI126" s="170" t="s">
        <v>496</v>
      </c>
      <c r="AJ126" s="170" t="s">
        <v>1250</v>
      </c>
      <c r="AK126" s="49">
        <v>0.5</v>
      </c>
      <c r="AL126" s="49">
        <v>0.5</v>
      </c>
      <c r="AM126" s="25">
        <f>+(Tabla4[[#This Row],[Avance cuantitativo
III trimestre]]/Tabla4[[#This Row],[Programación  meta
III trimestre ]])*100%</f>
        <v>1</v>
      </c>
      <c r="AN126" s="110" t="s">
        <v>1251</v>
      </c>
      <c r="AO126" s="170" t="s">
        <v>511</v>
      </c>
      <c r="AP126" s="170" t="s">
        <v>1252</v>
      </c>
      <c r="AQ126" s="64">
        <v>1</v>
      </c>
      <c r="AR126" s="92">
        <v>1</v>
      </c>
      <c r="AS126" s="159">
        <f>(+Tabla4[[#This Row],[Programación  meta
IV trimestre ]]/AR126)</f>
        <v>1</v>
      </c>
      <c r="AT126" s="249" t="s">
        <v>1253</v>
      </c>
      <c r="AU126" s="28" t="s">
        <v>502</v>
      </c>
      <c r="AV126" s="165" t="s">
        <v>485</v>
      </c>
      <c r="AW126" s="87">
        <f>+Tabla4[[#This Row],[Programación  meta
IV trimestre ]]</f>
        <v>1</v>
      </c>
      <c r="AX126" s="86">
        <f>+AR126</f>
        <v>1</v>
      </c>
      <c r="AY126" s="86">
        <f t="shared" si="8"/>
        <v>1</v>
      </c>
      <c r="AZ126" s="89" t="s">
        <v>503</v>
      </c>
      <c r="BA126" s="179"/>
      <c r="BB126" s="176"/>
      <c r="BC126" s="176"/>
      <c r="BD126" s="176"/>
      <c r="BE126" s="176"/>
      <c r="BF126" s="176"/>
      <c r="BG126" s="176"/>
      <c r="BH126" s="176"/>
      <c r="BI126" s="176"/>
      <c r="BJ126" s="176"/>
      <c r="BK126" s="176"/>
      <c r="BL126" s="176"/>
      <c r="BM126" s="176"/>
      <c r="BN126" s="176"/>
      <c r="BO126" s="176"/>
      <c r="BP126" s="176"/>
      <c r="BQ126" s="176"/>
      <c r="BR126" s="176"/>
      <c r="BS126" s="176"/>
      <c r="BT126" s="176"/>
      <c r="BU126" s="176"/>
      <c r="BV126" s="176"/>
      <c r="BW126" s="176"/>
      <c r="BX126" s="176"/>
      <c r="BY126" s="176"/>
      <c r="BZ126" s="176"/>
      <c r="CA126" s="176"/>
      <c r="CB126" s="176"/>
      <c r="CC126" s="176"/>
    </row>
    <row r="127" spans="1:81" s="180" customFormat="1" x14ac:dyDescent="0.2">
      <c r="A127" s="179"/>
      <c r="B127" s="174" t="s">
        <v>293</v>
      </c>
      <c r="C127" s="170" t="s">
        <v>48</v>
      </c>
      <c r="D127" s="170" t="s">
        <v>174</v>
      </c>
      <c r="E127" s="170" t="s">
        <v>91</v>
      </c>
      <c r="F127" s="170" t="s">
        <v>1242</v>
      </c>
      <c r="G127" s="170" t="s">
        <v>156</v>
      </c>
      <c r="H127" s="170" t="s">
        <v>1243</v>
      </c>
      <c r="I127" s="170" t="s">
        <v>1244</v>
      </c>
      <c r="J127" s="170" t="s">
        <v>1154</v>
      </c>
      <c r="K127" s="170" t="s">
        <v>1245</v>
      </c>
      <c r="L127" s="170" t="s">
        <v>1246</v>
      </c>
      <c r="M127" s="170" t="s">
        <v>225</v>
      </c>
      <c r="N127" s="47">
        <v>113</v>
      </c>
      <c r="O127" s="170" t="s">
        <v>1254</v>
      </c>
      <c r="P127" s="199">
        <v>4</v>
      </c>
      <c r="Q127" s="47">
        <f>+Y127+AE127+AK127+AQ127</f>
        <v>4</v>
      </c>
      <c r="R127" s="47" t="s">
        <v>1098</v>
      </c>
      <c r="S127" s="170" t="s">
        <v>1255</v>
      </c>
      <c r="T127" s="170" t="s">
        <v>1256</v>
      </c>
      <c r="U127" s="213">
        <v>44562</v>
      </c>
      <c r="V127" s="47" t="s">
        <v>495</v>
      </c>
      <c r="W127" s="170" t="s">
        <v>182</v>
      </c>
      <c r="X127" s="170" t="s">
        <v>1257</v>
      </c>
      <c r="Y127" s="47">
        <v>1</v>
      </c>
      <c r="Z127" s="47">
        <v>1</v>
      </c>
      <c r="AA127" s="58">
        <f>(Z127/Y127)</f>
        <v>1</v>
      </c>
      <c r="AB127" s="175" t="s">
        <v>1258</v>
      </c>
      <c r="AC127" s="175" t="s">
        <v>511</v>
      </c>
      <c r="AD127" s="170" t="s">
        <v>1257</v>
      </c>
      <c r="AE127" s="47">
        <v>1</v>
      </c>
      <c r="AF127" s="47">
        <v>1</v>
      </c>
      <c r="AG127" s="49">
        <f t="shared" si="11"/>
        <v>1</v>
      </c>
      <c r="AH127" s="177" t="s">
        <v>1259</v>
      </c>
      <c r="AI127" s="170" t="s">
        <v>511</v>
      </c>
      <c r="AJ127" s="170" t="s">
        <v>1257</v>
      </c>
      <c r="AK127" s="47">
        <v>1</v>
      </c>
      <c r="AL127" s="199">
        <v>1</v>
      </c>
      <c r="AM127" s="25">
        <f>+(Tabla4[[#This Row],[Avance cuantitativo
III trimestre]]/Tabla4[[#This Row],[Programación  meta
III trimestre ]])*100%</f>
        <v>1</v>
      </c>
      <c r="AN127" s="110" t="s">
        <v>1260</v>
      </c>
      <c r="AO127" s="170" t="s">
        <v>511</v>
      </c>
      <c r="AP127" s="170" t="s">
        <v>1257</v>
      </c>
      <c r="AQ127" s="103">
        <v>1</v>
      </c>
      <c r="AR127" s="37">
        <v>1</v>
      </c>
      <c r="AS127" s="159">
        <f>(+Tabla4[[#This Row],[Programación  meta
IV trimestre ]]/AR127)</f>
        <v>1</v>
      </c>
      <c r="AT127" s="124" t="s">
        <v>1261</v>
      </c>
      <c r="AU127" s="28" t="s">
        <v>502</v>
      </c>
      <c r="AV127" s="165" t="s">
        <v>485</v>
      </c>
      <c r="AW127" s="85">
        <f>+Tabla4[[#This Row],[Programación  meta
I trimestre ]]+Tabla4[[#This Row],[Programación  meta
II trimestre ]]+Tabla4[[#This Row],[Programación  meta
III trimestre ]]+Tabla4[[#This Row],[Programación  meta
IV trimestre ]]</f>
        <v>4</v>
      </c>
      <c r="AX127" s="84">
        <f>+Tabla4[[#This Row],[Avance cuantitativo
I trimestre]]+Tabla4[[#This Row],[Avance cuantitativo
II trimestre]]+Tabla4[[#This Row],[Avance cuantitativo
III trimestre]]+AR127</f>
        <v>4</v>
      </c>
      <c r="AY127" s="86">
        <f t="shared" si="8"/>
        <v>1</v>
      </c>
      <c r="AZ127" s="89" t="s">
        <v>503</v>
      </c>
      <c r="BA127" s="179"/>
      <c r="BB127" s="176"/>
      <c r="BC127" s="176"/>
      <c r="BD127" s="176"/>
      <c r="BE127" s="176"/>
      <c r="BF127" s="176"/>
      <c r="BG127" s="176"/>
      <c r="BH127" s="176"/>
      <c r="BI127" s="176"/>
      <c r="BJ127" s="176"/>
      <c r="BK127" s="176"/>
      <c r="BL127" s="176"/>
      <c r="BM127" s="176"/>
      <c r="BN127" s="176"/>
      <c r="BO127" s="176"/>
      <c r="BP127" s="176"/>
      <c r="BQ127" s="176"/>
      <c r="BR127" s="176"/>
      <c r="BS127" s="176"/>
      <c r="BT127" s="176"/>
      <c r="BU127" s="176"/>
      <c r="BV127" s="176"/>
      <c r="BW127" s="176"/>
      <c r="BX127" s="176"/>
      <c r="BY127" s="176"/>
      <c r="BZ127" s="176"/>
      <c r="CA127" s="176"/>
      <c r="CB127" s="176"/>
      <c r="CC127" s="176"/>
    </row>
    <row r="128" spans="1:81" s="180" customFormat="1" x14ac:dyDescent="0.2">
      <c r="A128" s="179"/>
      <c r="B128" s="174" t="s">
        <v>320</v>
      </c>
      <c r="C128" s="170" t="s">
        <v>48</v>
      </c>
      <c r="D128" s="170" t="s">
        <v>174</v>
      </c>
      <c r="E128" s="177" t="s">
        <v>91</v>
      </c>
      <c r="F128" s="170" t="s">
        <v>1140</v>
      </c>
      <c r="G128" s="177" t="s">
        <v>156</v>
      </c>
      <c r="H128" s="177" t="s">
        <v>1243</v>
      </c>
      <c r="I128" s="177" t="s">
        <v>1244</v>
      </c>
      <c r="J128" s="177" t="s">
        <v>1154</v>
      </c>
      <c r="K128" s="170" t="s">
        <v>314</v>
      </c>
      <c r="L128" s="177" t="s">
        <v>1246</v>
      </c>
      <c r="M128" s="170" t="s">
        <v>225</v>
      </c>
      <c r="N128" s="47">
        <v>114</v>
      </c>
      <c r="O128" s="177" t="s">
        <v>1262</v>
      </c>
      <c r="P128" s="198">
        <v>1</v>
      </c>
      <c r="Q128" s="25">
        <f>+AQ128</f>
        <v>1</v>
      </c>
      <c r="R128" s="51" t="s">
        <v>45</v>
      </c>
      <c r="S128" s="177" t="s">
        <v>1263</v>
      </c>
      <c r="T128" s="177" t="s">
        <v>1264</v>
      </c>
      <c r="U128" s="213">
        <v>44562</v>
      </c>
      <c r="V128" s="47" t="s">
        <v>495</v>
      </c>
      <c r="W128" s="177" t="s">
        <v>182</v>
      </c>
      <c r="X128" s="177" t="s">
        <v>496</v>
      </c>
      <c r="Y128" s="51" t="s">
        <v>496</v>
      </c>
      <c r="Z128" s="51" t="s">
        <v>496</v>
      </c>
      <c r="AA128" s="51" t="s">
        <v>496</v>
      </c>
      <c r="AB128" s="177" t="s">
        <v>496</v>
      </c>
      <c r="AC128" s="71" t="s">
        <v>496</v>
      </c>
      <c r="AD128" s="104" t="s">
        <v>496</v>
      </c>
      <c r="AE128" s="53" t="s">
        <v>496</v>
      </c>
      <c r="AF128" s="53" t="s">
        <v>496</v>
      </c>
      <c r="AG128" s="53" t="s">
        <v>496</v>
      </c>
      <c r="AH128" s="104" t="s">
        <v>496</v>
      </c>
      <c r="AI128" s="170" t="s">
        <v>496</v>
      </c>
      <c r="AJ128" s="170" t="s">
        <v>496</v>
      </c>
      <c r="AK128" s="45" t="s">
        <v>496</v>
      </c>
      <c r="AL128" s="45" t="s">
        <v>496</v>
      </c>
      <c r="AM128" s="45" t="s">
        <v>496</v>
      </c>
      <c r="AN128" s="71" t="s">
        <v>496</v>
      </c>
      <c r="AO128" s="170" t="s">
        <v>496</v>
      </c>
      <c r="AP128" s="170" t="s">
        <v>1265</v>
      </c>
      <c r="AQ128" s="64">
        <v>1</v>
      </c>
      <c r="AR128" s="92">
        <v>1</v>
      </c>
      <c r="AS128" s="159">
        <f>(+Tabla4[[#This Row],[Programación  meta
IV trimestre ]]/AR128)</f>
        <v>1</v>
      </c>
      <c r="AT128" s="251" t="s">
        <v>1266</v>
      </c>
      <c r="AU128" s="28" t="s">
        <v>502</v>
      </c>
      <c r="AV128" s="165" t="s">
        <v>485</v>
      </c>
      <c r="AW128" s="87">
        <f>+Tabla4[[#This Row],[Programación  meta
IV trimestre ]]</f>
        <v>1</v>
      </c>
      <c r="AX128" s="86">
        <f>+AR128</f>
        <v>1</v>
      </c>
      <c r="AY128" s="86">
        <f t="shared" si="8"/>
        <v>1</v>
      </c>
      <c r="AZ128" s="89" t="s">
        <v>503</v>
      </c>
      <c r="BA128" s="179"/>
      <c r="BB128" s="176"/>
      <c r="BC128" s="176"/>
      <c r="BD128" s="176"/>
      <c r="BE128" s="176"/>
      <c r="BF128" s="176"/>
      <c r="BG128" s="176"/>
      <c r="BH128" s="176"/>
      <c r="BI128" s="176"/>
      <c r="BJ128" s="176"/>
      <c r="BK128" s="176"/>
      <c r="BL128" s="176"/>
      <c r="BM128" s="176"/>
      <c r="BN128" s="176"/>
      <c r="BO128" s="176"/>
      <c r="BP128" s="176"/>
      <c r="BQ128" s="176"/>
      <c r="BR128" s="176"/>
      <c r="BS128" s="176"/>
      <c r="BT128" s="176"/>
      <c r="BU128" s="176"/>
      <c r="BV128" s="176"/>
      <c r="BW128" s="176"/>
      <c r="BX128" s="176"/>
      <c r="BY128" s="176"/>
      <c r="BZ128" s="176"/>
      <c r="CA128" s="176"/>
      <c r="CB128" s="176"/>
      <c r="CC128" s="176"/>
    </row>
    <row r="129" spans="1:81" s="180" customFormat="1" x14ac:dyDescent="0.2">
      <c r="A129" s="179"/>
      <c r="B129" s="174" t="s">
        <v>320</v>
      </c>
      <c r="C129" s="170" t="s">
        <v>48</v>
      </c>
      <c r="D129" s="170" t="s">
        <v>174</v>
      </c>
      <c r="E129" s="170" t="s">
        <v>91</v>
      </c>
      <c r="F129" s="170" t="s">
        <v>1140</v>
      </c>
      <c r="G129" s="170" t="s">
        <v>1267</v>
      </c>
      <c r="H129" s="170" t="s">
        <v>1243</v>
      </c>
      <c r="I129" s="170" t="s">
        <v>1244</v>
      </c>
      <c r="J129" s="170" t="s">
        <v>1154</v>
      </c>
      <c r="K129" s="170" t="s">
        <v>1245</v>
      </c>
      <c r="L129" s="170" t="s">
        <v>1268</v>
      </c>
      <c r="M129" s="170" t="s">
        <v>225</v>
      </c>
      <c r="N129" s="47">
        <v>115</v>
      </c>
      <c r="O129" s="170" t="s">
        <v>1269</v>
      </c>
      <c r="P129" s="47">
        <v>4</v>
      </c>
      <c r="Q129" s="47">
        <f>+Y129+AE129+AK129+AQ129</f>
        <v>4</v>
      </c>
      <c r="R129" s="47" t="s">
        <v>45</v>
      </c>
      <c r="S129" s="170" t="s">
        <v>1270</v>
      </c>
      <c r="T129" s="170" t="s">
        <v>1271</v>
      </c>
      <c r="U129" s="213">
        <v>44562</v>
      </c>
      <c r="V129" s="47" t="s">
        <v>495</v>
      </c>
      <c r="W129" s="170" t="s">
        <v>182</v>
      </c>
      <c r="X129" s="170" t="s">
        <v>1272</v>
      </c>
      <c r="Y129" s="47">
        <v>1</v>
      </c>
      <c r="Z129" s="47">
        <v>1</v>
      </c>
      <c r="AA129" s="58">
        <f>(Z129/Y129)</f>
        <v>1</v>
      </c>
      <c r="AB129" s="175" t="s">
        <v>1273</v>
      </c>
      <c r="AC129" s="175" t="s">
        <v>511</v>
      </c>
      <c r="AD129" s="170" t="s">
        <v>1274</v>
      </c>
      <c r="AE129" s="47">
        <v>1</v>
      </c>
      <c r="AF129" s="47">
        <v>1</v>
      </c>
      <c r="AG129" s="49">
        <f t="shared" si="11"/>
        <v>1</v>
      </c>
      <c r="AH129" s="177" t="s">
        <v>1275</v>
      </c>
      <c r="AI129" s="170" t="s">
        <v>511</v>
      </c>
      <c r="AJ129" s="170" t="s">
        <v>1276</v>
      </c>
      <c r="AK129" s="47">
        <v>1</v>
      </c>
      <c r="AL129" s="199">
        <v>1</v>
      </c>
      <c r="AM129" s="25">
        <f>+(Tabla4[[#This Row],[Avance cuantitativo
III trimestre]]/Tabla4[[#This Row],[Programación  meta
III trimestre ]])*100%</f>
        <v>1</v>
      </c>
      <c r="AN129" s="110" t="s">
        <v>1277</v>
      </c>
      <c r="AO129" s="170" t="s">
        <v>511</v>
      </c>
      <c r="AP129" s="170" t="s">
        <v>1278</v>
      </c>
      <c r="AQ129" s="103">
        <v>1</v>
      </c>
      <c r="AR129" s="37">
        <v>1</v>
      </c>
      <c r="AS129" s="159">
        <f>(+Tabla4[[#This Row],[Programación  meta
IV trimestre ]]/AR129)</f>
        <v>1</v>
      </c>
      <c r="AT129" s="124" t="s">
        <v>1279</v>
      </c>
      <c r="AU129" s="28" t="s">
        <v>502</v>
      </c>
      <c r="AV129" s="165" t="s">
        <v>485</v>
      </c>
      <c r="AW129" s="85">
        <f>+Tabla4[[#This Row],[Programación  meta
I trimestre ]]+Tabla4[[#This Row],[Programación  meta
II trimestre ]]+Tabla4[[#This Row],[Programación  meta
III trimestre ]]+Tabla4[[#This Row],[Programación  meta
IV trimestre ]]</f>
        <v>4</v>
      </c>
      <c r="AX129" s="84">
        <f>+Tabla4[[#This Row],[Avance cuantitativo
I trimestre]]+Tabla4[[#This Row],[Avance cuantitativo
II trimestre]]+Tabla4[[#This Row],[Avance cuantitativo
III trimestre]]+AR129</f>
        <v>4</v>
      </c>
      <c r="AY129" s="86">
        <f t="shared" si="8"/>
        <v>1</v>
      </c>
      <c r="AZ129" s="89" t="s">
        <v>503</v>
      </c>
      <c r="BA129" s="179"/>
      <c r="BB129" s="176"/>
      <c r="BC129" s="176"/>
      <c r="BD129" s="176"/>
      <c r="BE129" s="176"/>
      <c r="BF129" s="176"/>
      <c r="BG129" s="176"/>
      <c r="BH129" s="176"/>
      <c r="BI129" s="176"/>
      <c r="BJ129" s="176"/>
      <c r="BK129" s="176"/>
      <c r="BL129" s="176"/>
      <c r="BM129" s="176"/>
      <c r="BN129" s="176"/>
      <c r="BO129" s="176"/>
      <c r="BP129" s="176"/>
      <c r="BQ129" s="176"/>
      <c r="BR129" s="176"/>
      <c r="BS129" s="176"/>
      <c r="BT129" s="176"/>
      <c r="BU129" s="176"/>
      <c r="BV129" s="176"/>
      <c r="BW129" s="176"/>
      <c r="BX129" s="176"/>
      <c r="BY129" s="176"/>
      <c r="BZ129" s="176"/>
      <c r="CA129" s="176"/>
      <c r="CB129" s="176"/>
      <c r="CC129" s="176"/>
    </row>
    <row r="130" spans="1:81" s="180" customFormat="1" x14ac:dyDescent="0.2">
      <c r="A130" s="179"/>
      <c r="B130" s="174" t="s">
        <v>320</v>
      </c>
      <c r="C130" s="170" t="s">
        <v>48</v>
      </c>
      <c r="D130" s="170" t="s">
        <v>174</v>
      </c>
      <c r="E130" s="170" t="s">
        <v>91</v>
      </c>
      <c r="F130" s="170" t="s">
        <v>1140</v>
      </c>
      <c r="G130" s="170" t="s">
        <v>156</v>
      </c>
      <c r="H130" s="170" t="s">
        <v>1280</v>
      </c>
      <c r="I130" s="170" t="s">
        <v>55</v>
      </c>
      <c r="J130" s="170" t="s">
        <v>1154</v>
      </c>
      <c r="K130" s="170" t="s">
        <v>1281</v>
      </c>
      <c r="L130" s="170" t="s">
        <v>257</v>
      </c>
      <c r="M130" s="170" t="s">
        <v>225</v>
      </c>
      <c r="N130" s="47">
        <v>116</v>
      </c>
      <c r="O130" s="170" t="s">
        <v>1282</v>
      </c>
      <c r="P130" s="47">
        <v>12</v>
      </c>
      <c r="Q130" s="47">
        <f>+Y130+AE130+AK130+AQ130</f>
        <v>12</v>
      </c>
      <c r="R130" s="47" t="s">
        <v>45</v>
      </c>
      <c r="S130" s="170" t="s">
        <v>1283</v>
      </c>
      <c r="T130" s="170" t="s">
        <v>1284</v>
      </c>
      <c r="U130" s="213">
        <v>44562</v>
      </c>
      <c r="V130" s="47" t="s">
        <v>495</v>
      </c>
      <c r="W130" s="170" t="s">
        <v>182</v>
      </c>
      <c r="X130" s="170" t="s">
        <v>1285</v>
      </c>
      <c r="Y130" s="47">
        <v>3</v>
      </c>
      <c r="Z130" s="47">
        <v>3</v>
      </c>
      <c r="AA130" s="58">
        <f>(Z130/Y130)</f>
        <v>1</v>
      </c>
      <c r="AB130" s="175" t="s">
        <v>1286</v>
      </c>
      <c r="AC130" s="175" t="s">
        <v>511</v>
      </c>
      <c r="AD130" s="170" t="s">
        <v>1287</v>
      </c>
      <c r="AE130" s="47">
        <v>3</v>
      </c>
      <c r="AF130" s="79">
        <v>3</v>
      </c>
      <c r="AG130" s="49">
        <f t="shared" si="11"/>
        <v>1</v>
      </c>
      <c r="AH130" s="177" t="s">
        <v>1288</v>
      </c>
      <c r="AI130" s="170" t="s">
        <v>511</v>
      </c>
      <c r="AJ130" s="170" t="s">
        <v>1289</v>
      </c>
      <c r="AK130" s="47">
        <v>3</v>
      </c>
      <c r="AL130" s="199">
        <v>3</v>
      </c>
      <c r="AM130" s="25">
        <f>+(Tabla4[[#This Row],[Avance cuantitativo
III trimestre]]/Tabla4[[#This Row],[Programación  meta
III trimestre ]])*100%</f>
        <v>1</v>
      </c>
      <c r="AN130" s="110" t="s">
        <v>1290</v>
      </c>
      <c r="AO130" s="170" t="s">
        <v>511</v>
      </c>
      <c r="AP130" s="170" t="s">
        <v>1291</v>
      </c>
      <c r="AQ130" s="103">
        <v>3</v>
      </c>
      <c r="AR130" s="37">
        <v>3</v>
      </c>
      <c r="AS130" s="159">
        <f>(+Tabla4[[#This Row],[Programación  meta
IV trimestre ]]/AR130)</f>
        <v>1</v>
      </c>
      <c r="AT130" s="99" t="s">
        <v>1292</v>
      </c>
      <c r="AU130" s="28" t="s">
        <v>502</v>
      </c>
      <c r="AV130" s="165" t="s">
        <v>485</v>
      </c>
      <c r="AW130" s="85">
        <f>+Tabla4[[#This Row],[Programación  meta
I trimestre ]]+Tabla4[[#This Row],[Programación  meta
II trimestre ]]+Tabla4[[#This Row],[Programación  meta
III trimestre ]]+Tabla4[[#This Row],[Programación  meta
IV trimestre ]]</f>
        <v>12</v>
      </c>
      <c r="AX130" s="84">
        <f>+Tabla4[[#This Row],[Avance cuantitativo
I trimestre]]+Tabla4[[#This Row],[Avance cuantitativo
II trimestre]]+Tabla4[[#This Row],[Avance cuantitativo
III trimestre]]+AR130</f>
        <v>12</v>
      </c>
      <c r="AY130" s="86">
        <f t="shared" si="8"/>
        <v>1</v>
      </c>
      <c r="AZ130" s="89" t="s">
        <v>503</v>
      </c>
      <c r="BA130" s="179"/>
      <c r="BB130" s="176"/>
      <c r="BC130" s="176"/>
      <c r="BD130" s="176"/>
      <c r="BE130" s="176"/>
      <c r="BF130" s="176"/>
      <c r="BG130" s="176"/>
      <c r="BH130" s="176"/>
      <c r="BI130" s="176"/>
      <c r="BJ130" s="176"/>
      <c r="BK130" s="176"/>
      <c r="BL130" s="176"/>
      <c r="BM130" s="176"/>
      <c r="BN130" s="176"/>
      <c r="BO130" s="176"/>
      <c r="BP130" s="176"/>
      <c r="BQ130" s="176"/>
      <c r="BR130" s="176"/>
      <c r="BS130" s="176"/>
      <c r="BT130" s="176"/>
      <c r="BU130" s="176"/>
      <c r="BV130" s="176"/>
      <c r="BW130" s="176"/>
      <c r="BX130" s="176"/>
      <c r="BY130" s="176"/>
      <c r="BZ130" s="176"/>
      <c r="CA130" s="176"/>
      <c r="CB130" s="176"/>
      <c r="CC130" s="176"/>
    </row>
    <row r="131" spans="1:81" s="180" customFormat="1" x14ac:dyDescent="0.2">
      <c r="A131" s="179"/>
      <c r="B131" s="174" t="s">
        <v>320</v>
      </c>
      <c r="C131" s="170" t="s">
        <v>48</v>
      </c>
      <c r="D131" s="170" t="s">
        <v>174</v>
      </c>
      <c r="E131" s="170" t="s">
        <v>91</v>
      </c>
      <c r="F131" s="170" t="s">
        <v>1140</v>
      </c>
      <c r="G131" s="170" t="s">
        <v>156</v>
      </c>
      <c r="H131" s="170" t="s">
        <v>1280</v>
      </c>
      <c r="I131" s="170" t="s">
        <v>1244</v>
      </c>
      <c r="J131" s="170" t="s">
        <v>1154</v>
      </c>
      <c r="K131" s="170" t="s">
        <v>314</v>
      </c>
      <c r="L131" s="170" t="s">
        <v>257</v>
      </c>
      <c r="M131" s="170" t="s">
        <v>225</v>
      </c>
      <c r="N131" s="47">
        <v>117</v>
      </c>
      <c r="O131" s="170" t="s">
        <v>1293</v>
      </c>
      <c r="P131" s="47">
        <v>4</v>
      </c>
      <c r="Q131" s="47">
        <f>+Y131+AE131+AK131+AQ131</f>
        <v>4</v>
      </c>
      <c r="R131" s="47" t="s">
        <v>45</v>
      </c>
      <c r="S131" s="170" t="s">
        <v>1294</v>
      </c>
      <c r="T131" s="170" t="s">
        <v>1295</v>
      </c>
      <c r="U131" s="213">
        <v>44562</v>
      </c>
      <c r="V131" s="47" t="s">
        <v>495</v>
      </c>
      <c r="W131" s="170" t="s">
        <v>182</v>
      </c>
      <c r="X131" s="170" t="s">
        <v>1296</v>
      </c>
      <c r="Y131" s="47">
        <v>1</v>
      </c>
      <c r="Z131" s="47">
        <v>1</v>
      </c>
      <c r="AA131" s="58">
        <f>(Z131/Y131)</f>
        <v>1</v>
      </c>
      <c r="AB131" s="175" t="s">
        <v>1297</v>
      </c>
      <c r="AC131" s="175" t="s">
        <v>511</v>
      </c>
      <c r="AD131" s="170" t="s">
        <v>1298</v>
      </c>
      <c r="AE131" s="47">
        <v>1</v>
      </c>
      <c r="AF131" s="47">
        <v>1</v>
      </c>
      <c r="AG131" s="49">
        <f t="shared" si="11"/>
        <v>1</v>
      </c>
      <c r="AH131" s="175" t="s">
        <v>1299</v>
      </c>
      <c r="AI131" s="170" t="s">
        <v>511</v>
      </c>
      <c r="AJ131" s="170" t="s">
        <v>1300</v>
      </c>
      <c r="AK131" s="47">
        <v>1</v>
      </c>
      <c r="AL131" s="199">
        <v>1</v>
      </c>
      <c r="AM131" s="25">
        <f>+(Tabla4[[#This Row],[Avance cuantitativo
III trimestre]]/Tabla4[[#This Row],[Programación  meta
III trimestre ]])*100%</f>
        <v>1</v>
      </c>
      <c r="AN131" s="62" t="s">
        <v>1301</v>
      </c>
      <c r="AO131" s="170" t="s">
        <v>511</v>
      </c>
      <c r="AP131" s="170" t="s">
        <v>1302</v>
      </c>
      <c r="AQ131" s="103">
        <v>1</v>
      </c>
      <c r="AR131" s="37">
        <v>1</v>
      </c>
      <c r="AS131" s="159">
        <f>(+Tabla4[[#This Row],[Programación  meta
IV trimestre ]]/AR131)</f>
        <v>1</v>
      </c>
      <c r="AT131" s="93" t="s">
        <v>1303</v>
      </c>
      <c r="AU131" s="28" t="s">
        <v>502</v>
      </c>
      <c r="AV131" s="165" t="s">
        <v>485</v>
      </c>
      <c r="AW131" s="85">
        <f>+Tabla4[[#This Row],[Programación  meta
I trimestre ]]+Tabla4[[#This Row],[Programación  meta
II trimestre ]]+Tabla4[[#This Row],[Programación  meta
III trimestre ]]+Tabla4[[#This Row],[Programación  meta
IV trimestre ]]</f>
        <v>4</v>
      </c>
      <c r="AX131" s="84">
        <f>+Tabla4[[#This Row],[Avance cuantitativo
I trimestre]]+Tabla4[[#This Row],[Avance cuantitativo
II trimestre]]+Tabla4[[#This Row],[Avance cuantitativo
III trimestre]]+AR131</f>
        <v>4</v>
      </c>
      <c r="AY131" s="86">
        <f t="shared" si="8"/>
        <v>1</v>
      </c>
      <c r="AZ131" s="89" t="s">
        <v>503</v>
      </c>
      <c r="BA131" s="179"/>
      <c r="BB131" s="176"/>
      <c r="BC131" s="176"/>
      <c r="BD131" s="176"/>
      <c r="BE131" s="176"/>
      <c r="BF131" s="176"/>
      <c r="BG131" s="176"/>
      <c r="BH131" s="176"/>
      <c r="BI131" s="176"/>
      <c r="BJ131" s="176"/>
      <c r="BK131" s="176"/>
      <c r="BL131" s="176"/>
      <c r="BM131" s="176"/>
      <c r="BN131" s="176"/>
      <c r="BO131" s="176"/>
      <c r="BP131" s="176"/>
      <c r="BQ131" s="176"/>
      <c r="BR131" s="176"/>
      <c r="BS131" s="176"/>
      <c r="BT131" s="176"/>
      <c r="BU131" s="176"/>
      <c r="BV131" s="176"/>
      <c r="BW131" s="176"/>
      <c r="BX131" s="176"/>
      <c r="BY131" s="176"/>
      <c r="BZ131" s="176"/>
      <c r="CA131" s="176"/>
      <c r="CB131" s="176"/>
      <c r="CC131" s="176"/>
    </row>
    <row r="132" spans="1:81" s="180" customFormat="1" x14ac:dyDescent="0.2">
      <c r="A132" s="179"/>
      <c r="B132" s="174" t="s">
        <v>320</v>
      </c>
      <c r="C132" s="170" t="s">
        <v>48</v>
      </c>
      <c r="D132" s="170" t="s">
        <v>174</v>
      </c>
      <c r="E132" s="170" t="s">
        <v>91</v>
      </c>
      <c r="F132" s="170" t="s">
        <v>1140</v>
      </c>
      <c r="G132" s="170" t="s">
        <v>1304</v>
      </c>
      <c r="H132" s="170" t="s">
        <v>1243</v>
      </c>
      <c r="I132" s="170" t="s">
        <v>1244</v>
      </c>
      <c r="J132" s="170" t="s">
        <v>1154</v>
      </c>
      <c r="K132" s="170" t="s">
        <v>1245</v>
      </c>
      <c r="L132" s="170" t="s">
        <v>1305</v>
      </c>
      <c r="M132" s="170" t="s">
        <v>225</v>
      </c>
      <c r="N132" s="47">
        <v>118</v>
      </c>
      <c r="O132" s="170" t="s">
        <v>1306</v>
      </c>
      <c r="P132" s="49">
        <v>1</v>
      </c>
      <c r="Q132" s="49">
        <f>(+Y132+AE132+AK132+AQ132)/4</f>
        <v>1</v>
      </c>
      <c r="R132" s="47" t="s">
        <v>1307</v>
      </c>
      <c r="S132" s="170" t="s">
        <v>1308</v>
      </c>
      <c r="T132" s="170" t="s">
        <v>1309</v>
      </c>
      <c r="U132" s="213">
        <v>44562</v>
      </c>
      <c r="V132" s="47" t="s">
        <v>495</v>
      </c>
      <c r="W132" s="170" t="s">
        <v>182</v>
      </c>
      <c r="X132" s="170" t="s">
        <v>1310</v>
      </c>
      <c r="Y132" s="49">
        <v>1</v>
      </c>
      <c r="Z132" s="49">
        <v>1</v>
      </c>
      <c r="AA132" s="58">
        <f>(Z132/Y132)</f>
        <v>1</v>
      </c>
      <c r="AB132" s="175" t="s">
        <v>1311</v>
      </c>
      <c r="AC132" s="175" t="s">
        <v>511</v>
      </c>
      <c r="AD132" s="170" t="s">
        <v>1310</v>
      </c>
      <c r="AE132" s="49">
        <v>1</v>
      </c>
      <c r="AF132" s="49">
        <v>1</v>
      </c>
      <c r="AG132" s="49">
        <f t="shared" si="11"/>
        <v>1</v>
      </c>
      <c r="AH132" s="71" t="s">
        <v>1312</v>
      </c>
      <c r="AI132" s="170" t="s">
        <v>511</v>
      </c>
      <c r="AJ132" s="170" t="s">
        <v>1310</v>
      </c>
      <c r="AK132" s="49">
        <v>1</v>
      </c>
      <c r="AL132" s="49">
        <v>1</v>
      </c>
      <c r="AM132" s="25">
        <f>+(Tabla4[[#This Row],[Avance cuantitativo
III trimestre]]/Tabla4[[#This Row],[Programación  meta
III trimestre ]])*100%</f>
        <v>1</v>
      </c>
      <c r="AN132" s="110" t="s">
        <v>1313</v>
      </c>
      <c r="AO132" s="170" t="s">
        <v>511</v>
      </c>
      <c r="AP132" s="170" t="s">
        <v>1310</v>
      </c>
      <c r="AQ132" s="64">
        <v>1</v>
      </c>
      <c r="AR132" s="92">
        <v>1</v>
      </c>
      <c r="AS132" s="159">
        <f>(+Tabla4[[#This Row],[Programación  meta
IV trimestre ]]/AR132)</f>
        <v>1</v>
      </c>
      <c r="AT132" s="99" t="s">
        <v>1314</v>
      </c>
      <c r="AU132" s="28" t="s">
        <v>502</v>
      </c>
      <c r="AV132" s="165" t="s">
        <v>485</v>
      </c>
      <c r="AW132" s="87">
        <f>+(Tabla4[[#This Row],[Programación  meta
I trimestre ]]+Tabla4[[#This Row],[Programación  meta
II trimestre ]]+Tabla4[[#This Row],[Programación  meta
III trimestre ]]+Tabla4[[#This Row],[Programación  meta
IV trimestre ]])/4</f>
        <v>1</v>
      </c>
      <c r="AX132" s="86">
        <f>+(Tabla4[[#This Row],[Avance cuantitativo
I trimestre]]+Tabla4[[#This Row],[Avance cuantitativo
II trimestre]]+Tabla4[[#This Row],[Avance cuantitativo
III trimestre]]+AR132)/4</f>
        <v>1</v>
      </c>
      <c r="AY132" s="86">
        <f t="shared" si="8"/>
        <v>1</v>
      </c>
      <c r="AZ132" s="89" t="s">
        <v>503</v>
      </c>
      <c r="BA132" s="179"/>
      <c r="BB132" s="176"/>
      <c r="BC132" s="176"/>
      <c r="BD132" s="176"/>
      <c r="BE132" s="176"/>
      <c r="BF132" s="176"/>
      <c r="BG132" s="176"/>
      <c r="BH132" s="176"/>
      <c r="BI132" s="176"/>
      <c r="BJ132" s="176"/>
      <c r="BK132" s="176"/>
      <c r="BL132" s="176"/>
      <c r="BM132" s="176"/>
      <c r="BN132" s="176"/>
      <c r="BO132" s="176"/>
      <c r="BP132" s="176"/>
      <c r="BQ132" s="176"/>
      <c r="BR132" s="176"/>
      <c r="BS132" s="176"/>
      <c r="BT132" s="176"/>
      <c r="BU132" s="176"/>
      <c r="BV132" s="176"/>
      <c r="BW132" s="176"/>
      <c r="BX132" s="176"/>
      <c r="BY132" s="176"/>
      <c r="BZ132" s="176"/>
      <c r="CA132" s="176"/>
      <c r="CB132" s="176"/>
      <c r="CC132" s="176"/>
    </row>
    <row r="133" spans="1:81" s="180" customFormat="1" x14ac:dyDescent="0.2">
      <c r="A133" s="179"/>
      <c r="B133" s="174" t="s">
        <v>320</v>
      </c>
      <c r="C133" s="170" t="s">
        <v>48</v>
      </c>
      <c r="D133" s="170" t="s">
        <v>174</v>
      </c>
      <c r="E133" s="170" t="s">
        <v>91</v>
      </c>
      <c r="F133" s="170" t="s">
        <v>1140</v>
      </c>
      <c r="G133" s="170" t="s">
        <v>1304</v>
      </c>
      <c r="H133" s="170" t="s">
        <v>1243</v>
      </c>
      <c r="I133" s="170" t="s">
        <v>1244</v>
      </c>
      <c r="J133" s="170" t="s">
        <v>1154</v>
      </c>
      <c r="K133" s="170" t="s">
        <v>1245</v>
      </c>
      <c r="L133" s="170" t="s">
        <v>1315</v>
      </c>
      <c r="M133" s="170" t="s">
        <v>225</v>
      </c>
      <c r="N133" s="47">
        <v>119</v>
      </c>
      <c r="O133" s="170" t="s">
        <v>1316</v>
      </c>
      <c r="P133" s="47">
        <v>4</v>
      </c>
      <c r="Q133" s="47">
        <f>+Y133+AE133+AK133+AQ133</f>
        <v>4</v>
      </c>
      <c r="R133" s="47" t="s">
        <v>45</v>
      </c>
      <c r="S133" s="170" t="s">
        <v>1317</v>
      </c>
      <c r="T133" s="170" t="s">
        <v>1318</v>
      </c>
      <c r="U133" s="213">
        <v>44562</v>
      </c>
      <c r="V133" s="47" t="s">
        <v>495</v>
      </c>
      <c r="W133" s="170" t="s">
        <v>182</v>
      </c>
      <c r="X133" s="170" t="s">
        <v>1319</v>
      </c>
      <c r="Y133" s="47">
        <v>1</v>
      </c>
      <c r="Z133" s="47">
        <v>1</v>
      </c>
      <c r="AA133" s="58">
        <f>(Z133/Y133)</f>
        <v>1</v>
      </c>
      <c r="AB133" s="175" t="s">
        <v>1320</v>
      </c>
      <c r="AC133" s="175" t="s">
        <v>511</v>
      </c>
      <c r="AD133" s="170" t="s">
        <v>1321</v>
      </c>
      <c r="AE133" s="47">
        <v>1</v>
      </c>
      <c r="AF133" s="238">
        <v>1</v>
      </c>
      <c r="AG133" s="49">
        <f t="shared" si="11"/>
        <v>1</v>
      </c>
      <c r="AH133" s="71" t="s">
        <v>1322</v>
      </c>
      <c r="AI133" s="170" t="s">
        <v>511</v>
      </c>
      <c r="AJ133" s="170" t="s">
        <v>1323</v>
      </c>
      <c r="AK133" s="47">
        <v>1</v>
      </c>
      <c r="AL133" s="199">
        <v>1</v>
      </c>
      <c r="AM133" s="25">
        <f>+(Tabla4[[#This Row],[Avance cuantitativo
III trimestre]]/Tabla4[[#This Row],[Programación  meta
III trimestre ]])*100%</f>
        <v>1</v>
      </c>
      <c r="AN133" s="110" t="s">
        <v>1324</v>
      </c>
      <c r="AO133" s="170" t="s">
        <v>511</v>
      </c>
      <c r="AP133" s="170" t="s">
        <v>1325</v>
      </c>
      <c r="AQ133" s="103">
        <v>1</v>
      </c>
      <c r="AR133" s="37">
        <v>1</v>
      </c>
      <c r="AS133" s="159">
        <f>(+Tabla4[[#This Row],[Programación  meta
IV trimestre ]]/AR133)</f>
        <v>1</v>
      </c>
      <c r="AT133" s="99" t="s">
        <v>1326</v>
      </c>
      <c r="AU133" s="28" t="s">
        <v>502</v>
      </c>
      <c r="AV133" s="165" t="s">
        <v>485</v>
      </c>
      <c r="AW133" s="85">
        <f>+Tabla4[[#This Row],[Programación  meta
I trimestre ]]+Tabla4[[#This Row],[Programación  meta
II trimestre ]]+Tabla4[[#This Row],[Programación  meta
III trimestre ]]+Tabla4[[#This Row],[Programación  meta
IV trimestre ]]</f>
        <v>4</v>
      </c>
      <c r="AX133" s="84">
        <f>+Tabla4[[#This Row],[Avance cuantitativo
I trimestre]]+Tabla4[[#This Row],[Avance cuantitativo
II trimestre]]+Tabla4[[#This Row],[Avance cuantitativo
III trimestre]]+AR133</f>
        <v>4</v>
      </c>
      <c r="AY133" s="86">
        <f t="shared" si="8"/>
        <v>1</v>
      </c>
      <c r="AZ133" s="89" t="s">
        <v>503</v>
      </c>
      <c r="BA133" s="179"/>
      <c r="BB133" s="176"/>
      <c r="BC133" s="176"/>
      <c r="BD133" s="176"/>
      <c r="BE133" s="176"/>
      <c r="BF133" s="176"/>
      <c r="BG133" s="176"/>
      <c r="BH133" s="176"/>
      <c r="BI133" s="176"/>
      <c r="BJ133" s="176"/>
      <c r="BK133" s="176"/>
      <c r="BL133" s="176"/>
      <c r="BM133" s="176"/>
      <c r="BN133" s="176"/>
      <c r="BO133" s="176"/>
      <c r="BP133" s="176"/>
      <c r="BQ133" s="176"/>
      <c r="BR133" s="176"/>
      <c r="BS133" s="176"/>
      <c r="BT133" s="176"/>
      <c r="BU133" s="176"/>
      <c r="BV133" s="176"/>
      <c r="BW133" s="176"/>
      <c r="BX133" s="176"/>
      <c r="BY133" s="176"/>
      <c r="BZ133" s="176"/>
      <c r="CA133" s="176"/>
      <c r="CB133" s="176"/>
      <c r="CC133" s="176"/>
    </row>
    <row r="134" spans="1:81" s="180" customFormat="1" x14ac:dyDescent="0.2">
      <c r="A134" s="179"/>
      <c r="B134" s="174" t="s">
        <v>320</v>
      </c>
      <c r="C134" s="170" t="s">
        <v>48</v>
      </c>
      <c r="D134" s="170" t="s">
        <v>174</v>
      </c>
      <c r="E134" s="177" t="s">
        <v>91</v>
      </c>
      <c r="F134" s="170" t="s">
        <v>1140</v>
      </c>
      <c r="G134" s="177" t="s">
        <v>156</v>
      </c>
      <c r="H134" s="177" t="s">
        <v>1243</v>
      </c>
      <c r="I134" s="177" t="s">
        <v>1244</v>
      </c>
      <c r="J134" s="177" t="s">
        <v>1154</v>
      </c>
      <c r="K134" s="177" t="s">
        <v>1327</v>
      </c>
      <c r="L134" s="170" t="s">
        <v>190</v>
      </c>
      <c r="M134" s="170" t="s">
        <v>225</v>
      </c>
      <c r="N134" s="47">
        <v>120</v>
      </c>
      <c r="O134" s="177" t="s">
        <v>1328</v>
      </c>
      <c r="P134" s="198">
        <v>1</v>
      </c>
      <c r="Q134" s="25">
        <f>+AQ134</f>
        <v>1</v>
      </c>
      <c r="R134" s="51" t="s">
        <v>60</v>
      </c>
      <c r="S134" s="177" t="s">
        <v>1329</v>
      </c>
      <c r="T134" s="177" t="s">
        <v>1330</v>
      </c>
      <c r="U134" s="213">
        <v>44562</v>
      </c>
      <c r="V134" s="47" t="s">
        <v>1331</v>
      </c>
      <c r="W134" s="177" t="s">
        <v>182</v>
      </c>
      <c r="X134" s="177" t="s">
        <v>496</v>
      </c>
      <c r="Y134" s="51" t="s">
        <v>496</v>
      </c>
      <c r="Z134" s="51" t="s">
        <v>496</v>
      </c>
      <c r="AA134" s="51" t="s">
        <v>496</v>
      </c>
      <c r="AB134" s="177" t="s">
        <v>496</v>
      </c>
      <c r="AC134" s="71" t="s">
        <v>496</v>
      </c>
      <c r="AD134" s="177" t="s">
        <v>1332</v>
      </c>
      <c r="AE134" s="198">
        <v>0.5</v>
      </c>
      <c r="AF134" s="198">
        <v>0.5</v>
      </c>
      <c r="AG134" s="49">
        <f t="shared" si="11"/>
        <v>1</v>
      </c>
      <c r="AH134" s="71" t="s">
        <v>1333</v>
      </c>
      <c r="AI134" s="170" t="s">
        <v>511</v>
      </c>
      <c r="AJ134" s="170" t="s">
        <v>496</v>
      </c>
      <c r="AK134" s="45" t="s">
        <v>496</v>
      </c>
      <c r="AL134" s="45" t="s">
        <v>496</v>
      </c>
      <c r="AM134" s="45" t="s">
        <v>496</v>
      </c>
      <c r="AN134" s="71" t="s">
        <v>496</v>
      </c>
      <c r="AO134" s="170" t="s">
        <v>496</v>
      </c>
      <c r="AP134" s="177" t="s">
        <v>1334</v>
      </c>
      <c r="AQ134" s="108">
        <v>1</v>
      </c>
      <c r="AR134" s="92">
        <v>1</v>
      </c>
      <c r="AS134" s="159">
        <f>(+Tabla4[[#This Row],[Programación  meta
IV trimestre ]]/AR134)</f>
        <v>1</v>
      </c>
      <c r="AT134" s="251" t="s">
        <v>1335</v>
      </c>
      <c r="AU134" s="28" t="s">
        <v>502</v>
      </c>
      <c r="AV134" s="165" t="s">
        <v>485</v>
      </c>
      <c r="AW134" s="87">
        <f>+Tabla4[[#This Row],[Programación  meta
IV trimestre ]]</f>
        <v>1</v>
      </c>
      <c r="AX134" s="86">
        <f>+AR134</f>
        <v>1</v>
      </c>
      <c r="AY134" s="86">
        <f t="shared" si="8"/>
        <v>1</v>
      </c>
      <c r="AZ134" s="89" t="s">
        <v>503</v>
      </c>
      <c r="BA134" s="179"/>
      <c r="BB134" s="176"/>
      <c r="BC134" s="176"/>
      <c r="BD134" s="176"/>
      <c r="BE134" s="176"/>
      <c r="BF134" s="176"/>
      <c r="BG134" s="176"/>
      <c r="BH134" s="176"/>
      <c r="BI134" s="176"/>
      <c r="BJ134" s="176"/>
      <c r="BK134" s="176"/>
      <c r="BL134" s="176"/>
      <c r="BM134" s="176"/>
      <c r="BN134" s="176"/>
      <c r="BO134" s="176"/>
      <c r="BP134" s="176"/>
      <c r="BQ134" s="176"/>
      <c r="BR134" s="176"/>
      <c r="BS134" s="176"/>
      <c r="BT134" s="176"/>
      <c r="BU134" s="176"/>
      <c r="BV134" s="176"/>
      <c r="BW134" s="176"/>
      <c r="BX134" s="176"/>
      <c r="BY134" s="176"/>
      <c r="BZ134" s="176"/>
      <c r="CA134" s="176"/>
      <c r="CB134" s="176"/>
      <c r="CC134" s="176"/>
    </row>
    <row r="135" spans="1:81" s="180" customFormat="1" x14ac:dyDescent="0.2">
      <c r="B135" s="174" t="s">
        <v>320</v>
      </c>
      <c r="C135" s="170" t="s">
        <v>48</v>
      </c>
      <c r="D135" s="71" t="s">
        <v>174</v>
      </c>
      <c r="E135" s="71" t="s">
        <v>102</v>
      </c>
      <c r="F135" s="71" t="s">
        <v>336</v>
      </c>
      <c r="G135" s="71" t="s">
        <v>156</v>
      </c>
      <c r="H135" s="71" t="s">
        <v>79</v>
      </c>
      <c r="I135" s="71" t="s">
        <v>55</v>
      </c>
      <c r="J135" s="71" t="s">
        <v>106</v>
      </c>
      <c r="K135" s="71" t="s">
        <v>402</v>
      </c>
      <c r="L135" s="71" t="s">
        <v>252</v>
      </c>
      <c r="M135" s="170" t="s">
        <v>225</v>
      </c>
      <c r="N135" s="47">
        <v>121</v>
      </c>
      <c r="O135" s="71" t="s">
        <v>1336</v>
      </c>
      <c r="P135" s="48">
        <v>1</v>
      </c>
      <c r="Q135" s="49">
        <f>(+Y135+AE135+AK135+AQ135)/4</f>
        <v>1</v>
      </c>
      <c r="R135" s="45" t="s">
        <v>30</v>
      </c>
      <c r="S135" s="71" t="s">
        <v>1337</v>
      </c>
      <c r="T135" s="71" t="s">
        <v>588</v>
      </c>
      <c r="U135" s="212">
        <v>44562</v>
      </c>
      <c r="V135" s="212">
        <v>44926</v>
      </c>
      <c r="W135" s="71" t="s">
        <v>182</v>
      </c>
      <c r="X135" s="71" t="s">
        <v>589</v>
      </c>
      <c r="Y135" s="48">
        <v>1</v>
      </c>
      <c r="Z135" s="48">
        <v>0.5</v>
      </c>
      <c r="AA135" s="58">
        <f>(Z135/Y135)</f>
        <v>0.5</v>
      </c>
      <c r="AB135" s="71" t="s">
        <v>1338</v>
      </c>
      <c r="AC135" s="175" t="s">
        <v>511</v>
      </c>
      <c r="AD135" s="71" t="s">
        <v>589</v>
      </c>
      <c r="AE135" s="48">
        <v>1</v>
      </c>
      <c r="AF135" s="49">
        <v>1</v>
      </c>
      <c r="AG135" s="49">
        <f t="shared" si="11"/>
        <v>1</v>
      </c>
      <c r="AH135" s="104" t="s">
        <v>1339</v>
      </c>
      <c r="AI135" s="170" t="s">
        <v>511</v>
      </c>
      <c r="AJ135" s="71" t="s">
        <v>589</v>
      </c>
      <c r="AK135" s="48">
        <v>1</v>
      </c>
      <c r="AL135" s="49">
        <v>1</v>
      </c>
      <c r="AM135" s="25">
        <f>+(Tabla4[[#This Row],[Avance cuantitativo
III trimestre]]/Tabla4[[#This Row],[Programación  meta
III trimestre ]])*100%</f>
        <v>1</v>
      </c>
      <c r="AN135" s="104" t="s">
        <v>1340</v>
      </c>
      <c r="AO135" s="170" t="s">
        <v>511</v>
      </c>
      <c r="AP135" s="71" t="s">
        <v>589</v>
      </c>
      <c r="AQ135" s="109">
        <v>1</v>
      </c>
      <c r="AR135" s="92">
        <v>1</v>
      </c>
      <c r="AS135" s="159">
        <f>(+Tabla4[[#This Row],[Programación  meta
IV trimestre ]]/AR135)</f>
        <v>1</v>
      </c>
      <c r="AT135" s="104" t="s">
        <v>1341</v>
      </c>
      <c r="AU135" s="28" t="s">
        <v>502</v>
      </c>
      <c r="AV135" s="165" t="s">
        <v>485</v>
      </c>
      <c r="AW135" s="87">
        <f>+(Tabla4[[#This Row],[Programación  meta
I trimestre ]]+Tabla4[[#This Row],[Programación  meta
II trimestre ]]+Tabla4[[#This Row],[Programación  meta
III trimestre ]]+Tabla4[[#This Row],[Programación  meta
IV trimestre ]])/4</f>
        <v>1</v>
      </c>
      <c r="AX135" s="86">
        <f>+(Tabla4[[#This Row],[Avance cuantitativo
I trimestre]]+Tabla4[[#This Row],[Avance cuantitativo
II trimestre]]+Tabla4[[#This Row],[Avance cuantitativo
III trimestre]]+AR135)/4</f>
        <v>0.875</v>
      </c>
      <c r="AY135" s="86">
        <f t="shared" si="8"/>
        <v>0.875</v>
      </c>
      <c r="AZ135" s="143" t="s">
        <v>1170</v>
      </c>
      <c r="BA135" s="180" t="s">
        <v>594</v>
      </c>
    </row>
    <row r="136" spans="1:81" s="180" customFormat="1" x14ac:dyDescent="0.2">
      <c r="B136" s="138" t="s">
        <v>173</v>
      </c>
      <c r="C136" s="170" t="s">
        <v>18</v>
      </c>
      <c r="D136" s="71" t="s">
        <v>112</v>
      </c>
      <c r="E136" s="170" t="s">
        <v>50</v>
      </c>
      <c r="F136" s="71" t="s">
        <v>1342</v>
      </c>
      <c r="G136" s="71" t="s">
        <v>68</v>
      </c>
      <c r="H136" s="71" t="s">
        <v>221</v>
      </c>
      <c r="I136" s="71" t="s">
        <v>25</v>
      </c>
      <c r="J136" s="71" t="s">
        <v>128</v>
      </c>
      <c r="K136" s="71" t="s">
        <v>128</v>
      </c>
      <c r="L136" s="71" t="s">
        <v>215</v>
      </c>
      <c r="M136" s="71" t="s">
        <v>161</v>
      </c>
      <c r="N136" s="47">
        <v>122</v>
      </c>
      <c r="O136" s="60" t="s">
        <v>1343</v>
      </c>
      <c r="P136" s="49">
        <v>1</v>
      </c>
      <c r="Q136" s="49">
        <f>(+Y136+AE136+AK136+AQ136)/4</f>
        <v>1</v>
      </c>
      <c r="R136" s="47" t="s">
        <v>30</v>
      </c>
      <c r="S136" s="71" t="s">
        <v>1344</v>
      </c>
      <c r="T136" s="71" t="s">
        <v>1345</v>
      </c>
      <c r="U136" s="212">
        <v>44562</v>
      </c>
      <c r="V136" s="212">
        <v>44926</v>
      </c>
      <c r="W136" s="71" t="s">
        <v>273</v>
      </c>
      <c r="X136" s="71" t="s">
        <v>1346</v>
      </c>
      <c r="Y136" s="49">
        <v>1</v>
      </c>
      <c r="Z136" s="48">
        <v>1</v>
      </c>
      <c r="AA136" s="58">
        <f>(Z136/Y136)</f>
        <v>1</v>
      </c>
      <c r="AB136" s="60" t="s">
        <v>1347</v>
      </c>
      <c r="AC136" s="175" t="s">
        <v>800</v>
      </c>
      <c r="AD136" s="170" t="s">
        <v>1346</v>
      </c>
      <c r="AE136" s="49">
        <v>1</v>
      </c>
      <c r="AF136" s="49">
        <v>1</v>
      </c>
      <c r="AG136" s="49">
        <f t="shared" si="11"/>
        <v>1</v>
      </c>
      <c r="AH136" s="104" t="s">
        <v>1348</v>
      </c>
      <c r="AI136" s="71" t="s">
        <v>511</v>
      </c>
      <c r="AJ136" s="71" t="s">
        <v>1346</v>
      </c>
      <c r="AK136" s="48">
        <v>1</v>
      </c>
      <c r="AL136" s="45">
        <v>0</v>
      </c>
      <c r="AM136" s="236">
        <f>+(Tabla4[[#This Row],[Avance cuantitativo
III trimestre]]/Tabla4[[#This Row],[Programación  meta
III trimestre ]])*100%</f>
        <v>0</v>
      </c>
      <c r="AN136" s="110" t="s">
        <v>1349</v>
      </c>
      <c r="AO136" s="71" t="s">
        <v>511</v>
      </c>
      <c r="AP136" s="71" t="s">
        <v>1346</v>
      </c>
      <c r="AQ136" s="109">
        <v>1</v>
      </c>
      <c r="AR136" s="92">
        <v>1</v>
      </c>
      <c r="AS136" s="159">
        <f>(+Tabla4[[#This Row],[Programación  meta
IV trimestre ]]/AR136)</f>
        <v>1</v>
      </c>
      <c r="AT136" s="119" t="s">
        <v>1350</v>
      </c>
      <c r="AU136" s="28" t="s">
        <v>1351</v>
      </c>
      <c r="AV136" s="165" t="s">
        <v>485</v>
      </c>
      <c r="AW136" s="254">
        <f>+(Tabla4[[#This Row],[Programación  meta
I trimestre ]]+Tabla4[[#This Row],[Programación  meta
II trimestre ]]+Tabla4[[#This Row],[Programación  meta
III trimestre ]]+Tabla4[[#This Row],[Programación  meta
IV trimestre ]])/4</f>
        <v>1</v>
      </c>
      <c r="AX136" s="253">
        <f>+(Tabla4[[#This Row],[Avance cuantitativo
I trimestre]]+Tabla4[[#This Row],[Avance cuantitativo
II trimestre]]+Tabla4[[#This Row],[Avance cuantitativo
III trimestre]]+AR136)/4</f>
        <v>0.75</v>
      </c>
      <c r="AY136" s="253">
        <f t="shared" si="8"/>
        <v>0.75</v>
      </c>
      <c r="AZ136" s="144" t="s">
        <v>1352</v>
      </c>
      <c r="BA136" s="180" t="s">
        <v>1353</v>
      </c>
    </row>
    <row r="137" spans="1:81" s="180" customFormat="1" x14ac:dyDescent="0.2">
      <c r="B137" s="138" t="s">
        <v>209</v>
      </c>
      <c r="C137" s="170" t="s">
        <v>18</v>
      </c>
      <c r="D137" s="71" t="s">
        <v>174</v>
      </c>
      <c r="E137" s="170" t="s">
        <v>50</v>
      </c>
      <c r="F137" s="71" t="s">
        <v>625</v>
      </c>
      <c r="G137" s="71" t="s">
        <v>68</v>
      </c>
      <c r="H137" s="71" t="s">
        <v>221</v>
      </c>
      <c r="I137" s="71" t="s">
        <v>25</v>
      </c>
      <c r="J137" s="71" t="s">
        <v>128</v>
      </c>
      <c r="K137" s="71" t="s">
        <v>128</v>
      </c>
      <c r="L137" s="71" t="s">
        <v>215</v>
      </c>
      <c r="M137" s="71" t="s">
        <v>161</v>
      </c>
      <c r="N137" s="47">
        <v>123</v>
      </c>
      <c r="O137" s="60" t="s">
        <v>1354</v>
      </c>
      <c r="P137" s="58">
        <v>0.248</v>
      </c>
      <c r="Q137" s="25">
        <f>+Y137+AE137+AK137+AQ137</f>
        <v>0.252</v>
      </c>
      <c r="R137" s="47" t="s">
        <v>45</v>
      </c>
      <c r="S137" s="71" t="s">
        <v>1355</v>
      </c>
      <c r="T137" s="71" t="s">
        <v>1356</v>
      </c>
      <c r="U137" s="212">
        <v>44562</v>
      </c>
      <c r="V137" s="212">
        <v>44926</v>
      </c>
      <c r="W137" s="71" t="s">
        <v>273</v>
      </c>
      <c r="X137" s="71" t="s">
        <v>1357</v>
      </c>
      <c r="Y137" s="230">
        <v>7.4999999999999997E-2</v>
      </c>
      <c r="Z137" s="59">
        <v>0.16700000000000001</v>
      </c>
      <c r="AA137" s="58">
        <v>1</v>
      </c>
      <c r="AB137" s="62" t="s">
        <v>1358</v>
      </c>
      <c r="AC137" s="175" t="s">
        <v>511</v>
      </c>
      <c r="AD137" s="170" t="s">
        <v>1359</v>
      </c>
      <c r="AE137" s="230">
        <v>7.4999999999999997E-2</v>
      </c>
      <c r="AF137" s="58">
        <v>2.7E-2</v>
      </c>
      <c r="AG137" s="49">
        <f t="shared" si="11"/>
        <v>0.36</v>
      </c>
      <c r="AH137" s="149" t="s">
        <v>1360</v>
      </c>
      <c r="AI137" s="170" t="s">
        <v>511</v>
      </c>
      <c r="AJ137" s="170" t="s">
        <v>1359</v>
      </c>
      <c r="AK137" s="230">
        <v>7.4999999999999997E-2</v>
      </c>
      <c r="AL137" s="45" t="s">
        <v>1361</v>
      </c>
      <c r="AM137" s="25" t="e">
        <f>+(Tabla4[[#This Row],[Avance cuantitativo
III trimestre]]/Tabla4[[#This Row],[Programación  meta
III trimestre ]])*100%</f>
        <v>#VALUE!</v>
      </c>
      <c r="AN137" s="110" t="s">
        <v>1362</v>
      </c>
      <c r="AO137" s="104" t="s">
        <v>1363</v>
      </c>
      <c r="AP137" s="71" t="s">
        <v>1359</v>
      </c>
      <c r="AQ137" s="126">
        <v>2.7E-2</v>
      </c>
      <c r="AR137" s="259">
        <v>2.7E-2</v>
      </c>
      <c r="AS137" s="159">
        <f>(+Tabla4[[#This Row],[Programación  meta
IV trimestre ]]/AR137)</f>
        <v>1</v>
      </c>
      <c r="AT137" s="150" t="s">
        <v>1364</v>
      </c>
      <c r="AU137" s="28" t="s">
        <v>502</v>
      </c>
      <c r="AV137" s="165" t="s">
        <v>485</v>
      </c>
      <c r="AW137" s="255">
        <f>+Tabla4[[#This Row],[Meta Actividad/ Acción]]</f>
        <v>0.248</v>
      </c>
      <c r="AX137" s="253" t="e">
        <f>+Tabla4[[#This Row],[Avance cuantitativo
I trimestre]]+Tabla4[[#This Row],[Avance cuantitativo
II trimestre]]+Tabla4[[#This Row],[Avance cuantitativo
III trimestre]]+AR137</f>
        <v>#VALUE!</v>
      </c>
      <c r="AY137" s="253" t="e">
        <f>+(AX137/AW137)</f>
        <v>#VALUE!</v>
      </c>
      <c r="AZ137" s="89" t="s">
        <v>503</v>
      </c>
    </row>
    <row r="138" spans="1:81" s="180" customFormat="1" x14ac:dyDescent="0.2">
      <c r="B138" s="174" t="s">
        <v>254</v>
      </c>
      <c r="C138" s="71" t="s">
        <v>89</v>
      </c>
      <c r="D138" s="71" t="s">
        <v>254</v>
      </c>
      <c r="E138" s="71" t="s">
        <v>78</v>
      </c>
      <c r="F138" s="71" t="s">
        <v>1365</v>
      </c>
      <c r="G138" s="71" t="s">
        <v>93</v>
      </c>
      <c r="H138" s="71" t="s">
        <v>116</v>
      </c>
      <c r="I138" s="71" t="s">
        <v>25</v>
      </c>
      <c r="J138" s="71" t="s">
        <v>41</v>
      </c>
      <c r="K138" s="71" t="s">
        <v>403</v>
      </c>
      <c r="L138" s="71" t="s">
        <v>257</v>
      </c>
      <c r="M138" s="71" t="s">
        <v>225</v>
      </c>
      <c r="N138" s="47">
        <v>124</v>
      </c>
      <c r="O138" s="71" t="s">
        <v>1366</v>
      </c>
      <c r="P138" s="45">
        <v>4</v>
      </c>
      <c r="Q138" s="47">
        <f>+Y138+AE138+AK138+AQ138</f>
        <v>4</v>
      </c>
      <c r="R138" s="202" t="s">
        <v>30</v>
      </c>
      <c r="S138" s="170" t="s">
        <v>1367</v>
      </c>
      <c r="T138" s="170" t="s">
        <v>1368</v>
      </c>
      <c r="U138" s="212">
        <v>44562</v>
      </c>
      <c r="V138" s="45" t="s">
        <v>495</v>
      </c>
      <c r="W138" s="71" t="s">
        <v>142</v>
      </c>
      <c r="X138" s="71" t="s">
        <v>1367</v>
      </c>
      <c r="Y138" s="45">
        <v>1</v>
      </c>
      <c r="Z138" s="45">
        <v>1</v>
      </c>
      <c r="AA138" s="58">
        <f t="shared" ref="AA138:AA149" si="14">(Z138/Y138)</f>
        <v>1</v>
      </c>
      <c r="AB138" s="60" t="s">
        <v>1369</v>
      </c>
      <c r="AC138" s="175" t="s">
        <v>511</v>
      </c>
      <c r="AD138" s="71" t="s">
        <v>1367</v>
      </c>
      <c r="AE138" s="45">
        <v>1</v>
      </c>
      <c r="AF138" s="47">
        <v>1</v>
      </c>
      <c r="AG138" s="49">
        <f t="shared" si="11"/>
        <v>1</v>
      </c>
      <c r="AH138" s="183" t="s">
        <v>1370</v>
      </c>
      <c r="AI138" s="170" t="s">
        <v>511</v>
      </c>
      <c r="AJ138" s="71" t="s">
        <v>1367</v>
      </c>
      <c r="AK138" s="45">
        <v>1</v>
      </c>
      <c r="AL138" s="45">
        <v>1</v>
      </c>
      <c r="AM138" s="25">
        <f>+(Tabla4[[#This Row],[Avance cuantitativo
III trimestre]]/Tabla4[[#This Row],[Programación  meta
III trimestre ]])*100%</f>
        <v>1</v>
      </c>
      <c r="AN138" s="110" t="s">
        <v>1371</v>
      </c>
      <c r="AO138" s="170" t="s">
        <v>511</v>
      </c>
      <c r="AP138" s="71" t="s">
        <v>1367</v>
      </c>
      <c r="AQ138" s="63">
        <v>1</v>
      </c>
      <c r="AR138" s="37">
        <v>1</v>
      </c>
      <c r="AS138" s="159">
        <f>(+Tabla4[[#This Row],[Programación  meta
IV trimestre ]]/AR138)</f>
        <v>1</v>
      </c>
      <c r="AT138" s="140" t="s">
        <v>1367</v>
      </c>
      <c r="AU138" s="28" t="s">
        <v>502</v>
      </c>
      <c r="AV138" s="165" t="s">
        <v>485</v>
      </c>
      <c r="AW138" s="85">
        <f>+Tabla4[[#This Row],[Programación  meta
I trimestre ]]+Tabla4[[#This Row],[Programación  meta
II trimestre ]]+Tabla4[[#This Row],[Programación  meta
III trimestre ]]+Tabla4[[#This Row],[Programación  meta
IV trimestre ]]</f>
        <v>4</v>
      </c>
      <c r="AX138" s="84">
        <f>+Tabla4[[#This Row],[Avance cuantitativo
I trimestre]]+Tabla4[[#This Row],[Avance cuantitativo
II trimestre]]+Tabla4[[#This Row],[Avance cuantitativo
III trimestre]]+AR138</f>
        <v>4</v>
      </c>
      <c r="AY138" s="86">
        <f t="shared" si="8"/>
        <v>1</v>
      </c>
      <c r="AZ138" s="89" t="s">
        <v>503</v>
      </c>
    </row>
    <row r="139" spans="1:81" s="180" customFormat="1" x14ac:dyDescent="0.2">
      <c r="B139" s="174" t="s">
        <v>254</v>
      </c>
      <c r="C139" s="71" t="s">
        <v>89</v>
      </c>
      <c r="D139" s="71" t="s">
        <v>254</v>
      </c>
      <c r="E139" s="71" t="s">
        <v>78</v>
      </c>
      <c r="F139" s="71" t="s">
        <v>1365</v>
      </c>
      <c r="G139" s="71" t="s">
        <v>93</v>
      </c>
      <c r="H139" s="71" t="s">
        <v>116</v>
      </c>
      <c r="I139" s="71" t="s">
        <v>25</v>
      </c>
      <c r="J139" s="71" t="s">
        <v>41</v>
      </c>
      <c r="K139" s="71" t="s">
        <v>159</v>
      </c>
      <c r="L139" s="71" t="s">
        <v>257</v>
      </c>
      <c r="M139" s="71" t="s">
        <v>225</v>
      </c>
      <c r="N139" s="47">
        <v>125</v>
      </c>
      <c r="O139" s="71" t="s">
        <v>1372</v>
      </c>
      <c r="P139" s="45">
        <v>4</v>
      </c>
      <c r="Q139" s="47">
        <f>+Y139+AE139+AK139+AQ139</f>
        <v>4</v>
      </c>
      <c r="R139" s="45" t="s">
        <v>45</v>
      </c>
      <c r="S139" s="71" t="s">
        <v>1373</v>
      </c>
      <c r="T139" s="71" t="s">
        <v>1374</v>
      </c>
      <c r="U139" s="212">
        <v>44562</v>
      </c>
      <c r="V139" s="45" t="s">
        <v>495</v>
      </c>
      <c r="W139" s="71" t="s">
        <v>142</v>
      </c>
      <c r="X139" s="71" t="s">
        <v>1375</v>
      </c>
      <c r="Y139" s="45">
        <v>1</v>
      </c>
      <c r="Z139" s="45">
        <v>1</v>
      </c>
      <c r="AA139" s="58">
        <f t="shared" si="14"/>
        <v>1</v>
      </c>
      <c r="AB139" s="60" t="s">
        <v>1376</v>
      </c>
      <c r="AC139" s="175" t="s">
        <v>511</v>
      </c>
      <c r="AD139" s="71" t="s">
        <v>1375</v>
      </c>
      <c r="AE139" s="45">
        <v>1</v>
      </c>
      <c r="AF139" s="47">
        <v>1</v>
      </c>
      <c r="AG139" s="49">
        <f t="shared" si="11"/>
        <v>1</v>
      </c>
      <c r="AH139" s="191" t="s">
        <v>1377</v>
      </c>
      <c r="AI139" s="170" t="s">
        <v>511</v>
      </c>
      <c r="AJ139" s="71" t="s">
        <v>1375</v>
      </c>
      <c r="AK139" s="45">
        <v>1</v>
      </c>
      <c r="AL139" s="45">
        <v>1</v>
      </c>
      <c r="AM139" s="25">
        <f>+(Tabla4[[#This Row],[Avance cuantitativo
III trimestre]]/Tabla4[[#This Row],[Programación  meta
III trimestre ]])*100%</f>
        <v>1</v>
      </c>
      <c r="AN139" s="110" t="s">
        <v>1378</v>
      </c>
      <c r="AO139" s="170" t="s">
        <v>511</v>
      </c>
      <c r="AP139" s="71" t="s">
        <v>1375</v>
      </c>
      <c r="AQ139" s="63">
        <v>1</v>
      </c>
      <c r="AR139" s="37">
        <v>1</v>
      </c>
      <c r="AS139" s="159">
        <f>(+Tabla4[[#This Row],[Programación  meta
IV trimestre ]]/AR139)</f>
        <v>1</v>
      </c>
      <c r="AT139" s="140" t="s">
        <v>1375</v>
      </c>
      <c r="AU139" s="28" t="s">
        <v>502</v>
      </c>
      <c r="AV139" s="165" t="s">
        <v>485</v>
      </c>
      <c r="AW139" s="85">
        <f>+Tabla4[[#This Row],[Programación  meta
I trimestre ]]+Tabla4[[#This Row],[Programación  meta
II trimestre ]]+Tabla4[[#This Row],[Programación  meta
III trimestre ]]+Tabla4[[#This Row],[Programación  meta
IV trimestre ]]</f>
        <v>4</v>
      </c>
      <c r="AX139" s="84">
        <f>+Tabla4[[#This Row],[Avance cuantitativo
I trimestre]]+Tabla4[[#This Row],[Avance cuantitativo
II trimestre]]+Tabla4[[#This Row],[Avance cuantitativo
III trimestre]]+AR139</f>
        <v>4</v>
      </c>
      <c r="AY139" s="86">
        <f t="shared" si="8"/>
        <v>1</v>
      </c>
      <c r="AZ139" s="89" t="s">
        <v>503</v>
      </c>
    </row>
    <row r="140" spans="1:81" s="180" customFormat="1" ht="15" x14ac:dyDescent="0.2">
      <c r="A140" s="141"/>
      <c r="B140" s="174" t="s">
        <v>111</v>
      </c>
      <c r="C140" s="170" t="s">
        <v>48</v>
      </c>
      <c r="D140" s="170" t="s">
        <v>77</v>
      </c>
      <c r="E140" s="170" t="s">
        <v>50</v>
      </c>
      <c r="F140" s="170" t="s">
        <v>228</v>
      </c>
      <c r="G140" s="170" t="s">
        <v>93</v>
      </c>
      <c r="H140" s="170" t="s">
        <v>82</v>
      </c>
      <c r="I140" s="170" t="s">
        <v>55</v>
      </c>
      <c r="J140" s="170" t="s">
        <v>1379</v>
      </c>
      <c r="K140" s="170" t="s">
        <v>1380</v>
      </c>
      <c r="L140" s="170" t="s">
        <v>240</v>
      </c>
      <c r="M140" s="170" t="s">
        <v>181</v>
      </c>
      <c r="N140" s="47">
        <v>126</v>
      </c>
      <c r="O140" s="170" t="s">
        <v>1381</v>
      </c>
      <c r="P140" s="47">
        <v>1</v>
      </c>
      <c r="Q140" s="47">
        <f>+AQ140</f>
        <v>1</v>
      </c>
      <c r="R140" s="47" t="s">
        <v>60</v>
      </c>
      <c r="S140" s="170" t="s">
        <v>1382</v>
      </c>
      <c r="T140" s="170" t="s">
        <v>1383</v>
      </c>
      <c r="U140" s="213">
        <v>44562</v>
      </c>
      <c r="V140" s="47" t="s">
        <v>495</v>
      </c>
      <c r="W140" s="170" t="s">
        <v>1384</v>
      </c>
      <c r="X140" s="170" t="s">
        <v>1385</v>
      </c>
      <c r="Y140" s="231">
        <v>0.25</v>
      </c>
      <c r="Z140" s="47">
        <v>0.25</v>
      </c>
      <c r="AA140" s="58">
        <f t="shared" si="14"/>
        <v>1</v>
      </c>
      <c r="AB140" s="175" t="s">
        <v>1386</v>
      </c>
      <c r="AC140" s="175" t="s">
        <v>511</v>
      </c>
      <c r="AD140" s="170" t="s">
        <v>1385</v>
      </c>
      <c r="AE140" s="49" t="s">
        <v>1387</v>
      </c>
      <c r="AF140" s="47" t="s">
        <v>1387</v>
      </c>
      <c r="AG140" s="49" t="e">
        <f t="shared" si="11"/>
        <v>#VALUE!</v>
      </c>
      <c r="AH140" s="104" t="s">
        <v>1388</v>
      </c>
      <c r="AI140" s="170" t="s">
        <v>511</v>
      </c>
      <c r="AJ140" s="170" t="s">
        <v>1385</v>
      </c>
      <c r="AK140" s="49" t="s">
        <v>1389</v>
      </c>
      <c r="AL140" s="45" t="s">
        <v>1389</v>
      </c>
      <c r="AM140" s="25" t="e">
        <f>+(Tabla4[[#This Row],[Avance cuantitativo
III trimestre]]/Tabla4[[#This Row],[Programación  meta
III trimestre ]])*100%</f>
        <v>#VALUE!</v>
      </c>
      <c r="AN140" s="110" t="s">
        <v>1390</v>
      </c>
      <c r="AO140" s="177" t="s">
        <v>1391</v>
      </c>
      <c r="AP140" s="170" t="s">
        <v>1392</v>
      </c>
      <c r="AQ140" s="103">
        <v>1</v>
      </c>
      <c r="AR140" s="118">
        <v>1</v>
      </c>
      <c r="AS140" s="159">
        <f>(+Tabla4[[#This Row],[Programación  meta
IV trimestre ]]/AR140)</f>
        <v>1</v>
      </c>
      <c r="AT140" s="250" t="s">
        <v>1393</v>
      </c>
      <c r="AU140" s="247" t="s">
        <v>502</v>
      </c>
      <c r="AV140" s="165" t="s">
        <v>485</v>
      </c>
      <c r="AW140" s="85">
        <f>+Tabla4[[#This Row],[Programación  meta
IV trimestre ]]</f>
        <v>1</v>
      </c>
      <c r="AX140" s="86">
        <f>+AR140</f>
        <v>1</v>
      </c>
      <c r="AY140" s="86">
        <f t="shared" si="8"/>
        <v>1</v>
      </c>
      <c r="AZ140" s="89" t="s">
        <v>503</v>
      </c>
      <c r="BA140" s="141"/>
      <c r="BB140" s="141"/>
      <c r="BC140" s="141"/>
      <c r="BD140" s="141"/>
      <c r="BE140" s="141"/>
      <c r="BF140" s="141"/>
      <c r="BG140" s="141"/>
      <c r="BH140" s="141"/>
      <c r="BI140" s="141"/>
      <c r="BJ140" s="141"/>
      <c r="BK140" s="141"/>
      <c r="BL140" s="141"/>
      <c r="BM140" s="141"/>
      <c r="BN140" s="141"/>
      <c r="BO140" s="141"/>
      <c r="BP140" s="141"/>
      <c r="BQ140" s="141"/>
      <c r="BR140" s="141"/>
      <c r="BS140" s="141"/>
      <c r="BT140" s="141"/>
      <c r="BU140" s="141"/>
      <c r="BV140" s="141"/>
      <c r="BW140" s="141"/>
      <c r="BX140" s="141"/>
      <c r="BY140" s="141"/>
      <c r="BZ140" s="141"/>
      <c r="CA140" s="141"/>
      <c r="CB140" s="141"/>
      <c r="CC140" s="141"/>
    </row>
    <row r="141" spans="1:81" s="180" customFormat="1" x14ac:dyDescent="0.2">
      <c r="B141" s="138" t="s">
        <v>111</v>
      </c>
      <c r="C141" s="170" t="s">
        <v>33</v>
      </c>
      <c r="D141" s="71" t="s">
        <v>49</v>
      </c>
      <c r="E141" s="71" t="s">
        <v>50</v>
      </c>
      <c r="F141" s="71" t="s">
        <v>228</v>
      </c>
      <c r="G141" s="71" t="s">
        <v>93</v>
      </c>
      <c r="H141" s="71" t="s">
        <v>82</v>
      </c>
      <c r="I141" s="71" t="s">
        <v>55</v>
      </c>
      <c r="J141" s="71" t="s">
        <v>1379</v>
      </c>
      <c r="K141" s="71" t="s">
        <v>1380</v>
      </c>
      <c r="L141" s="71" t="s">
        <v>240</v>
      </c>
      <c r="M141" s="71" t="s">
        <v>181</v>
      </c>
      <c r="N141" s="47">
        <v>127</v>
      </c>
      <c r="O141" s="71" t="s">
        <v>1394</v>
      </c>
      <c r="P141" s="48">
        <v>1</v>
      </c>
      <c r="Q141" s="49">
        <f>+AQ141</f>
        <v>1</v>
      </c>
      <c r="R141" s="45" t="s">
        <v>60</v>
      </c>
      <c r="S141" s="71" t="s">
        <v>1395</v>
      </c>
      <c r="T141" s="71" t="s">
        <v>1396</v>
      </c>
      <c r="U141" s="212">
        <v>44562</v>
      </c>
      <c r="V141" s="47" t="s">
        <v>495</v>
      </c>
      <c r="W141" s="71" t="s">
        <v>1384</v>
      </c>
      <c r="X141" s="71" t="s">
        <v>1385</v>
      </c>
      <c r="Y141" s="48">
        <v>0.25</v>
      </c>
      <c r="Z141" s="48">
        <v>0.25</v>
      </c>
      <c r="AA141" s="58">
        <f t="shared" si="14"/>
        <v>1</v>
      </c>
      <c r="AB141" s="60" t="s">
        <v>1397</v>
      </c>
      <c r="AC141" s="175" t="s">
        <v>511</v>
      </c>
      <c r="AD141" s="71" t="s">
        <v>1385</v>
      </c>
      <c r="AE141" s="48" t="s">
        <v>1387</v>
      </c>
      <c r="AF141" s="48" t="s">
        <v>1387</v>
      </c>
      <c r="AG141" s="49" t="e">
        <f t="shared" si="11"/>
        <v>#VALUE!</v>
      </c>
      <c r="AH141" s="76" t="s">
        <v>1398</v>
      </c>
      <c r="AI141" s="170" t="s">
        <v>511</v>
      </c>
      <c r="AJ141" s="71" t="s">
        <v>1385</v>
      </c>
      <c r="AK141" s="48" t="s">
        <v>1389</v>
      </c>
      <c r="AL141" s="45" t="s">
        <v>1389</v>
      </c>
      <c r="AM141" s="25" t="e">
        <f>+(Tabla4[[#This Row],[Avance cuantitativo
III trimestre]]/Tabla4[[#This Row],[Programación  meta
III trimestre ]])*100%</f>
        <v>#VALUE!</v>
      </c>
      <c r="AN141" s="110" t="s">
        <v>1399</v>
      </c>
      <c r="AO141" s="177" t="s">
        <v>1400</v>
      </c>
      <c r="AP141" s="71" t="s">
        <v>1392</v>
      </c>
      <c r="AQ141" s="109">
        <v>1</v>
      </c>
      <c r="AR141" s="92">
        <v>1</v>
      </c>
      <c r="AS141" s="159">
        <f>(+Tabla4[[#This Row],[Programación  meta
IV trimestre ]]/AR141)</f>
        <v>1</v>
      </c>
      <c r="AT141" s="140" t="s">
        <v>1401</v>
      </c>
      <c r="AU141" s="247" t="s">
        <v>502</v>
      </c>
      <c r="AV141" s="165" t="s">
        <v>485</v>
      </c>
      <c r="AW141" s="87">
        <f>+Tabla4[[#This Row],[Programación  meta
IV trimestre ]]</f>
        <v>1</v>
      </c>
      <c r="AX141" s="86">
        <f>+AR141</f>
        <v>1</v>
      </c>
      <c r="AY141" s="86">
        <f t="shared" si="8"/>
        <v>1</v>
      </c>
      <c r="AZ141" s="89" t="s">
        <v>503</v>
      </c>
    </row>
    <row r="142" spans="1:81" s="30" customFormat="1" hidden="1" x14ac:dyDescent="0.2">
      <c r="B142" s="67" t="s">
        <v>320</v>
      </c>
      <c r="C142" s="46" t="s">
        <v>48</v>
      </c>
      <c r="D142" s="44" t="s">
        <v>184</v>
      </c>
      <c r="E142" s="44" t="s">
        <v>102</v>
      </c>
      <c r="F142" s="44" t="s">
        <v>338</v>
      </c>
      <c r="G142" s="44" t="s">
        <v>53</v>
      </c>
      <c r="H142" s="44" t="s">
        <v>82</v>
      </c>
      <c r="I142" s="44" t="s">
        <v>25</v>
      </c>
      <c r="J142" s="44" t="s">
        <v>178</v>
      </c>
      <c r="K142" s="44" t="s">
        <v>402</v>
      </c>
      <c r="L142" s="44" t="s">
        <v>257</v>
      </c>
      <c r="M142" s="44" t="s">
        <v>233</v>
      </c>
      <c r="N142" s="47">
        <v>128</v>
      </c>
      <c r="O142" s="44" t="s">
        <v>1402</v>
      </c>
      <c r="P142" s="48">
        <v>1</v>
      </c>
      <c r="Q142" s="49" t="e">
        <f>(+Y142+AE142+AK142+AQ142)/4</f>
        <v>#VALUE!</v>
      </c>
      <c r="R142" s="45" t="s">
        <v>30</v>
      </c>
      <c r="S142" s="44" t="s">
        <v>580</v>
      </c>
      <c r="T142" s="44" t="s">
        <v>581</v>
      </c>
      <c r="U142" s="212">
        <v>44562</v>
      </c>
      <c r="V142" s="47" t="s">
        <v>495</v>
      </c>
      <c r="W142" s="44" t="s">
        <v>1384</v>
      </c>
      <c r="X142" s="44" t="s">
        <v>582</v>
      </c>
      <c r="Y142" s="48">
        <v>1</v>
      </c>
      <c r="Z142" s="48">
        <v>1</v>
      </c>
      <c r="AA142" s="58">
        <f t="shared" si="14"/>
        <v>1</v>
      </c>
      <c r="AB142" s="60" t="s">
        <v>1403</v>
      </c>
      <c r="AC142" s="61" t="s">
        <v>511</v>
      </c>
      <c r="AD142" s="44" t="s">
        <v>582</v>
      </c>
      <c r="AE142" s="48">
        <v>1</v>
      </c>
      <c r="AF142" s="48">
        <v>1</v>
      </c>
      <c r="AG142" s="49">
        <f t="shared" si="11"/>
        <v>1</v>
      </c>
      <c r="AH142" s="76" t="s">
        <v>584</v>
      </c>
      <c r="AI142" s="46" t="s">
        <v>511</v>
      </c>
      <c r="AJ142" s="44" t="s">
        <v>585</v>
      </c>
      <c r="AK142" s="244" t="s">
        <v>496</v>
      </c>
      <c r="AL142" s="244" t="s">
        <v>496</v>
      </c>
      <c r="AM142" s="244" t="s">
        <v>496</v>
      </c>
      <c r="AN142" s="181" t="s">
        <v>496</v>
      </c>
      <c r="AO142" s="181" t="s">
        <v>496</v>
      </c>
      <c r="AP142" s="44" t="s">
        <v>585</v>
      </c>
      <c r="AQ142" s="48" t="s">
        <v>496</v>
      </c>
      <c r="AR142" s="48" t="s">
        <v>496</v>
      </c>
      <c r="AS142" s="48" t="s">
        <v>496</v>
      </c>
      <c r="AT142" s="139" t="s">
        <v>496</v>
      </c>
      <c r="AU142" s="246" t="s">
        <v>496</v>
      </c>
      <c r="AV142" s="165" t="s">
        <v>485</v>
      </c>
      <c r="AW142" s="85">
        <v>0</v>
      </c>
      <c r="AX142" s="84">
        <v>0</v>
      </c>
      <c r="AY142" s="86">
        <v>0</v>
      </c>
      <c r="AZ142" s="90" t="s">
        <v>585</v>
      </c>
    </row>
    <row r="143" spans="1:81" s="180" customFormat="1" x14ac:dyDescent="0.2">
      <c r="A143" s="147"/>
      <c r="B143" s="174" t="s">
        <v>32</v>
      </c>
      <c r="C143" s="170" t="s">
        <v>63</v>
      </c>
      <c r="D143" s="170" t="s">
        <v>90</v>
      </c>
      <c r="E143" s="170" t="s">
        <v>20</v>
      </c>
      <c r="F143" s="170" t="s">
        <v>1404</v>
      </c>
      <c r="G143" s="170" t="s">
        <v>186</v>
      </c>
      <c r="H143" s="170" t="s">
        <v>82</v>
      </c>
      <c r="I143" s="170" t="s">
        <v>55</v>
      </c>
      <c r="J143" s="170" t="s">
        <v>188</v>
      </c>
      <c r="K143" s="170" t="s">
        <v>385</v>
      </c>
      <c r="L143" s="170" t="s">
        <v>257</v>
      </c>
      <c r="M143" s="170" t="s">
        <v>73</v>
      </c>
      <c r="N143" s="47">
        <v>129</v>
      </c>
      <c r="O143" s="170" t="s">
        <v>1405</v>
      </c>
      <c r="P143" s="49">
        <v>1</v>
      </c>
      <c r="Q143" s="49">
        <f>(+Y143+AE143+AK143+AQ143)/4</f>
        <v>1</v>
      </c>
      <c r="R143" s="47" t="s">
        <v>30</v>
      </c>
      <c r="S143" s="170" t="s">
        <v>1406</v>
      </c>
      <c r="T143" s="170" t="s">
        <v>1407</v>
      </c>
      <c r="U143" s="213">
        <v>44562</v>
      </c>
      <c r="V143" s="47" t="s">
        <v>495</v>
      </c>
      <c r="W143" s="170" t="s">
        <v>241</v>
      </c>
      <c r="X143" s="170" t="s">
        <v>1408</v>
      </c>
      <c r="Y143" s="49">
        <v>1</v>
      </c>
      <c r="Z143" s="49">
        <v>1</v>
      </c>
      <c r="AA143" s="58">
        <f t="shared" si="14"/>
        <v>1</v>
      </c>
      <c r="AB143" s="62" t="s">
        <v>1409</v>
      </c>
      <c r="AC143" s="175" t="s">
        <v>1410</v>
      </c>
      <c r="AD143" s="170" t="s">
        <v>1408</v>
      </c>
      <c r="AE143" s="49">
        <v>1</v>
      </c>
      <c r="AF143" s="49">
        <v>1</v>
      </c>
      <c r="AG143" s="49">
        <f t="shared" ref="AG143:AG174" si="15">(AF143/AE143)</f>
        <v>1</v>
      </c>
      <c r="AH143" s="149" t="s">
        <v>1411</v>
      </c>
      <c r="AI143" s="170" t="s">
        <v>511</v>
      </c>
      <c r="AJ143" s="170" t="s">
        <v>1408</v>
      </c>
      <c r="AK143" s="49">
        <v>1</v>
      </c>
      <c r="AL143" s="49">
        <v>1</v>
      </c>
      <c r="AM143" s="25">
        <f>+(Tabla4[[#This Row],[Avance cuantitativo
III trimestre]]/Tabla4[[#This Row],[Programación  meta
III trimestre ]])*100%</f>
        <v>1</v>
      </c>
      <c r="AN143" s="110" t="s">
        <v>1412</v>
      </c>
      <c r="AO143" s="170" t="s">
        <v>511</v>
      </c>
      <c r="AP143" s="170" t="s">
        <v>1408</v>
      </c>
      <c r="AQ143" s="64">
        <v>1</v>
      </c>
      <c r="AR143" s="92">
        <v>1</v>
      </c>
      <c r="AS143" s="159">
        <f>(+Tabla4[[#This Row],[Programación  meta
IV trimestre ]]/AR143)</f>
        <v>1</v>
      </c>
      <c r="AT143" s="150" t="s">
        <v>1413</v>
      </c>
      <c r="AU143" s="247" t="s">
        <v>502</v>
      </c>
      <c r="AV143" s="165" t="s">
        <v>485</v>
      </c>
      <c r="AW143" s="87">
        <f>+(Tabla4[[#This Row],[Programación  meta
I trimestre ]]+Tabla4[[#This Row],[Programación  meta
II trimestre ]]+Tabla4[[#This Row],[Programación  meta
III trimestre ]]+Tabla4[[#This Row],[Programación  meta
IV trimestre ]])/4</f>
        <v>1</v>
      </c>
      <c r="AX143" s="86">
        <f>+(Tabla4[[#This Row],[Avance cuantitativo
I trimestre]]+Tabla4[[#This Row],[Avance cuantitativo
II trimestre]]+Tabla4[[#This Row],[Avance cuantitativo
III trimestre]]+AR143)/4</f>
        <v>1</v>
      </c>
      <c r="AY143" s="86">
        <f t="shared" si="8"/>
        <v>1</v>
      </c>
      <c r="AZ143" s="89" t="s">
        <v>503</v>
      </c>
      <c r="BA143" s="141"/>
      <c r="BB143" s="141"/>
      <c r="BC143" s="141"/>
      <c r="BD143" s="141"/>
      <c r="BE143" s="141"/>
      <c r="BF143" s="141"/>
      <c r="BG143" s="141"/>
      <c r="BH143" s="141"/>
      <c r="BI143" s="141"/>
      <c r="BJ143" s="141"/>
      <c r="BK143" s="141"/>
      <c r="BL143" s="141"/>
      <c r="BM143" s="141"/>
      <c r="BN143" s="141"/>
      <c r="BO143" s="141"/>
      <c r="BP143" s="141"/>
      <c r="BQ143" s="141"/>
      <c r="BR143" s="141"/>
      <c r="BS143" s="141"/>
      <c r="BT143" s="141"/>
      <c r="BU143" s="141"/>
      <c r="BV143" s="141"/>
      <c r="BW143" s="141"/>
      <c r="BX143" s="141"/>
      <c r="BY143" s="141"/>
      <c r="BZ143" s="141"/>
      <c r="CA143" s="141"/>
      <c r="CB143" s="141"/>
      <c r="CC143" s="141"/>
    </row>
    <row r="144" spans="1:81" s="180" customFormat="1" x14ac:dyDescent="0.2">
      <c r="A144" s="141"/>
      <c r="B144" s="174" t="s">
        <v>32</v>
      </c>
      <c r="C144" s="170" t="s">
        <v>63</v>
      </c>
      <c r="D144" s="170" t="s">
        <v>49</v>
      </c>
      <c r="E144" s="170" t="s">
        <v>20</v>
      </c>
      <c r="F144" s="170" t="s">
        <v>1404</v>
      </c>
      <c r="G144" s="170" t="s">
        <v>186</v>
      </c>
      <c r="H144" s="170" t="s">
        <v>82</v>
      </c>
      <c r="I144" s="170" t="s">
        <v>55</v>
      </c>
      <c r="J144" s="170" t="s">
        <v>188</v>
      </c>
      <c r="K144" s="170" t="s">
        <v>385</v>
      </c>
      <c r="L144" s="170" t="s">
        <v>257</v>
      </c>
      <c r="M144" s="170" t="s">
        <v>73</v>
      </c>
      <c r="N144" s="47">
        <v>130</v>
      </c>
      <c r="O144" s="170" t="s">
        <v>1414</v>
      </c>
      <c r="P144" s="49">
        <v>1</v>
      </c>
      <c r="Q144" s="49">
        <f>(+Y144+AE144+AK144+AQ144)/4</f>
        <v>1</v>
      </c>
      <c r="R144" s="47" t="s">
        <v>30</v>
      </c>
      <c r="S144" s="170" t="s">
        <v>1415</v>
      </c>
      <c r="T144" s="170" t="s">
        <v>1416</v>
      </c>
      <c r="U144" s="213">
        <v>44562</v>
      </c>
      <c r="V144" s="47" t="s">
        <v>495</v>
      </c>
      <c r="W144" s="170" t="s">
        <v>241</v>
      </c>
      <c r="X144" s="170" t="s">
        <v>1417</v>
      </c>
      <c r="Y144" s="49">
        <v>1</v>
      </c>
      <c r="Z144" s="49">
        <v>1</v>
      </c>
      <c r="AA144" s="58">
        <f t="shared" si="14"/>
        <v>1</v>
      </c>
      <c r="AB144" s="62" t="s">
        <v>1418</v>
      </c>
      <c r="AC144" s="175" t="s">
        <v>1410</v>
      </c>
      <c r="AD144" s="170" t="s">
        <v>1417</v>
      </c>
      <c r="AE144" s="49">
        <v>1</v>
      </c>
      <c r="AF144" s="49">
        <v>1</v>
      </c>
      <c r="AG144" s="49">
        <f t="shared" si="15"/>
        <v>1</v>
      </c>
      <c r="AH144" s="151" t="s">
        <v>1419</v>
      </c>
      <c r="AI144" s="170" t="s">
        <v>511</v>
      </c>
      <c r="AJ144" s="170" t="s">
        <v>1417</v>
      </c>
      <c r="AK144" s="49">
        <v>1</v>
      </c>
      <c r="AL144" s="49">
        <v>1</v>
      </c>
      <c r="AM144" s="25">
        <f>+(Tabla4[[#This Row],[Avance cuantitativo
III trimestre]]/Tabla4[[#This Row],[Programación  meta
III trimestre ]])*100%</f>
        <v>1</v>
      </c>
      <c r="AN144" s="110" t="s">
        <v>1420</v>
      </c>
      <c r="AO144" s="170" t="s">
        <v>511</v>
      </c>
      <c r="AP144" s="170" t="s">
        <v>1417</v>
      </c>
      <c r="AQ144" s="64">
        <v>1</v>
      </c>
      <c r="AR144" s="92">
        <v>1</v>
      </c>
      <c r="AS144" s="159">
        <f>(+Tabla4[[#This Row],[Programación  meta
IV trimestre ]]/AR144)</f>
        <v>1</v>
      </c>
      <c r="AT144" s="150" t="s">
        <v>1421</v>
      </c>
      <c r="AU144" s="247" t="s">
        <v>502</v>
      </c>
      <c r="AV144" s="165" t="s">
        <v>485</v>
      </c>
      <c r="AW144" s="87">
        <f>+(Tabla4[[#This Row],[Programación  meta
I trimestre ]]+Tabla4[[#This Row],[Programación  meta
II trimestre ]]+Tabla4[[#This Row],[Programación  meta
III trimestre ]]+Tabla4[[#This Row],[Programación  meta
IV trimestre ]])/4</f>
        <v>1</v>
      </c>
      <c r="AX144" s="86">
        <f>+(Tabla4[[#This Row],[Avance cuantitativo
I trimestre]]+Tabla4[[#This Row],[Avance cuantitativo
II trimestre]]+Tabla4[[#This Row],[Avance cuantitativo
III trimestre]]+AR144)/4</f>
        <v>1</v>
      </c>
      <c r="AY144" s="86">
        <f t="shared" ref="AY144:AY183" si="16">+(AX144/AW144)</f>
        <v>1</v>
      </c>
      <c r="AZ144" s="89" t="s">
        <v>503</v>
      </c>
      <c r="BA144" s="141"/>
      <c r="BB144" s="141"/>
      <c r="BC144" s="141"/>
      <c r="BD144" s="141"/>
      <c r="BE144" s="141"/>
      <c r="BF144" s="141"/>
      <c r="BG144" s="141"/>
      <c r="BH144" s="141"/>
      <c r="BI144" s="141"/>
      <c r="BJ144" s="141"/>
      <c r="BK144" s="141"/>
      <c r="BL144" s="141"/>
      <c r="BM144" s="141"/>
      <c r="BN144" s="141"/>
      <c r="BO144" s="141"/>
      <c r="BP144" s="141"/>
      <c r="BQ144" s="141"/>
      <c r="BR144" s="141"/>
      <c r="BS144" s="141"/>
      <c r="BT144" s="141"/>
      <c r="BU144" s="141"/>
      <c r="BV144" s="141"/>
      <c r="BW144" s="141"/>
      <c r="BX144" s="141"/>
      <c r="BY144" s="141"/>
      <c r="BZ144" s="141"/>
      <c r="CA144" s="141"/>
      <c r="CB144" s="141"/>
      <c r="CC144" s="141"/>
    </row>
    <row r="145" spans="1:81" s="180" customFormat="1" x14ac:dyDescent="0.2">
      <c r="A145" s="141"/>
      <c r="B145" s="174" t="s">
        <v>32</v>
      </c>
      <c r="C145" s="170" t="s">
        <v>48</v>
      </c>
      <c r="D145" s="170" t="s">
        <v>49</v>
      </c>
      <c r="E145" s="170" t="s">
        <v>50</v>
      </c>
      <c r="F145" s="170" t="s">
        <v>333</v>
      </c>
      <c r="G145" s="170" t="s">
        <v>186</v>
      </c>
      <c r="H145" s="170" t="s">
        <v>720</v>
      </c>
      <c r="I145" s="170" t="s">
        <v>25</v>
      </c>
      <c r="J145" s="170" t="s">
        <v>188</v>
      </c>
      <c r="K145" s="170" t="s">
        <v>403</v>
      </c>
      <c r="L145" s="170" t="s">
        <v>257</v>
      </c>
      <c r="M145" s="170" t="s">
        <v>73</v>
      </c>
      <c r="N145" s="47">
        <v>131</v>
      </c>
      <c r="O145" s="170" t="s">
        <v>1422</v>
      </c>
      <c r="P145" s="49">
        <v>1</v>
      </c>
      <c r="Q145" s="49">
        <f>(+Y145+AE145+AK145+AQ145)/4</f>
        <v>1</v>
      </c>
      <c r="R145" s="47" t="s">
        <v>30</v>
      </c>
      <c r="S145" s="170" t="s">
        <v>1423</v>
      </c>
      <c r="T145" s="170" t="s">
        <v>1424</v>
      </c>
      <c r="U145" s="213">
        <v>44562</v>
      </c>
      <c r="V145" s="47" t="s">
        <v>495</v>
      </c>
      <c r="W145" s="170" t="s">
        <v>241</v>
      </c>
      <c r="X145" s="170" t="s">
        <v>1425</v>
      </c>
      <c r="Y145" s="49">
        <v>1</v>
      </c>
      <c r="Z145" s="49">
        <v>1</v>
      </c>
      <c r="AA145" s="58">
        <f t="shared" si="14"/>
        <v>1</v>
      </c>
      <c r="AB145" s="62" t="s">
        <v>1426</v>
      </c>
      <c r="AC145" s="175" t="s">
        <v>1410</v>
      </c>
      <c r="AD145" s="170" t="s">
        <v>1425</v>
      </c>
      <c r="AE145" s="49">
        <v>1</v>
      </c>
      <c r="AF145" s="49">
        <v>1</v>
      </c>
      <c r="AG145" s="49">
        <f t="shared" si="15"/>
        <v>1</v>
      </c>
      <c r="AH145" s="151" t="s">
        <v>1427</v>
      </c>
      <c r="AI145" s="175" t="s">
        <v>1428</v>
      </c>
      <c r="AJ145" s="170" t="s">
        <v>1425</v>
      </c>
      <c r="AK145" s="49">
        <v>1</v>
      </c>
      <c r="AL145" s="49">
        <v>1</v>
      </c>
      <c r="AM145" s="25">
        <f>+(Tabla4[[#This Row],[Avance cuantitativo
III trimestre]]/Tabla4[[#This Row],[Programación  meta
III trimestre ]])*100%</f>
        <v>1</v>
      </c>
      <c r="AN145" s="110" t="s">
        <v>1429</v>
      </c>
      <c r="AO145" s="170" t="s">
        <v>511</v>
      </c>
      <c r="AP145" s="170" t="s">
        <v>1425</v>
      </c>
      <c r="AQ145" s="64">
        <v>1</v>
      </c>
      <c r="AR145" s="92">
        <v>1</v>
      </c>
      <c r="AS145" s="159">
        <f>(+Tabla4[[#This Row],[Programación  meta
IV trimestre ]]/AR145)</f>
        <v>1</v>
      </c>
      <c r="AT145" s="150" t="s">
        <v>1430</v>
      </c>
      <c r="AU145" s="247" t="s">
        <v>502</v>
      </c>
      <c r="AV145" s="165" t="s">
        <v>485</v>
      </c>
      <c r="AW145" s="87">
        <f>+(Tabla4[[#This Row],[Programación  meta
I trimestre ]]+Tabla4[[#This Row],[Programación  meta
II trimestre ]]+Tabla4[[#This Row],[Programación  meta
III trimestre ]]+Tabla4[[#This Row],[Programación  meta
IV trimestre ]])/4</f>
        <v>1</v>
      </c>
      <c r="AX145" s="86">
        <f>+(Tabla4[[#This Row],[Avance cuantitativo
I trimestre]]+Tabla4[[#This Row],[Avance cuantitativo
II trimestre]]+Tabla4[[#This Row],[Avance cuantitativo
III trimestre]]+AR145)/4</f>
        <v>1</v>
      </c>
      <c r="AY145" s="86">
        <f t="shared" si="16"/>
        <v>1</v>
      </c>
      <c r="AZ145" s="89" t="s">
        <v>503</v>
      </c>
      <c r="BA145" s="141"/>
      <c r="BB145" s="141"/>
      <c r="BC145" s="141"/>
      <c r="BD145" s="141"/>
      <c r="BE145" s="141"/>
      <c r="BF145" s="141"/>
      <c r="BG145" s="141"/>
      <c r="BH145" s="141"/>
      <c r="BI145" s="141"/>
      <c r="BJ145" s="141"/>
      <c r="BK145" s="141"/>
      <c r="BL145" s="141"/>
      <c r="BM145" s="141"/>
      <c r="BN145" s="141"/>
      <c r="BO145" s="141"/>
      <c r="BP145" s="141"/>
      <c r="BQ145" s="141"/>
      <c r="BR145" s="141"/>
      <c r="BS145" s="141"/>
      <c r="BT145" s="141"/>
      <c r="BU145" s="141"/>
      <c r="BV145" s="141"/>
      <c r="BW145" s="141"/>
      <c r="BX145" s="141"/>
      <c r="BY145" s="141"/>
      <c r="BZ145" s="141"/>
      <c r="CA145" s="141"/>
      <c r="CB145" s="141"/>
      <c r="CC145" s="141"/>
    </row>
    <row r="146" spans="1:81" s="30" customFormat="1" hidden="1" x14ac:dyDescent="0.2">
      <c r="B146" s="67" t="s">
        <v>320</v>
      </c>
      <c r="C146" s="46" t="s">
        <v>48</v>
      </c>
      <c r="D146" s="44" t="s">
        <v>184</v>
      </c>
      <c r="E146" s="44" t="s">
        <v>102</v>
      </c>
      <c r="F146" s="44" t="s">
        <v>338</v>
      </c>
      <c r="G146" s="44" t="s">
        <v>53</v>
      </c>
      <c r="H146" s="44" t="s">
        <v>82</v>
      </c>
      <c r="I146" s="44" t="s">
        <v>25</v>
      </c>
      <c r="J146" s="44" t="s">
        <v>188</v>
      </c>
      <c r="K146" s="44" t="s">
        <v>402</v>
      </c>
      <c r="L146" s="44" t="s">
        <v>257</v>
      </c>
      <c r="M146" s="44" t="s">
        <v>233</v>
      </c>
      <c r="N146" s="47">
        <v>132</v>
      </c>
      <c r="O146" s="44" t="s">
        <v>1431</v>
      </c>
      <c r="P146" s="48">
        <v>1</v>
      </c>
      <c r="Q146" s="49" t="e">
        <f>(+Y146+AE146+AK146+AQ146)/4</f>
        <v>#VALUE!</v>
      </c>
      <c r="R146" s="45" t="s">
        <v>30</v>
      </c>
      <c r="S146" s="44" t="s">
        <v>580</v>
      </c>
      <c r="T146" s="44" t="s">
        <v>581</v>
      </c>
      <c r="U146" s="212">
        <v>44562</v>
      </c>
      <c r="V146" s="47" t="s">
        <v>495</v>
      </c>
      <c r="W146" s="44" t="s">
        <v>241</v>
      </c>
      <c r="X146" s="44" t="s">
        <v>582</v>
      </c>
      <c r="Y146" s="48">
        <v>1</v>
      </c>
      <c r="Z146" s="48">
        <v>1</v>
      </c>
      <c r="AA146" s="58">
        <f t="shared" si="14"/>
        <v>1</v>
      </c>
      <c r="AB146" s="60" t="s">
        <v>1403</v>
      </c>
      <c r="AC146" s="61" t="s">
        <v>511</v>
      </c>
      <c r="AD146" s="44" t="s">
        <v>582</v>
      </c>
      <c r="AE146" s="48">
        <v>1</v>
      </c>
      <c r="AF146" s="49">
        <v>0.8</v>
      </c>
      <c r="AG146" s="49">
        <f t="shared" si="15"/>
        <v>0.8</v>
      </c>
      <c r="AH146" s="76" t="s">
        <v>584</v>
      </c>
      <c r="AI146" s="46" t="s">
        <v>511</v>
      </c>
      <c r="AJ146" s="44" t="s">
        <v>585</v>
      </c>
      <c r="AK146" s="244" t="s">
        <v>496</v>
      </c>
      <c r="AL146" s="244" t="s">
        <v>496</v>
      </c>
      <c r="AM146" s="244" t="s">
        <v>496</v>
      </c>
      <c r="AN146" s="181" t="s">
        <v>496</v>
      </c>
      <c r="AO146" s="181" t="s">
        <v>496</v>
      </c>
      <c r="AP146" s="44" t="s">
        <v>585</v>
      </c>
      <c r="AQ146" s="48" t="s">
        <v>496</v>
      </c>
      <c r="AR146" s="48" t="s">
        <v>496</v>
      </c>
      <c r="AS146" s="48" t="s">
        <v>496</v>
      </c>
      <c r="AT146" s="139" t="s">
        <v>496</v>
      </c>
      <c r="AU146" s="246" t="s">
        <v>496</v>
      </c>
      <c r="AV146" s="165" t="s">
        <v>485</v>
      </c>
      <c r="AW146" s="85">
        <v>0</v>
      </c>
      <c r="AX146" s="84">
        <v>0</v>
      </c>
      <c r="AY146" s="86">
        <v>0</v>
      </c>
      <c r="AZ146" s="90" t="s">
        <v>585</v>
      </c>
    </row>
    <row r="147" spans="1:81" s="30" customFormat="1" ht="15" hidden="1" x14ac:dyDescent="0.25">
      <c r="A147" s="23"/>
      <c r="B147" s="174" t="s">
        <v>320</v>
      </c>
      <c r="C147" s="170" t="s">
        <v>1432</v>
      </c>
      <c r="D147" s="170" t="s">
        <v>184</v>
      </c>
      <c r="E147" s="170" t="s">
        <v>102</v>
      </c>
      <c r="F147" s="170" t="s">
        <v>338</v>
      </c>
      <c r="G147" s="170" t="s">
        <v>53</v>
      </c>
      <c r="H147" s="170" t="s">
        <v>82</v>
      </c>
      <c r="I147" s="170" t="s">
        <v>25</v>
      </c>
      <c r="J147" s="170" t="s">
        <v>213</v>
      </c>
      <c r="K147" s="170" t="s">
        <v>402</v>
      </c>
      <c r="L147" s="170" t="s">
        <v>257</v>
      </c>
      <c r="M147" s="170" t="s">
        <v>171</v>
      </c>
      <c r="N147" s="47">
        <v>133</v>
      </c>
      <c r="O147" s="170" t="s">
        <v>1433</v>
      </c>
      <c r="P147" s="49">
        <v>1</v>
      </c>
      <c r="Q147" s="52"/>
      <c r="R147" s="47" t="s">
        <v>30</v>
      </c>
      <c r="S147" s="170" t="s">
        <v>1434</v>
      </c>
      <c r="T147" s="192" t="s">
        <v>1435</v>
      </c>
      <c r="U147" s="213">
        <v>44562</v>
      </c>
      <c r="V147" s="47" t="s">
        <v>1436</v>
      </c>
      <c r="W147" s="170" t="s">
        <v>1437</v>
      </c>
      <c r="X147" s="170" t="s">
        <v>582</v>
      </c>
      <c r="Y147" s="49">
        <v>1</v>
      </c>
      <c r="Z147" s="49">
        <v>0.8</v>
      </c>
      <c r="AA147" s="58">
        <f t="shared" si="14"/>
        <v>0.8</v>
      </c>
      <c r="AB147" s="175" t="s">
        <v>1403</v>
      </c>
      <c r="AC147" s="61" t="s">
        <v>511</v>
      </c>
      <c r="AD147" s="170" t="s">
        <v>582</v>
      </c>
      <c r="AE147" s="49">
        <v>1</v>
      </c>
      <c r="AF147" s="49">
        <v>0.8</v>
      </c>
      <c r="AG147" s="49">
        <f t="shared" si="15"/>
        <v>0.8</v>
      </c>
      <c r="AH147" s="76" t="s">
        <v>1438</v>
      </c>
      <c r="AI147" s="46" t="s">
        <v>511</v>
      </c>
      <c r="AJ147" s="44" t="s">
        <v>585</v>
      </c>
      <c r="AK147" s="45" t="s">
        <v>496</v>
      </c>
      <c r="AL147" s="45" t="s">
        <v>496</v>
      </c>
      <c r="AM147" s="45" t="s">
        <v>496</v>
      </c>
      <c r="AN147" s="71" t="s">
        <v>496</v>
      </c>
      <c r="AO147" s="170" t="s">
        <v>496</v>
      </c>
      <c r="AP147" s="44" t="s">
        <v>585</v>
      </c>
      <c r="AQ147" s="48" t="s">
        <v>496</v>
      </c>
      <c r="AR147" s="48" t="s">
        <v>496</v>
      </c>
      <c r="AS147" s="48" t="s">
        <v>496</v>
      </c>
      <c r="AT147" s="139" t="s">
        <v>496</v>
      </c>
      <c r="AU147" s="246" t="s">
        <v>496</v>
      </c>
      <c r="AV147" s="165" t="s">
        <v>485</v>
      </c>
      <c r="AW147" s="85">
        <v>0</v>
      </c>
      <c r="AX147" s="84">
        <v>0</v>
      </c>
      <c r="AY147" s="86">
        <v>0</v>
      </c>
      <c r="AZ147" s="91" t="s">
        <v>585</v>
      </c>
      <c r="BA147" s="23"/>
      <c r="BB147" s="23"/>
      <c r="BC147" s="23"/>
      <c r="BD147" s="23"/>
      <c r="BE147" s="23"/>
      <c r="BF147" s="23"/>
      <c r="BG147" s="23"/>
      <c r="BH147" s="23"/>
      <c r="BI147" s="23"/>
      <c r="BJ147" s="23"/>
      <c r="BK147" s="23"/>
      <c r="BL147" s="23"/>
      <c r="BM147" s="23"/>
      <c r="BN147" s="23"/>
      <c r="BO147" s="23"/>
      <c r="BP147" s="23"/>
      <c r="BQ147" s="23"/>
      <c r="BR147" s="23"/>
      <c r="BS147" s="23"/>
      <c r="BT147" s="23"/>
      <c r="BU147" s="23"/>
      <c r="BV147" s="23"/>
      <c r="BW147" s="23"/>
      <c r="BX147" s="23"/>
      <c r="BY147" s="23"/>
      <c r="BZ147" s="23"/>
      <c r="CA147" s="23"/>
      <c r="CB147" s="23"/>
      <c r="CC147" s="23"/>
    </row>
    <row r="148" spans="1:81" s="180" customFormat="1" x14ac:dyDescent="0.2">
      <c r="A148" s="147"/>
      <c r="B148" s="174" t="s">
        <v>248</v>
      </c>
      <c r="C148" s="170" t="s">
        <v>48</v>
      </c>
      <c r="D148" s="170" t="s">
        <v>90</v>
      </c>
      <c r="E148" s="170" t="s">
        <v>50</v>
      </c>
      <c r="F148" s="170" t="s">
        <v>283</v>
      </c>
      <c r="G148" s="170" t="s">
        <v>1439</v>
      </c>
      <c r="H148" s="170" t="s">
        <v>82</v>
      </c>
      <c r="I148" s="170" t="s">
        <v>1440</v>
      </c>
      <c r="J148" s="170" t="s">
        <v>213</v>
      </c>
      <c r="K148" s="170" t="s">
        <v>1441</v>
      </c>
      <c r="L148" s="170" t="s">
        <v>257</v>
      </c>
      <c r="M148" s="170" t="s">
        <v>171</v>
      </c>
      <c r="N148" s="47">
        <v>134</v>
      </c>
      <c r="O148" s="170" t="s">
        <v>1442</v>
      </c>
      <c r="P148" s="47">
        <v>10</v>
      </c>
      <c r="Q148" s="47">
        <f>+Y148+AE148+AK148+AQ148</f>
        <v>10</v>
      </c>
      <c r="R148" s="47" t="s">
        <v>45</v>
      </c>
      <c r="S148" s="170" t="s">
        <v>1443</v>
      </c>
      <c r="T148" s="170" t="s">
        <v>1444</v>
      </c>
      <c r="U148" s="213">
        <v>44564</v>
      </c>
      <c r="V148" s="47" t="s">
        <v>495</v>
      </c>
      <c r="W148" s="170" t="s">
        <v>265</v>
      </c>
      <c r="X148" s="170" t="s">
        <v>1445</v>
      </c>
      <c r="Y148" s="47">
        <v>2</v>
      </c>
      <c r="Z148" s="47">
        <v>2</v>
      </c>
      <c r="AA148" s="58">
        <f t="shared" si="14"/>
        <v>1</v>
      </c>
      <c r="AB148" s="175" t="s">
        <v>1446</v>
      </c>
      <c r="AC148" s="175" t="s">
        <v>1447</v>
      </c>
      <c r="AD148" s="170" t="s">
        <v>1445</v>
      </c>
      <c r="AE148" s="47">
        <v>3</v>
      </c>
      <c r="AF148" s="47">
        <v>3</v>
      </c>
      <c r="AG148" s="49">
        <f t="shared" si="15"/>
        <v>1</v>
      </c>
      <c r="AH148" s="170" t="s">
        <v>1448</v>
      </c>
      <c r="AI148" s="170" t="s">
        <v>1449</v>
      </c>
      <c r="AJ148" s="170" t="s">
        <v>1445</v>
      </c>
      <c r="AK148" s="47">
        <v>3</v>
      </c>
      <c r="AL148" s="238">
        <v>3</v>
      </c>
      <c r="AM148" s="25">
        <f>+(Tabla4[[#This Row],[Avance cuantitativo
III trimestre]]/Tabla4[[#This Row],[Programación  meta
III trimestre ]])*100%</f>
        <v>1</v>
      </c>
      <c r="AN148" s="110" t="s">
        <v>1450</v>
      </c>
      <c r="AO148" s="170" t="s">
        <v>511</v>
      </c>
      <c r="AP148" s="170" t="s">
        <v>1445</v>
      </c>
      <c r="AQ148" s="103">
        <v>2</v>
      </c>
      <c r="AR148" s="37">
        <v>2</v>
      </c>
      <c r="AS148" s="159">
        <f>(+Tabla4[[#This Row],[Programación  meta
IV trimestre ]]/AR148)</f>
        <v>1</v>
      </c>
      <c r="AT148" s="250" t="s">
        <v>1451</v>
      </c>
      <c r="AU148" s="26" t="s">
        <v>502</v>
      </c>
      <c r="AV148" s="165" t="s">
        <v>485</v>
      </c>
      <c r="AW148" s="85">
        <f>+Tabla4[[#This Row],[Programación  meta
I trimestre ]]+Tabla4[[#This Row],[Programación  meta
II trimestre ]]+Tabla4[[#This Row],[Programación  meta
III trimestre ]]+Tabla4[[#This Row],[Programación  meta
IV trimestre ]]</f>
        <v>10</v>
      </c>
      <c r="AX148" s="84">
        <f>+Tabla4[[#This Row],[Avance cuantitativo
I trimestre]]+Tabla4[[#This Row],[Avance cuantitativo
II trimestre]]+Tabla4[[#This Row],[Avance cuantitativo
III trimestre]]+AR148</f>
        <v>10</v>
      </c>
      <c r="AY148" s="86">
        <f t="shared" si="16"/>
        <v>1</v>
      </c>
      <c r="AZ148" s="89" t="s">
        <v>503</v>
      </c>
      <c r="BA148" s="141"/>
      <c r="BB148" s="141"/>
      <c r="BC148" s="141"/>
      <c r="BD148" s="141"/>
      <c r="BE148" s="141"/>
      <c r="BF148" s="141"/>
      <c r="BG148" s="141"/>
      <c r="BH148" s="141"/>
      <c r="BI148" s="141"/>
      <c r="BJ148" s="141"/>
      <c r="BK148" s="141"/>
      <c r="BL148" s="141"/>
      <c r="BM148" s="141"/>
      <c r="BN148" s="141"/>
      <c r="BO148" s="141"/>
      <c r="BP148" s="141"/>
      <c r="BQ148" s="141"/>
      <c r="BR148" s="141"/>
      <c r="BS148" s="141"/>
      <c r="BT148" s="141"/>
      <c r="BU148" s="141"/>
      <c r="BV148" s="141"/>
      <c r="BW148" s="141"/>
      <c r="BX148" s="141"/>
      <c r="BY148" s="141"/>
      <c r="BZ148" s="141"/>
      <c r="CA148" s="141"/>
      <c r="CB148" s="141"/>
      <c r="CC148" s="141"/>
    </row>
    <row r="149" spans="1:81" s="180" customFormat="1" x14ac:dyDescent="0.2">
      <c r="A149" s="147"/>
      <c r="B149" s="174" t="s">
        <v>248</v>
      </c>
      <c r="C149" s="170" t="s">
        <v>48</v>
      </c>
      <c r="D149" s="170" t="s">
        <v>90</v>
      </c>
      <c r="E149" s="170" t="s">
        <v>50</v>
      </c>
      <c r="F149" s="170" t="s">
        <v>283</v>
      </c>
      <c r="G149" s="170" t="s">
        <v>1439</v>
      </c>
      <c r="H149" s="170" t="s">
        <v>82</v>
      </c>
      <c r="I149" s="170" t="s">
        <v>1440</v>
      </c>
      <c r="J149" s="170" t="s">
        <v>213</v>
      </c>
      <c r="K149" s="170" t="s">
        <v>1441</v>
      </c>
      <c r="L149" s="170" t="s">
        <v>257</v>
      </c>
      <c r="M149" s="170" t="s">
        <v>171</v>
      </c>
      <c r="N149" s="47">
        <v>135</v>
      </c>
      <c r="O149" s="170" t="s">
        <v>1452</v>
      </c>
      <c r="P149" s="47">
        <v>14</v>
      </c>
      <c r="Q149" s="47">
        <f>+Y149+AE149+AK149+AQ149</f>
        <v>14</v>
      </c>
      <c r="R149" s="47" t="s">
        <v>45</v>
      </c>
      <c r="S149" s="170" t="s">
        <v>1453</v>
      </c>
      <c r="T149" s="170" t="s">
        <v>1454</v>
      </c>
      <c r="U149" s="213">
        <v>44563</v>
      </c>
      <c r="V149" s="47" t="s">
        <v>495</v>
      </c>
      <c r="W149" s="170" t="s">
        <v>265</v>
      </c>
      <c r="X149" s="170" t="s">
        <v>1445</v>
      </c>
      <c r="Y149" s="47">
        <v>3</v>
      </c>
      <c r="Z149" s="47">
        <v>3</v>
      </c>
      <c r="AA149" s="58">
        <f t="shared" si="14"/>
        <v>1</v>
      </c>
      <c r="AB149" s="175" t="s">
        <v>1455</v>
      </c>
      <c r="AC149" s="175" t="s">
        <v>1447</v>
      </c>
      <c r="AD149" s="170" t="s">
        <v>1445</v>
      </c>
      <c r="AE149" s="47">
        <v>4</v>
      </c>
      <c r="AF149" s="47">
        <v>4</v>
      </c>
      <c r="AG149" s="49">
        <f t="shared" si="15"/>
        <v>1</v>
      </c>
      <c r="AH149" s="170" t="s">
        <v>1456</v>
      </c>
      <c r="AI149" s="170" t="s">
        <v>1449</v>
      </c>
      <c r="AJ149" s="170" t="s">
        <v>1445</v>
      </c>
      <c r="AK149" s="47">
        <v>4</v>
      </c>
      <c r="AL149" s="45">
        <v>4</v>
      </c>
      <c r="AM149" s="25">
        <f>+(Tabla4[[#This Row],[Avance cuantitativo
III trimestre]]/Tabla4[[#This Row],[Programación  meta
III trimestre ]])*100%</f>
        <v>1</v>
      </c>
      <c r="AN149" s="110" t="s">
        <v>1457</v>
      </c>
      <c r="AO149" s="170" t="s">
        <v>511</v>
      </c>
      <c r="AP149" s="170" t="s">
        <v>1445</v>
      </c>
      <c r="AQ149" s="103">
        <v>3</v>
      </c>
      <c r="AR149" s="37">
        <v>3</v>
      </c>
      <c r="AS149" s="159">
        <f>(+Tabla4[[#This Row],[Programación  meta
IV trimestre ]]/AR149)</f>
        <v>1</v>
      </c>
      <c r="AT149" s="250" t="s">
        <v>1458</v>
      </c>
      <c r="AU149" s="26" t="s">
        <v>502</v>
      </c>
      <c r="AV149" s="165" t="s">
        <v>485</v>
      </c>
      <c r="AW149" s="85">
        <f>+Tabla4[[#This Row],[Programación  meta
I trimestre ]]+Tabla4[[#This Row],[Programación  meta
II trimestre ]]+Tabla4[[#This Row],[Programación  meta
III trimestre ]]+Tabla4[[#This Row],[Programación  meta
IV trimestre ]]</f>
        <v>14</v>
      </c>
      <c r="AX149" s="84">
        <f>+Tabla4[[#This Row],[Avance cuantitativo
I trimestre]]+Tabla4[[#This Row],[Avance cuantitativo
II trimestre]]+Tabla4[[#This Row],[Avance cuantitativo
III trimestre]]+AR149</f>
        <v>14</v>
      </c>
      <c r="AY149" s="86">
        <f t="shared" si="16"/>
        <v>1</v>
      </c>
      <c r="AZ149" s="89" t="s">
        <v>503</v>
      </c>
      <c r="BA149" s="141"/>
      <c r="BB149" s="141"/>
      <c r="BC149" s="141"/>
      <c r="BD149" s="141"/>
      <c r="BE149" s="141"/>
      <c r="BF149" s="141"/>
      <c r="BG149" s="141"/>
      <c r="BH149" s="141"/>
      <c r="BI149" s="141"/>
      <c r="BJ149" s="141"/>
      <c r="BK149" s="141"/>
      <c r="BL149" s="141"/>
      <c r="BM149" s="141"/>
      <c r="BN149" s="141"/>
      <c r="BO149" s="141"/>
      <c r="BP149" s="141"/>
      <c r="BQ149" s="141"/>
      <c r="BR149" s="141"/>
      <c r="BS149" s="141"/>
      <c r="BT149" s="141"/>
      <c r="BU149" s="141"/>
      <c r="BV149" s="141"/>
      <c r="BW149" s="141"/>
      <c r="BX149" s="141"/>
      <c r="BY149" s="141"/>
      <c r="BZ149" s="141"/>
      <c r="CA149" s="141"/>
      <c r="CB149" s="141"/>
      <c r="CC149" s="141"/>
    </row>
    <row r="150" spans="1:81" s="180" customFormat="1" x14ac:dyDescent="0.2">
      <c r="A150" s="147"/>
      <c r="B150" s="182" t="s">
        <v>227</v>
      </c>
      <c r="C150" s="177" t="s">
        <v>63</v>
      </c>
      <c r="D150" s="177" t="s">
        <v>90</v>
      </c>
      <c r="E150" s="177" t="s">
        <v>20</v>
      </c>
      <c r="F150" s="177" t="s">
        <v>1459</v>
      </c>
      <c r="G150" s="177" t="s">
        <v>53</v>
      </c>
      <c r="H150" s="177" t="s">
        <v>82</v>
      </c>
      <c r="I150" s="177" t="s">
        <v>25</v>
      </c>
      <c r="J150" s="177" t="s">
        <v>158</v>
      </c>
      <c r="K150" s="177" t="s">
        <v>1460</v>
      </c>
      <c r="L150" s="177" t="s">
        <v>257</v>
      </c>
      <c r="M150" s="177" t="s">
        <v>98</v>
      </c>
      <c r="N150" s="47">
        <v>136</v>
      </c>
      <c r="O150" s="177" t="s">
        <v>1461</v>
      </c>
      <c r="P150" s="51">
        <v>1</v>
      </c>
      <c r="Q150" s="47">
        <f>+AQ150</f>
        <v>1</v>
      </c>
      <c r="R150" s="51" t="s">
        <v>60</v>
      </c>
      <c r="S150" s="177" t="s">
        <v>1462</v>
      </c>
      <c r="T150" s="177" t="s">
        <v>1463</v>
      </c>
      <c r="U150" s="214">
        <v>44562</v>
      </c>
      <c r="V150" s="51" t="s">
        <v>495</v>
      </c>
      <c r="W150" s="104" t="s">
        <v>258</v>
      </c>
      <c r="X150" s="177" t="s">
        <v>496</v>
      </c>
      <c r="Y150" s="51" t="s">
        <v>496</v>
      </c>
      <c r="Z150" s="51" t="s">
        <v>496</v>
      </c>
      <c r="AA150" s="51" t="s">
        <v>496</v>
      </c>
      <c r="AB150" s="177" t="s">
        <v>496</v>
      </c>
      <c r="AC150" s="71" t="s">
        <v>496</v>
      </c>
      <c r="AD150" s="177" t="s">
        <v>1464</v>
      </c>
      <c r="AE150" s="198" t="s">
        <v>1465</v>
      </c>
      <c r="AF150" s="241">
        <v>0.5</v>
      </c>
      <c r="AG150" s="49" t="e">
        <f t="shared" si="15"/>
        <v>#VALUE!</v>
      </c>
      <c r="AH150" s="177" t="s">
        <v>1466</v>
      </c>
      <c r="AI150" s="170" t="s">
        <v>511</v>
      </c>
      <c r="AJ150" s="170" t="s">
        <v>496</v>
      </c>
      <c r="AK150" s="45" t="s">
        <v>496</v>
      </c>
      <c r="AL150" s="45" t="s">
        <v>496</v>
      </c>
      <c r="AM150" s="45" t="s">
        <v>496</v>
      </c>
      <c r="AN150" s="71" t="s">
        <v>496</v>
      </c>
      <c r="AO150" s="170" t="s">
        <v>496</v>
      </c>
      <c r="AP150" s="177" t="s">
        <v>1467</v>
      </c>
      <c r="AQ150" s="111">
        <v>1</v>
      </c>
      <c r="AR150" s="37">
        <v>1</v>
      </c>
      <c r="AS150" s="159">
        <f>(+Tabla4[[#This Row],[Programación  meta
IV trimestre ]]/AR150)</f>
        <v>1</v>
      </c>
      <c r="AT150" s="150" t="s">
        <v>1468</v>
      </c>
      <c r="AU150" s="247" t="s">
        <v>1469</v>
      </c>
      <c r="AV150" s="165" t="s">
        <v>485</v>
      </c>
      <c r="AW150" s="85">
        <f>+Tabla4[[#This Row],[Programación  meta
IV trimestre ]]</f>
        <v>1</v>
      </c>
      <c r="AX150" s="86">
        <f t="shared" ref="AX150:AX151" si="17">+AR150</f>
        <v>1</v>
      </c>
      <c r="AY150" s="86">
        <f t="shared" si="16"/>
        <v>1</v>
      </c>
      <c r="AZ150" s="89" t="s">
        <v>503</v>
      </c>
      <c r="BA150" s="147"/>
      <c r="BB150" s="147"/>
      <c r="BC150" s="147"/>
      <c r="BD150" s="147"/>
      <c r="BE150" s="147"/>
      <c r="BF150" s="147"/>
      <c r="BG150" s="147"/>
      <c r="BH150" s="147"/>
      <c r="BI150" s="147"/>
      <c r="BJ150" s="147"/>
      <c r="BK150" s="147"/>
      <c r="BL150" s="147"/>
      <c r="BM150" s="147"/>
      <c r="BN150" s="147"/>
      <c r="BO150" s="147"/>
      <c r="BP150" s="147"/>
      <c r="BQ150" s="147"/>
      <c r="BR150" s="147"/>
      <c r="BS150" s="147"/>
      <c r="BT150" s="147"/>
      <c r="BU150" s="147"/>
      <c r="BV150" s="147"/>
      <c r="BW150" s="147"/>
      <c r="BX150" s="147"/>
      <c r="BY150" s="147"/>
      <c r="BZ150" s="147"/>
      <c r="CA150" s="147"/>
      <c r="CB150" s="147"/>
      <c r="CC150" s="147"/>
    </row>
    <row r="151" spans="1:81" s="180" customFormat="1" x14ac:dyDescent="0.2">
      <c r="A151" s="147"/>
      <c r="B151" s="182" t="s">
        <v>227</v>
      </c>
      <c r="C151" s="177" t="s">
        <v>63</v>
      </c>
      <c r="D151" s="104" t="s">
        <v>639</v>
      </c>
      <c r="E151" s="170" t="s">
        <v>20</v>
      </c>
      <c r="F151" s="177" t="s">
        <v>1459</v>
      </c>
      <c r="G151" s="177" t="s">
        <v>104</v>
      </c>
      <c r="H151" s="177" t="s">
        <v>82</v>
      </c>
      <c r="I151" s="177" t="s">
        <v>55</v>
      </c>
      <c r="J151" s="177" t="s">
        <v>158</v>
      </c>
      <c r="K151" s="177" t="s">
        <v>370</v>
      </c>
      <c r="L151" s="177" t="s">
        <v>257</v>
      </c>
      <c r="M151" s="177" t="s">
        <v>98</v>
      </c>
      <c r="N151" s="47">
        <v>137</v>
      </c>
      <c r="O151" s="177" t="s">
        <v>1470</v>
      </c>
      <c r="P151" s="51">
        <v>1</v>
      </c>
      <c r="Q151" s="47">
        <f>+AQ151</f>
        <v>1</v>
      </c>
      <c r="R151" s="51" t="s">
        <v>60</v>
      </c>
      <c r="S151" s="177" t="s">
        <v>1471</v>
      </c>
      <c r="T151" s="177" t="s">
        <v>1472</v>
      </c>
      <c r="U151" s="214">
        <v>44562</v>
      </c>
      <c r="V151" s="51" t="s">
        <v>495</v>
      </c>
      <c r="W151" s="104" t="s">
        <v>258</v>
      </c>
      <c r="X151" s="177" t="s">
        <v>496</v>
      </c>
      <c r="Y151" s="51" t="s">
        <v>496</v>
      </c>
      <c r="Z151" s="51" t="s">
        <v>496</v>
      </c>
      <c r="AA151" s="51" t="s">
        <v>496</v>
      </c>
      <c r="AB151" s="177" t="s">
        <v>496</v>
      </c>
      <c r="AC151" s="71" t="s">
        <v>496</v>
      </c>
      <c r="AD151" s="177" t="s">
        <v>1473</v>
      </c>
      <c r="AE151" s="198" t="s">
        <v>1465</v>
      </c>
      <c r="AF151" s="241">
        <v>0.5</v>
      </c>
      <c r="AG151" s="49" t="e">
        <f t="shared" si="15"/>
        <v>#VALUE!</v>
      </c>
      <c r="AH151" s="177" t="s">
        <v>1474</v>
      </c>
      <c r="AI151" s="170" t="s">
        <v>511</v>
      </c>
      <c r="AJ151" s="170" t="s">
        <v>496</v>
      </c>
      <c r="AK151" s="45" t="s">
        <v>496</v>
      </c>
      <c r="AL151" s="45" t="s">
        <v>496</v>
      </c>
      <c r="AM151" s="45" t="s">
        <v>496</v>
      </c>
      <c r="AN151" s="71" t="s">
        <v>496</v>
      </c>
      <c r="AO151" s="170" t="s">
        <v>496</v>
      </c>
      <c r="AP151" s="177" t="s">
        <v>1475</v>
      </c>
      <c r="AQ151" s="111">
        <v>1</v>
      </c>
      <c r="AR151" s="37">
        <v>1</v>
      </c>
      <c r="AS151" s="159">
        <f>(+Tabla4[[#This Row],[Programación  meta
IV trimestre ]]/AR151)</f>
        <v>1</v>
      </c>
      <c r="AT151" s="150" t="s">
        <v>1476</v>
      </c>
      <c r="AU151" s="247" t="s">
        <v>1477</v>
      </c>
      <c r="AV151" s="165" t="s">
        <v>485</v>
      </c>
      <c r="AW151" s="85">
        <f>+Tabla4[[#This Row],[Programación  meta
IV trimestre ]]</f>
        <v>1</v>
      </c>
      <c r="AX151" s="86">
        <f t="shared" si="17"/>
        <v>1</v>
      </c>
      <c r="AY151" s="86">
        <f t="shared" si="16"/>
        <v>1</v>
      </c>
      <c r="AZ151" s="89" t="s">
        <v>503</v>
      </c>
      <c r="BA151" s="141"/>
      <c r="BB151" s="141"/>
      <c r="BC151" s="141"/>
      <c r="BD151" s="141"/>
      <c r="BE151" s="141"/>
      <c r="BF151" s="141"/>
      <c r="BG151" s="141"/>
      <c r="BH151" s="141"/>
      <c r="BI151" s="141"/>
      <c r="BJ151" s="141"/>
      <c r="BK151" s="141"/>
      <c r="BL151" s="141"/>
      <c r="BM151" s="141"/>
      <c r="BN151" s="141"/>
      <c r="BO151" s="141"/>
      <c r="BP151" s="141"/>
      <c r="BQ151" s="141"/>
      <c r="BR151" s="141"/>
      <c r="BS151" s="141"/>
      <c r="BT151" s="141"/>
      <c r="BU151" s="141"/>
      <c r="BV151" s="141"/>
      <c r="BW151" s="141"/>
      <c r="BX151" s="141"/>
      <c r="BY151" s="141"/>
      <c r="BZ151" s="141"/>
      <c r="CA151" s="141"/>
      <c r="CB151" s="141"/>
      <c r="CC151" s="141"/>
    </row>
    <row r="152" spans="1:81" s="30" customFormat="1" hidden="1" x14ac:dyDescent="0.2">
      <c r="B152" s="66" t="s">
        <v>227</v>
      </c>
      <c r="C152" s="46" t="s">
        <v>18</v>
      </c>
      <c r="D152" s="44" t="s">
        <v>1478</v>
      </c>
      <c r="E152" s="46" t="s">
        <v>20</v>
      </c>
      <c r="F152" s="46" t="s">
        <v>1479</v>
      </c>
      <c r="G152" s="44" t="s">
        <v>53</v>
      </c>
      <c r="H152" s="44" t="s">
        <v>82</v>
      </c>
      <c r="I152" s="44" t="s">
        <v>25</v>
      </c>
      <c r="J152" s="44" t="s">
        <v>26</v>
      </c>
      <c r="K152" s="44" t="s">
        <v>402</v>
      </c>
      <c r="L152" s="44" t="s">
        <v>257</v>
      </c>
      <c r="M152" s="44" t="s">
        <v>233</v>
      </c>
      <c r="N152" s="47">
        <v>138</v>
      </c>
      <c r="O152" s="44" t="s">
        <v>1480</v>
      </c>
      <c r="P152" s="48">
        <v>1</v>
      </c>
      <c r="Q152" s="49" t="e">
        <f>(+Y152+AE152+AK152+AQ152)/4</f>
        <v>#VALUE!</v>
      </c>
      <c r="R152" s="45" t="s">
        <v>30</v>
      </c>
      <c r="S152" s="44" t="s">
        <v>580</v>
      </c>
      <c r="T152" s="44" t="s">
        <v>581</v>
      </c>
      <c r="U152" s="212">
        <v>44562</v>
      </c>
      <c r="V152" s="47" t="s">
        <v>495</v>
      </c>
      <c r="W152" s="44" t="s">
        <v>258</v>
      </c>
      <c r="X152" s="44" t="s">
        <v>582</v>
      </c>
      <c r="Y152" s="48">
        <v>1</v>
      </c>
      <c r="Z152" s="48">
        <v>1</v>
      </c>
      <c r="AA152" s="58">
        <f>(Z152/Y152)</f>
        <v>1</v>
      </c>
      <c r="AB152" s="60" t="s">
        <v>1403</v>
      </c>
      <c r="AC152" s="61" t="s">
        <v>511</v>
      </c>
      <c r="AD152" s="44" t="s">
        <v>582</v>
      </c>
      <c r="AE152" s="48">
        <v>1</v>
      </c>
      <c r="AF152" s="48">
        <v>1</v>
      </c>
      <c r="AG152" s="49">
        <f t="shared" si="15"/>
        <v>1</v>
      </c>
      <c r="AH152" s="76" t="s">
        <v>584</v>
      </c>
      <c r="AI152" s="46" t="s">
        <v>511</v>
      </c>
      <c r="AJ152" s="44" t="s">
        <v>585</v>
      </c>
      <c r="AK152" s="244" t="s">
        <v>496</v>
      </c>
      <c r="AL152" s="244" t="s">
        <v>496</v>
      </c>
      <c r="AM152" s="244" t="s">
        <v>496</v>
      </c>
      <c r="AN152" s="181" t="s">
        <v>496</v>
      </c>
      <c r="AO152" s="181" t="s">
        <v>496</v>
      </c>
      <c r="AP152" s="44" t="s">
        <v>585</v>
      </c>
      <c r="AQ152" s="48" t="s">
        <v>496</v>
      </c>
      <c r="AR152" s="48" t="s">
        <v>496</v>
      </c>
      <c r="AS152" s="48" t="s">
        <v>496</v>
      </c>
      <c r="AT152" s="139" t="s">
        <v>496</v>
      </c>
      <c r="AU152" s="246" t="s">
        <v>496</v>
      </c>
      <c r="AV152" s="165" t="s">
        <v>485</v>
      </c>
      <c r="AW152" s="85">
        <v>0</v>
      </c>
      <c r="AX152" s="84">
        <v>0</v>
      </c>
      <c r="AY152" s="86">
        <v>0</v>
      </c>
      <c r="AZ152" s="90" t="s">
        <v>585</v>
      </c>
    </row>
    <row r="153" spans="1:81" s="30" customFormat="1" hidden="1" x14ac:dyDescent="0.2">
      <c r="B153" s="67" t="s">
        <v>320</v>
      </c>
      <c r="C153" s="46" t="s">
        <v>48</v>
      </c>
      <c r="D153" s="44" t="s">
        <v>184</v>
      </c>
      <c r="E153" s="44" t="s">
        <v>102</v>
      </c>
      <c r="F153" s="44" t="s">
        <v>338</v>
      </c>
      <c r="G153" s="44" t="s">
        <v>53</v>
      </c>
      <c r="H153" s="44" t="s">
        <v>82</v>
      </c>
      <c r="I153" s="44" t="s">
        <v>25</v>
      </c>
      <c r="J153" s="44" t="s">
        <v>158</v>
      </c>
      <c r="K153" s="44" t="s">
        <v>402</v>
      </c>
      <c r="L153" s="44" t="s">
        <v>257</v>
      </c>
      <c r="M153" s="44" t="s">
        <v>233</v>
      </c>
      <c r="N153" s="47">
        <v>139</v>
      </c>
      <c r="O153" s="44" t="s">
        <v>1481</v>
      </c>
      <c r="P153" s="48">
        <v>1</v>
      </c>
      <c r="Q153" s="49" t="e">
        <f>(+Y153+AE153+AK153+AQ153)/4</f>
        <v>#VALUE!</v>
      </c>
      <c r="R153" s="45" t="s">
        <v>30</v>
      </c>
      <c r="S153" s="44" t="s">
        <v>580</v>
      </c>
      <c r="T153" s="44" t="s">
        <v>581</v>
      </c>
      <c r="U153" s="212">
        <v>44562</v>
      </c>
      <c r="V153" s="47" t="s">
        <v>495</v>
      </c>
      <c r="W153" s="44" t="s">
        <v>258</v>
      </c>
      <c r="X153" s="44" t="s">
        <v>582</v>
      </c>
      <c r="Y153" s="48">
        <v>1</v>
      </c>
      <c r="Z153" s="48">
        <v>1</v>
      </c>
      <c r="AA153" s="58">
        <f>(Z153/Y153)</f>
        <v>1</v>
      </c>
      <c r="AB153" s="60" t="s">
        <v>1403</v>
      </c>
      <c r="AC153" s="61" t="s">
        <v>511</v>
      </c>
      <c r="AD153" s="44" t="s">
        <v>582</v>
      </c>
      <c r="AE153" s="48">
        <v>1</v>
      </c>
      <c r="AF153" s="48">
        <v>1</v>
      </c>
      <c r="AG153" s="48">
        <f t="shared" si="15"/>
        <v>1</v>
      </c>
      <c r="AH153" s="76" t="s">
        <v>1482</v>
      </c>
      <c r="AI153" s="46" t="s">
        <v>511</v>
      </c>
      <c r="AJ153" s="44" t="s">
        <v>585</v>
      </c>
      <c r="AK153" s="244" t="s">
        <v>496</v>
      </c>
      <c r="AL153" s="244" t="s">
        <v>496</v>
      </c>
      <c r="AM153" s="244" t="s">
        <v>496</v>
      </c>
      <c r="AN153" s="181" t="s">
        <v>496</v>
      </c>
      <c r="AO153" s="181" t="s">
        <v>496</v>
      </c>
      <c r="AP153" s="44" t="s">
        <v>585</v>
      </c>
      <c r="AQ153" s="48" t="s">
        <v>496</v>
      </c>
      <c r="AR153" s="48" t="s">
        <v>496</v>
      </c>
      <c r="AS153" s="48" t="s">
        <v>496</v>
      </c>
      <c r="AT153" s="139" t="s">
        <v>496</v>
      </c>
      <c r="AU153" s="246" t="s">
        <v>496</v>
      </c>
      <c r="AV153" s="165" t="s">
        <v>485</v>
      </c>
      <c r="AW153" s="85">
        <v>0</v>
      </c>
      <c r="AX153" s="84">
        <v>0</v>
      </c>
      <c r="AY153" s="86">
        <v>0</v>
      </c>
      <c r="AZ153" s="90" t="s">
        <v>585</v>
      </c>
    </row>
    <row r="154" spans="1:81" s="129" customFormat="1" x14ac:dyDescent="0.2">
      <c r="B154" s="142" t="s">
        <v>320</v>
      </c>
      <c r="C154" s="71" t="s">
        <v>48</v>
      </c>
      <c r="D154" s="104" t="s">
        <v>719</v>
      </c>
      <c r="E154" s="71" t="s">
        <v>547</v>
      </c>
      <c r="F154" s="104" t="s">
        <v>336</v>
      </c>
      <c r="G154" s="104" t="s">
        <v>93</v>
      </c>
      <c r="H154" s="104" t="s">
        <v>720</v>
      </c>
      <c r="I154" s="104" t="s">
        <v>25</v>
      </c>
      <c r="J154" s="104" t="s">
        <v>222</v>
      </c>
      <c r="K154" s="104" t="s">
        <v>403</v>
      </c>
      <c r="L154" s="104" t="s">
        <v>257</v>
      </c>
      <c r="M154" s="104" t="s">
        <v>225</v>
      </c>
      <c r="N154" s="45">
        <v>140</v>
      </c>
      <c r="O154" s="104" t="s">
        <v>1483</v>
      </c>
      <c r="P154" s="53">
        <v>2</v>
      </c>
      <c r="Q154" s="45" t="e">
        <f t="shared" ref="Q154:Q165" si="18">+Y154+AE154+AK154+AQ154</f>
        <v>#VALUE!</v>
      </c>
      <c r="R154" s="53" t="s">
        <v>45</v>
      </c>
      <c r="S154" s="152" t="s">
        <v>1484</v>
      </c>
      <c r="T154" s="104" t="s">
        <v>1485</v>
      </c>
      <c r="U154" s="215">
        <v>44562</v>
      </c>
      <c r="V154" s="53" t="s">
        <v>495</v>
      </c>
      <c r="W154" s="104" t="s">
        <v>199</v>
      </c>
      <c r="X154" s="177" t="s">
        <v>496</v>
      </c>
      <c r="Y154" s="51" t="s">
        <v>496</v>
      </c>
      <c r="Z154" s="51" t="s">
        <v>496</v>
      </c>
      <c r="AA154" s="51" t="s">
        <v>496</v>
      </c>
      <c r="AB154" s="177" t="s">
        <v>496</v>
      </c>
      <c r="AC154" s="71" t="s">
        <v>496</v>
      </c>
      <c r="AD154" s="104" t="s">
        <v>1486</v>
      </c>
      <c r="AE154" s="53">
        <v>1</v>
      </c>
      <c r="AF154" s="45">
        <v>1</v>
      </c>
      <c r="AG154" s="48">
        <f t="shared" si="15"/>
        <v>1</v>
      </c>
      <c r="AH154" s="104" t="s">
        <v>1487</v>
      </c>
      <c r="AI154" s="71" t="s">
        <v>511</v>
      </c>
      <c r="AJ154" s="71" t="s">
        <v>496</v>
      </c>
      <c r="AK154" s="45" t="s">
        <v>496</v>
      </c>
      <c r="AL154" s="45" t="s">
        <v>496</v>
      </c>
      <c r="AM154" s="45" t="s">
        <v>496</v>
      </c>
      <c r="AN154" s="71" t="s">
        <v>496</v>
      </c>
      <c r="AO154" s="170" t="s">
        <v>496</v>
      </c>
      <c r="AP154" s="104" t="s">
        <v>1486</v>
      </c>
      <c r="AQ154" s="65">
        <v>1</v>
      </c>
      <c r="AR154" s="37">
        <v>1</v>
      </c>
      <c r="AS154" s="159">
        <f>(+Tabla4[[#This Row],[Programación  meta
IV trimestre ]]/AR154)</f>
        <v>1</v>
      </c>
      <c r="AT154" s="119" t="s">
        <v>1488</v>
      </c>
      <c r="AU154" s="247" t="s">
        <v>502</v>
      </c>
      <c r="AV154" s="165" t="s">
        <v>485</v>
      </c>
      <c r="AW154" s="85">
        <f>+Tabla4[[#This Row],[Programación  meta
II trimestre ]]+Tabla4[[#This Row],[Programación  meta
IV trimestre ]]</f>
        <v>2</v>
      </c>
      <c r="AX154" s="84">
        <f>+Tabla4[[#This Row],[Avance cuantitativo
II trimestre]]+AR154</f>
        <v>2</v>
      </c>
      <c r="AY154" s="86">
        <f t="shared" si="16"/>
        <v>1</v>
      </c>
      <c r="AZ154" s="89" t="s">
        <v>503</v>
      </c>
    </row>
    <row r="155" spans="1:81" s="129" customFormat="1" x14ac:dyDescent="0.2">
      <c r="B155" s="142" t="s">
        <v>320</v>
      </c>
      <c r="C155" s="104" t="s">
        <v>33</v>
      </c>
      <c r="D155" s="104" t="s">
        <v>134</v>
      </c>
      <c r="E155" s="104" t="s">
        <v>20</v>
      </c>
      <c r="F155" s="104" t="s">
        <v>290</v>
      </c>
      <c r="G155" s="104" t="s">
        <v>104</v>
      </c>
      <c r="H155" s="104" t="s">
        <v>221</v>
      </c>
      <c r="I155" s="104" t="s">
        <v>55</v>
      </c>
      <c r="J155" s="104" t="s">
        <v>83</v>
      </c>
      <c r="K155" s="104" t="s">
        <v>264</v>
      </c>
      <c r="L155" s="104" t="s">
        <v>257</v>
      </c>
      <c r="M155" s="104" t="s">
        <v>29</v>
      </c>
      <c r="N155" s="45">
        <v>141</v>
      </c>
      <c r="O155" s="104" t="s">
        <v>1489</v>
      </c>
      <c r="P155" s="53">
        <v>2</v>
      </c>
      <c r="Q155" s="45" t="e">
        <f t="shared" si="18"/>
        <v>#VALUE!</v>
      </c>
      <c r="R155" s="53" t="s">
        <v>45</v>
      </c>
      <c r="S155" s="104" t="s">
        <v>1490</v>
      </c>
      <c r="T155" s="104" t="s">
        <v>1491</v>
      </c>
      <c r="U155" s="215">
        <v>44562</v>
      </c>
      <c r="V155" s="53" t="s">
        <v>495</v>
      </c>
      <c r="W155" s="104" t="s">
        <v>199</v>
      </c>
      <c r="X155" s="177" t="s">
        <v>496</v>
      </c>
      <c r="Y155" s="51" t="s">
        <v>496</v>
      </c>
      <c r="Z155" s="51" t="s">
        <v>496</v>
      </c>
      <c r="AA155" s="51" t="s">
        <v>496</v>
      </c>
      <c r="AB155" s="177" t="s">
        <v>496</v>
      </c>
      <c r="AC155" s="71" t="s">
        <v>496</v>
      </c>
      <c r="AD155" s="104" t="s">
        <v>1492</v>
      </c>
      <c r="AE155" s="53">
        <v>1</v>
      </c>
      <c r="AF155" s="45">
        <v>1</v>
      </c>
      <c r="AG155" s="48">
        <f t="shared" si="15"/>
        <v>1</v>
      </c>
      <c r="AH155" s="104" t="s">
        <v>1493</v>
      </c>
      <c r="AI155" s="71" t="s">
        <v>511</v>
      </c>
      <c r="AJ155" s="71" t="s">
        <v>496</v>
      </c>
      <c r="AK155" s="45" t="s">
        <v>496</v>
      </c>
      <c r="AL155" s="45" t="s">
        <v>496</v>
      </c>
      <c r="AM155" s="45" t="s">
        <v>496</v>
      </c>
      <c r="AN155" s="71" t="s">
        <v>496</v>
      </c>
      <c r="AO155" s="170" t="s">
        <v>496</v>
      </c>
      <c r="AP155" s="104" t="s">
        <v>1492</v>
      </c>
      <c r="AQ155" s="65">
        <v>1</v>
      </c>
      <c r="AR155" s="37">
        <v>1</v>
      </c>
      <c r="AS155" s="159">
        <f>(+Tabla4[[#This Row],[Programación  meta
IV trimestre ]]/AR155)</f>
        <v>1</v>
      </c>
      <c r="AT155" s="248" t="s">
        <v>1494</v>
      </c>
      <c r="AU155" s="247" t="s">
        <v>502</v>
      </c>
      <c r="AV155" s="165" t="s">
        <v>485</v>
      </c>
      <c r="AW155" s="85">
        <f>+Tabla4[[#This Row],[Programación  meta
II trimestre ]]+Tabla4[[#This Row],[Programación  meta
IV trimestre ]]</f>
        <v>2</v>
      </c>
      <c r="AX155" s="84">
        <f>+Tabla4[[#This Row],[Avance cuantitativo
II trimestre]]+AR155</f>
        <v>2</v>
      </c>
      <c r="AY155" s="86">
        <f t="shared" si="16"/>
        <v>1</v>
      </c>
      <c r="AZ155" s="89" t="s">
        <v>503</v>
      </c>
    </row>
    <row r="156" spans="1:81" s="180" customFormat="1" x14ac:dyDescent="0.2">
      <c r="B156" s="182" t="s">
        <v>312</v>
      </c>
      <c r="C156" s="177" t="s">
        <v>33</v>
      </c>
      <c r="D156" s="177" t="s">
        <v>134</v>
      </c>
      <c r="E156" s="177" t="s">
        <v>20</v>
      </c>
      <c r="F156" s="177" t="s">
        <v>290</v>
      </c>
      <c r="G156" s="177" t="s">
        <v>146</v>
      </c>
      <c r="H156" s="177" t="s">
        <v>221</v>
      </c>
      <c r="I156" s="177" t="s">
        <v>55</v>
      </c>
      <c r="J156" s="177" t="s">
        <v>83</v>
      </c>
      <c r="K156" s="177" t="s">
        <v>280</v>
      </c>
      <c r="L156" s="177" t="s">
        <v>257</v>
      </c>
      <c r="M156" s="177" t="s">
        <v>225</v>
      </c>
      <c r="N156" s="47">
        <v>142</v>
      </c>
      <c r="O156" s="177" t="s">
        <v>1495</v>
      </c>
      <c r="P156" s="51">
        <v>1</v>
      </c>
      <c r="Q156" s="45" t="e">
        <f t="shared" si="18"/>
        <v>#VALUE!</v>
      </c>
      <c r="R156" s="51" t="s">
        <v>45</v>
      </c>
      <c r="S156" s="177" t="s">
        <v>1496</v>
      </c>
      <c r="T156" s="177" t="s">
        <v>1497</v>
      </c>
      <c r="U156" s="214">
        <v>44562</v>
      </c>
      <c r="V156" s="51" t="s">
        <v>495</v>
      </c>
      <c r="W156" s="177" t="s">
        <v>199</v>
      </c>
      <c r="X156" s="177" t="s">
        <v>496</v>
      </c>
      <c r="Y156" s="51" t="s">
        <v>496</v>
      </c>
      <c r="Z156" s="51" t="s">
        <v>496</v>
      </c>
      <c r="AA156" s="51" t="s">
        <v>496</v>
      </c>
      <c r="AB156" s="177" t="s">
        <v>496</v>
      </c>
      <c r="AC156" s="71" t="s">
        <v>496</v>
      </c>
      <c r="AD156" s="104" t="s">
        <v>496</v>
      </c>
      <c r="AE156" s="53" t="s">
        <v>496</v>
      </c>
      <c r="AF156" s="53" t="s">
        <v>496</v>
      </c>
      <c r="AG156" s="53" t="s">
        <v>496</v>
      </c>
      <c r="AH156" s="104" t="s">
        <v>496</v>
      </c>
      <c r="AI156" s="170" t="s">
        <v>496</v>
      </c>
      <c r="AJ156" s="170" t="s">
        <v>496</v>
      </c>
      <c r="AK156" s="45" t="s">
        <v>496</v>
      </c>
      <c r="AL156" s="45" t="s">
        <v>496</v>
      </c>
      <c r="AM156" s="45" t="s">
        <v>496</v>
      </c>
      <c r="AN156" s="71" t="s">
        <v>496</v>
      </c>
      <c r="AO156" s="170" t="s">
        <v>496</v>
      </c>
      <c r="AP156" s="177" t="s">
        <v>1498</v>
      </c>
      <c r="AQ156" s="111">
        <v>1</v>
      </c>
      <c r="AR156" s="37">
        <v>1</v>
      </c>
      <c r="AS156" s="159">
        <f>(+Tabla4[[#This Row],[Programación  meta
IV trimestre ]]/AR156)</f>
        <v>1</v>
      </c>
      <c r="AT156" s="248" t="s">
        <v>1499</v>
      </c>
      <c r="AU156" s="247" t="s">
        <v>502</v>
      </c>
      <c r="AV156" s="165" t="s">
        <v>485</v>
      </c>
      <c r="AW156" s="85">
        <f>+Tabla4[[#This Row],[Programación  meta
IV trimestre ]]</f>
        <v>1</v>
      </c>
      <c r="AX156" s="84">
        <f>+AR156</f>
        <v>1</v>
      </c>
      <c r="AY156" s="86">
        <f t="shared" si="16"/>
        <v>1</v>
      </c>
      <c r="AZ156" s="89" t="s">
        <v>503</v>
      </c>
    </row>
    <row r="157" spans="1:81" s="129" customFormat="1" x14ac:dyDescent="0.2">
      <c r="B157" s="142" t="s">
        <v>312</v>
      </c>
      <c r="C157" s="104" t="s">
        <v>33</v>
      </c>
      <c r="D157" s="104" t="s">
        <v>144</v>
      </c>
      <c r="E157" s="104" t="s">
        <v>20</v>
      </c>
      <c r="F157" s="104" t="s">
        <v>290</v>
      </c>
      <c r="G157" s="104" t="s">
        <v>146</v>
      </c>
      <c r="H157" s="104" t="s">
        <v>221</v>
      </c>
      <c r="I157" s="104" t="s">
        <v>55</v>
      </c>
      <c r="J157" s="104" t="s">
        <v>83</v>
      </c>
      <c r="K157" s="104" t="s">
        <v>268</v>
      </c>
      <c r="L157" s="104" t="s">
        <v>240</v>
      </c>
      <c r="M157" s="104" t="s">
        <v>1500</v>
      </c>
      <c r="N157" s="45">
        <v>143</v>
      </c>
      <c r="O157" s="104" t="s">
        <v>1501</v>
      </c>
      <c r="P157" s="53">
        <v>2</v>
      </c>
      <c r="Q157" s="45" t="e">
        <f t="shared" si="18"/>
        <v>#VALUE!</v>
      </c>
      <c r="R157" s="53" t="s">
        <v>45</v>
      </c>
      <c r="S157" s="104" t="s">
        <v>1502</v>
      </c>
      <c r="T157" s="104" t="s">
        <v>1503</v>
      </c>
      <c r="U157" s="215">
        <v>44562</v>
      </c>
      <c r="V157" s="53" t="s">
        <v>495</v>
      </c>
      <c r="W157" s="104" t="s">
        <v>199</v>
      </c>
      <c r="X157" s="177" t="s">
        <v>496</v>
      </c>
      <c r="Y157" s="51" t="s">
        <v>496</v>
      </c>
      <c r="Z157" s="51" t="s">
        <v>496</v>
      </c>
      <c r="AA157" s="51" t="s">
        <v>496</v>
      </c>
      <c r="AB157" s="177" t="s">
        <v>496</v>
      </c>
      <c r="AC157" s="71" t="s">
        <v>496</v>
      </c>
      <c r="AD157" s="104" t="s">
        <v>1504</v>
      </c>
      <c r="AE157" s="53">
        <v>1</v>
      </c>
      <c r="AF157" s="45">
        <v>1</v>
      </c>
      <c r="AG157" s="48">
        <f t="shared" si="15"/>
        <v>1</v>
      </c>
      <c r="AH157" s="104" t="s">
        <v>1505</v>
      </c>
      <c r="AI157" s="71" t="s">
        <v>511</v>
      </c>
      <c r="AJ157" s="71" t="s">
        <v>496</v>
      </c>
      <c r="AK157" s="45" t="s">
        <v>496</v>
      </c>
      <c r="AL157" s="45" t="s">
        <v>496</v>
      </c>
      <c r="AM157" s="45" t="s">
        <v>496</v>
      </c>
      <c r="AN157" s="71" t="s">
        <v>496</v>
      </c>
      <c r="AO157" s="170" t="s">
        <v>496</v>
      </c>
      <c r="AP157" s="104" t="s">
        <v>1504</v>
      </c>
      <c r="AQ157" s="65">
        <v>1</v>
      </c>
      <c r="AR157" s="37">
        <v>1</v>
      </c>
      <c r="AS157" s="159">
        <f>(+Tabla4[[#This Row],[Programación  meta
IV trimestre ]]/AR157)</f>
        <v>1</v>
      </c>
      <c r="AT157" s="248" t="s">
        <v>1506</v>
      </c>
      <c r="AU157" s="247" t="s">
        <v>502</v>
      </c>
      <c r="AV157" s="165" t="s">
        <v>485</v>
      </c>
      <c r="AW157" s="85">
        <f>+Tabla4[[#This Row],[Programación  meta
II trimestre ]]+Tabla4[[#This Row],[Programación  meta
IV trimestre ]]</f>
        <v>2</v>
      </c>
      <c r="AX157" s="84">
        <f>+Tabla4[[#This Row],[Avance cuantitativo
II trimestre]]+AR157</f>
        <v>2</v>
      </c>
      <c r="AY157" s="86">
        <f t="shared" si="16"/>
        <v>1</v>
      </c>
      <c r="AZ157" s="89" t="s">
        <v>503</v>
      </c>
    </row>
    <row r="158" spans="1:81" s="129" customFormat="1" x14ac:dyDescent="0.2">
      <c r="B158" s="142" t="s">
        <v>316</v>
      </c>
      <c r="C158" s="104" t="s">
        <v>33</v>
      </c>
      <c r="D158" s="104" t="s">
        <v>134</v>
      </c>
      <c r="E158" s="104" t="s">
        <v>20</v>
      </c>
      <c r="F158" s="104" t="s">
        <v>1507</v>
      </c>
      <c r="G158" s="104" t="s">
        <v>104</v>
      </c>
      <c r="H158" s="104" t="s">
        <v>221</v>
      </c>
      <c r="I158" s="104" t="s">
        <v>25</v>
      </c>
      <c r="J158" s="104" t="s">
        <v>83</v>
      </c>
      <c r="K158" s="104" t="s">
        <v>272</v>
      </c>
      <c r="L158" s="104" t="s">
        <v>257</v>
      </c>
      <c r="M158" s="104" t="s">
        <v>225</v>
      </c>
      <c r="N158" s="45">
        <v>144</v>
      </c>
      <c r="O158" s="104" t="s">
        <v>1508</v>
      </c>
      <c r="P158" s="53">
        <v>2</v>
      </c>
      <c r="Q158" s="45" t="e">
        <f t="shared" si="18"/>
        <v>#VALUE!</v>
      </c>
      <c r="R158" s="53" t="s">
        <v>45</v>
      </c>
      <c r="S158" s="104" t="s">
        <v>1509</v>
      </c>
      <c r="T158" s="104" t="s">
        <v>1510</v>
      </c>
      <c r="U158" s="215">
        <v>44562</v>
      </c>
      <c r="V158" s="53" t="s">
        <v>495</v>
      </c>
      <c r="W158" s="104" t="s">
        <v>199</v>
      </c>
      <c r="X158" s="177" t="s">
        <v>496</v>
      </c>
      <c r="Y158" s="51" t="s">
        <v>496</v>
      </c>
      <c r="Z158" s="51" t="s">
        <v>496</v>
      </c>
      <c r="AA158" s="51" t="s">
        <v>496</v>
      </c>
      <c r="AB158" s="177" t="s">
        <v>496</v>
      </c>
      <c r="AC158" s="71" t="s">
        <v>496</v>
      </c>
      <c r="AD158" s="104" t="s">
        <v>1511</v>
      </c>
      <c r="AE158" s="53">
        <v>1</v>
      </c>
      <c r="AF158" s="45">
        <v>1</v>
      </c>
      <c r="AG158" s="48">
        <f t="shared" si="15"/>
        <v>1</v>
      </c>
      <c r="AH158" s="104" t="s">
        <v>1512</v>
      </c>
      <c r="AI158" s="71" t="s">
        <v>511</v>
      </c>
      <c r="AJ158" s="71" t="s">
        <v>496</v>
      </c>
      <c r="AK158" s="45" t="s">
        <v>496</v>
      </c>
      <c r="AL158" s="45" t="s">
        <v>496</v>
      </c>
      <c r="AM158" s="45" t="s">
        <v>496</v>
      </c>
      <c r="AN158" s="71" t="s">
        <v>496</v>
      </c>
      <c r="AO158" s="170" t="s">
        <v>496</v>
      </c>
      <c r="AP158" s="104" t="s">
        <v>1511</v>
      </c>
      <c r="AQ158" s="65">
        <v>1</v>
      </c>
      <c r="AR158" s="37">
        <v>1</v>
      </c>
      <c r="AS158" s="159">
        <f>(+Tabla4[[#This Row],[Programación  meta
IV trimestre ]]/AR158)</f>
        <v>1</v>
      </c>
      <c r="AT158" s="248" t="s">
        <v>1513</v>
      </c>
      <c r="AU158" s="247" t="s">
        <v>502</v>
      </c>
      <c r="AV158" s="165" t="s">
        <v>485</v>
      </c>
      <c r="AW158" s="85">
        <f>+Tabla4[[#This Row],[Programación  meta
II trimestre ]]+Tabla4[[#This Row],[Programación  meta
IV trimestre ]]</f>
        <v>2</v>
      </c>
      <c r="AX158" s="84">
        <f>+Tabla4[[#This Row],[Avance cuantitativo
II trimestre]]+AR158</f>
        <v>2</v>
      </c>
      <c r="AY158" s="86">
        <f t="shared" si="16"/>
        <v>1</v>
      </c>
      <c r="AZ158" s="89" t="s">
        <v>503</v>
      </c>
    </row>
    <row r="159" spans="1:81" s="129" customFormat="1" x14ac:dyDescent="0.2">
      <c r="B159" s="142" t="s">
        <v>312</v>
      </c>
      <c r="C159" s="104" t="s">
        <v>33</v>
      </c>
      <c r="D159" s="104" t="s">
        <v>101</v>
      </c>
      <c r="E159" s="104" t="s">
        <v>20</v>
      </c>
      <c r="F159" s="104" t="s">
        <v>327</v>
      </c>
      <c r="G159" s="104" t="s">
        <v>104</v>
      </c>
      <c r="H159" s="104" t="s">
        <v>221</v>
      </c>
      <c r="I159" s="104" t="s">
        <v>25</v>
      </c>
      <c r="J159" s="104" t="s">
        <v>83</v>
      </c>
      <c r="K159" s="104" t="s">
        <v>276</v>
      </c>
      <c r="L159" s="104" t="s">
        <v>257</v>
      </c>
      <c r="M159" s="104" t="s">
        <v>29</v>
      </c>
      <c r="N159" s="45">
        <v>145</v>
      </c>
      <c r="O159" s="104" t="s">
        <v>1514</v>
      </c>
      <c r="P159" s="53">
        <v>2</v>
      </c>
      <c r="Q159" s="45" t="e">
        <f t="shared" si="18"/>
        <v>#VALUE!</v>
      </c>
      <c r="R159" s="53" t="s">
        <v>45</v>
      </c>
      <c r="S159" s="104" t="s">
        <v>1515</v>
      </c>
      <c r="T159" s="104" t="s">
        <v>1516</v>
      </c>
      <c r="U159" s="215">
        <v>44562</v>
      </c>
      <c r="V159" s="53" t="s">
        <v>495</v>
      </c>
      <c r="W159" s="104" t="s">
        <v>199</v>
      </c>
      <c r="X159" s="177" t="s">
        <v>496</v>
      </c>
      <c r="Y159" s="51" t="s">
        <v>496</v>
      </c>
      <c r="Z159" s="51" t="s">
        <v>496</v>
      </c>
      <c r="AA159" s="51" t="s">
        <v>496</v>
      </c>
      <c r="AB159" s="177" t="s">
        <v>496</v>
      </c>
      <c r="AC159" s="71" t="s">
        <v>496</v>
      </c>
      <c r="AD159" s="104" t="s">
        <v>1517</v>
      </c>
      <c r="AE159" s="53">
        <v>1</v>
      </c>
      <c r="AF159" s="45">
        <v>1</v>
      </c>
      <c r="AG159" s="48">
        <f t="shared" si="15"/>
        <v>1</v>
      </c>
      <c r="AH159" s="104" t="s">
        <v>1518</v>
      </c>
      <c r="AI159" s="71" t="s">
        <v>511</v>
      </c>
      <c r="AJ159" s="71" t="s">
        <v>496</v>
      </c>
      <c r="AK159" s="45" t="s">
        <v>496</v>
      </c>
      <c r="AL159" s="45" t="s">
        <v>496</v>
      </c>
      <c r="AM159" s="45" t="s">
        <v>496</v>
      </c>
      <c r="AN159" s="71" t="s">
        <v>496</v>
      </c>
      <c r="AO159" s="170" t="s">
        <v>496</v>
      </c>
      <c r="AP159" s="104" t="s">
        <v>1517</v>
      </c>
      <c r="AQ159" s="65">
        <v>1</v>
      </c>
      <c r="AR159" s="37">
        <v>1</v>
      </c>
      <c r="AS159" s="159">
        <f>(+Tabla4[[#This Row],[Programación  meta
IV trimestre ]]/AR159)</f>
        <v>1</v>
      </c>
      <c r="AT159" s="248" t="s">
        <v>1519</v>
      </c>
      <c r="AU159" s="247" t="s">
        <v>502</v>
      </c>
      <c r="AV159" s="165" t="s">
        <v>485</v>
      </c>
      <c r="AW159" s="85">
        <f>Tabla4[[#This Row],[Programación  meta
II trimestre ]]+Tabla4[[#This Row],[Programación  meta
IV trimestre ]]</f>
        <v>2</v>
      </c>
      <c r="AX159" s="84">
        <f>+Tabla4[[#This Row],[Avance cuantitativo
II trimestre]]+AR159</f>
        <v>2</v>
      </c>
      <c r="AY159" s="86">
        <f t="shared" si="16"/>
        <v>1</v>
      </c>
      <c r="AZ159" s="89" t="s">
        <v>503</v>
      </c>
    </row>
    <row r="160" spans="1:81" s="129" customFormat="1" x14ac:dyDescent="0.2">
      <c r="B160" s="142" t="s">
        <v>1520</v>
      </c>
      <c r="C160" s="104" t="s">
        <v>33</v>
      </c>
      <c r="D160" s="104" t="s">
        <v>112</v>
      </c>
      <c r="E160" s="104" t="s">
        <v>20</v>
      </c>
      <c r="F160" s="104" t="s">
        <v>1404</v>
      </c>
      <c r="G160" s="104" t="s">
        <v>104</v>
      </c>
      <c r="H160" s="104" t="s">
        <v>221</v>
      </c>
      <c r="I160" s="104" t="s">
        <v>25</v>
      </c>
      <c r="J160" s="104" t="s">
        <v>196</v>
      </c>
      <c r="K160" s="104" t="s">
        <v>387</v>
      </c>
      <c r="L160" s="104" t="s">
        <v>257</v>
      </c>
      <c r="M160" s="104" t="s">
        <v>29</v>
      </c>
      <c r="N160" s="45">
        <v>146</v>
      </c>
      <c r="O160" s="104" t="s">
        <v>1521</v>
      </c>
      <c r="P160" s="53">
        <v>2</v>
      </c>
      <c r="Q160" s="45" t="e">
        <f t="shared" si="18"/>
        <v>#VALUE!</v>
      </c>
      <c r="R160" s="53" t="s">
        <v>45</v>
      </c>
      <c r="S160" s="104" t="s">
        <v>1522</v>
      </c>
      <c r="T160" s="104" t="s">
        <v>1522</v>
      </c>
      <c r="U160" s="215">
        <v>44562</v>
      </c>
      <c r="V160" s="53" t="s">
        <v>495</v>
      </c>
      <c r="W160" s="104" t="s">
        <v>199</v>
      </c>
      <c r="X160" s="177" t="s">
        <v>496</v>
      </c>
      <c r="Y160" s="51" t="s">
        <v>496</v>
      </c>
      <c r="Z160" s="51" t="s">
        <v>496</v>
      </c>
      <c r="AA160" s="51" t="s">
        <v>496</v>
      </c>
      <c r="AB160" s="177" t="s">
        <v>496</v>
      </c>
      <c r="AC160" s="71" t="s">
        <v>496</v>
      </c>
      <c r="AD160" s="104" t="s">
        <v>1523</v>
      </c>
      <c r="AE160" s="53">
        <v>1</v>
      </c>
      <c r="AF160" s="45">
        <v>1</v>
      </c>
      <c r="AG160" s="48">
        <f t="shared" si="15"/>
        <v>1</v>
      </c>
      <c r="AH160" s="104" t="s">
        <v>1524</v>
      </c>
      <c r="AI160" s="71" t="s">
        <v>511</v>
      </c>
      <c r="AJ160" s="71" t="s">
        <v>496</v>
      </c>
      <c r="AK160" s="45" t="s">
        <v>496</v>
      </c>
      <c r="AL160" s="45" t="s">
        <v>496</v>
      </c>
      <c r="AM160" s="45" t="s">
        <v>496</v>
      </c>
      <c r="AN160" s="71" t="s">
        <v>496</v>
      </c>
      <c r="AO160" s="170" t="s">
        <v>496</v>
      </c>
      <c r="AP160" s="104" t="s">
        <v>1523</v>
      </c>
      <c r="AQ160" s="65">
        <v>1</v>
      </c>
      <c r="AR160" s="37">
        <v>1</v>
      </c>
      <c r="AS160" s="159">
        <f>(+Tabla4[[#This Row],[Programación  meta
IV trimestre ]]/AR160)</f>
        <v>1</v>
      </c>
      <c r="AT160" s="248" t="s">
        <v>1525</v>
      </c>
      <c r="AU160" s="247" t="s">
        <v>502</v>
      </c>
      <c r="AV160" s="165" t="s">
        <v>485</v>
      </c>
      <c r="AW160" s="85">
        <f>Tabla4[[#This Row],[Programación  meta
II trimestre ]]+Tabla4[[#This Row],[Programación  meta
IV trimestre ]]</f>
        <v>2</v>
      </c>
      <c r="AX160" s="84">
        <f>+Tabla4[[#This Row],[Avance cuantitativo
II trimestre]]+AR160</f>
        <v>2</v>
      </c>
      <c r="AY160" s="86">
        <f t="shared" si="16"/>
        <v>1</v>
      </c>
      <c r="AZ160" s="89" t="s">
        <v>503</v>
      </c>
    </row>
    <row r="161" spans="1:81" s="129" customFormat="1" x14ac:dyDescent="0.2">
      <c r="B161" s="142" t="s">
        <v>1526</v>
      </c>
      <c r="C161" s="104" t="s">
        <v>33</v>
      </c>
      <c r="D161" s="104" t="s">
        <v>134</v>
      </c>
      <c r="E161" s="104" t="s">
        <v>20</v>
      </c>
      <c r="F161" s="104" t="s">
        <v>1527</v>
      </c>
      <c r="G161" s="104" t="s">
        <v>104</v>
      </c>
      <c r="H161" s="104" t="s">
        <v>221</v>
      </c>
      <c r="I161" s="104" t="s">
        <v>25</v>
      </c>
      <c r="J161" s="104" t="s">
        <v>196</v>
      </c>
      <c r="K161" s="104" t="s">
        <v>389</v>
      </c>
      <c r="L161" s="104" t="s">
        <v>257</v>
      </c>
      <c r="M161" s="104" t="s">
        <v>29</v>
      </c>
      <c r="N161" s="45">
        <v>147</v>
      </c>
      <c r="O161" s="104" t="s">
        <v>1528</v>
      </c>
      <c r="P161" s="53">
        <v>2</v>
      </c>
      <c r="Q161" s="45" t="e">
        <f t="shared" si="18"/>
        <v>#VALUE!</v>
      </c>
      <c r="R161" s="53" t="s">
        <v>1529</v>
      </c>
      <c r="S161" s="104" t="s">
        <v>1530</v>
      </c>
      <c r="T161" s="104" t="s">
        <v>1530</v>
      </c>
      <c r="U161" s="215">
        <v>44562</v>
      </c>
      <c r="V161" s="53" t="s">
        <v>495</v>
      </c>
      <c r="W161" s="104" t="s">
        <v>199</v>
      </c>
      <c r="X161" s="177" t="s">
        <v>496</v>
      </c>
      <c r="Y161" s="51" t="s">
        <v>496</v>
      </c>
      <c r="Z161" s="51" t="s">
        <v>496</v>
      </c>
      <c r="AA161" s="51" t="s">
        <v>496</v>
      </c>
      <c r="AB161" s="177" t="s">
        <v>496</v>
      </c>
      <c r="AC161" s="71" t="s">
        <v>496</v>
      </c>
      <c r="AD161" s="104" t="s">
        <v>1531</v>
      </c>
      <c r="AE161" s="53">
        <v>1</v>
      </c>
      <c r="AF161" s="45">
        <v>1</v>
      </c>
      <c r="AG161" s="48">
        <f t="shared" si="15"/>
        <v>1</v>
      </c>
      <c r="AH161" s="104" t="s">
        <v>1532</v>
      </c>
      <c r="AI161" s="71" t="s">
        <v>511</v>
      </c>
      <c r="AJ161" s="71" t="s">
        <v>496</v>
      </c>
      <c r="AK161" s="45" t="s">
        <v>496</v>
      </c>
      <c r="AL161" s="45" t="s">
        <v>496</v>
      </c>
      <c r="AM161" s="45" t="s">
        <v>496</v>
      </c>
      <c r="AN161" s="71" t="s">
        <v>496</v>
      </c>
      <c r="AO161" s="170" t="s">
        <v>496</v>
      </c>
      <c r="AP161" s="104" t="s">
        <v>1531</v>
      </c>
      <c r="AQ161" s="65">
        <v>1</v>
      </c>
      <c r="AR161" s="37">
        <v>1</v>
      </c>
      <c r="AS161" s="159">
        <f>(+Tabla4[[#This Row],[Programación  meta
IV trimestre ]]/AR161)</f>
        <v>1</v>
      </c>
      <c r="AT161" s="248" t="s">
        <v>1533</v>
      </c>
      <c r="AU161" s="247" t="s">
        <v>502</v>
      </c>
      <c r="AV161" s="165" t="s">
        <v>485</v>
      </c>
      <c r="AW161" s="85">
        <f>+Tabla4[[#This Row],[Programación  meta
II trimestre ]]+Tabla4[[#This Row],[Programación  meta
IV trimestre ]]</f>
        <v>2</v>
      </c>
      <c r="AX161" s="84">
        <f>+Tabla4[[#This Row],[Avance cuantitativo
II trimestre]]+AR161</f>
        <v>2</v>
      </c>
      <c r="AY161" s="86">
        <f t="shared" si="16"/>
        <v>1</v>
      </c>
      <c r="AZ161" s="89" t="s">
        <v>503</v>
      </c>
    </row>
    <row r="162" spans="1:81" s="129" customFormat="1" x14ac:dyDescent="0.2">
      <c r="B162" s="138" t="s">
        <v>259</v>
      </c>
      <c r="C162" s="71" t="s">
        <v>18</v>
      </c>
      <c r="D162" s="71" t="s">
        <v>1534</v>
      </c>
      <c r="E162" s="71" t="s">
        <v>20</v>
      </c>
      <c r="F162" s="71" t="s">
        <v>1535</v>
      </c>
      <c r="G162" s="71" t="s">
        <v>104</v>
      </c>
      <c r="H162" s="71" t="s">
        <v>1536</v>
      </c>
      <c r="I162" s="71" t="s">
        <v>25</v>
      </c>
      <c r="J162" s="71" t="s">
        <v>1537</v>
      </c>
      <c r="K162" s="71" t="s">
        <v>1538</v>
      </c>
      <c r="L162" s="71" t="s">
        <v>257</v>
      </c>
      <c r="M162" s="71" t="s">
        <v>225</v>
      </c>
      <c r="N162" s="45">
        <v>148</v>
      </c>
      <c r="O162" s="71" t="s">
        <v>1539</v>
      </c>
      <c r="P162" s="45">
        <v>4</v>
      </c>
      <c r="Q162" s="45">
        <f t="shared" si="18"/>
        <v>4</v>
      </c>
      <c r="R162" s="45" t="s">
        <v>45</v>
      </c>
      <c r="S162" s="71" t="s">
        <v>1540</v>
      </c>
      <c r="T162" s="71" t="s">
        <v>1541</v>
      </c>
      <c r="U162" s="212">
        <v>44562</v>
      </c>
      <c r="V162" s="45" t="s">
        <v>495</v>
      </c>
      <c r="W162" s="71" t="s">
        <v>1542</v>
      </c>
      <c r="X162" s="71" t="s">
        <v>1543</v>
      </c>
      <c r="Y162" s="45">
        <v>1</v>
      </c>
      <c r="Z162" s="45">
        <v>1</v>
      </c>
      <c r="AA162" s="59">
        <f>(Z162/Y162)</f>
        <v>1</v>
      </c>
      <c r="AB162" s="60" t="s">
        <v>1544</v>
      </c>
      <c r="AC162" s="60" t="s">
        <v>1545</v>
      </c>
      <c r="AD162" s="71" t="s">
        <v>1543</v>
      </c>
      <c r="AE162" s="45">
        <v>1</v>
      </c>
      <c r="AF162" s="45">
        <v>1</v>
      </c>
      <c r="AG162" s="48">
        <f t="shared" si="15"/>
        <v>1</v>
      </c>
      <c r="AH162" s="104" t="s">
        <v>1546</v>
      </c>
      <c r="AI162" s="71" t="s">
        <v>511</v>
      </c>
      <c r="AJ162" s="71" t="s">
        <v>1543</v>
      </c>
      <c r="AK162" s="45">
        <v>1</v>
      </c>
      <c r="AL162" s="45">
        <v>1</v>
      </c>
      <c r="AM162" s="25">
        <f>+(Tabla4[[#This Row],[Avance cuantitativo
III trimestre]]/Tabla4[[#This Row],[Programación  meta
III trimestre ]])*100%</f>
        <v>1</v>
      </c>
      <c r="AN162" s="110" t="s">
        <v>1547</v>
      </c>
      <c r="AO162" s="170" t="s">
        <v>511</v>
      </c>
      <c r="AP162" s="71" t="s">
        <v>1543</v>
      </c>
      <c r="AQ162" s="63">
        <v>1</v>
      </c>
      <c r="AR162" s="37">
        <v>1</v>
      </c>
      <c r="AS162" s="159">
        <f>(+Tabla4[[#This Row],[Programación  meta
IV trimestre ]]/AR162)</f>
        <v>1</v>
      </c>
      <c r="AT162" s="248" t="s">
        <v>1548</v>
      </c>
      <c r="AU162" s="247" t="s">
        <v>502</v>
      </c>
      <c r="AV162" s="165" t="s">
        <v>485</v>
      </c>
      <c r="AW162" s="85">
        <f>+Tabla4[[#This Row],[Programación  meta
I trimestre ]]+Tabla4[[#This Row],[Programación  meta
II trimestre ]]+Tabla4[[#This Row],[Programación  meta
III trimestre ]]+Tabla4[[#This Row],[Programación  meta
IV trimestre ]]</f>
        <v>4</v>
      </c>
      <c r="AX162" s="84">
        <f>+Tabla4[[#This Row],[Avance cuantitativo
I trimestre]]+Tabla4[[#This Row],[Avance cuantitativo
II trimestre]]+Tabla4[[#This Row],[Avance cuantitativo
III trimestre]]+AR162</f>
        <v>4</v>
      </c>
      <c r="AY162" s="86">
        <f t="shared" si="16"/>
        <v>1</v>
      </c>
      <c r="AZ162" s="89" t="s">
        <v>503</v>
      </c>
    </row>
    <row r="163" spans="1:81" s="129" customFormat="1" x14ac:dyDescent="0.2">
      <c r="B163" s="138" t="s">
        <v>100</v>
      </c>
      <c r="C163" s="71" t="s">
        <v>18</v>
      </c>
      <c r="D163" s="71" t="s">
        <v>1534</v>
      </c>
      <c r="E163" s="71" t="s">
        <v>20</v>
      </c>
      <c r="F163" s="71" t="s">
        <v>1549</v>
      </c>
      <c r="G163" s="71" t="s">
        <v>104</v>
      </c>
      <c r="H163" s="71" t="s">
        <v>1536</v>
      </c>
      <c r="I163" s="71" t="s">
        <v>25</v>
      </c>
      <c r="J163" s="71" t="s">
        <v>56</v>
      </c>
      <c r="K163" s="71" t="s">
        <v>1550</v>
      </c>
      <c r="L163" s="71" t="s">
        <v>257</v>
      </c>
      <c r="M163" s="71" t="s">
        <v>225</v>
      </c>
      <c r="N163" s="45">
        <v>149</v>
      </c>
      <c r="O163" s="71" t="s">
        <v>1551</v>
      </c>
      <c r="P163" s="45">
        <v>12</v>
      </c>
      <c r="Q163" s="45">
        <f t="shared" si="18"/>
        <v>12</v>
      </c>
      <c r="R163" s="45" t="s">
        <v>45</v>
      </c>
      <c r="S163" s="71" t="s">
        <v>1552</v>
      </c>
      <c r="T163" s="71" t="s">
        <v>1553</v>
      </c>
      <c r="U163" s="212">
        <v>44562</v>
      </c>
      <c r="V163" s="45" t="s">
        <v>495</v>
      </c>
      <c r="W163" s="71" t="s">
        <v>1542</v>
      </c>
      <c r="X163" s="71" t="s">
        <v>1554</v>
      </c>
      <c r="Y163" s="45">
        <v>3</v>
      </c>
      <c r="Z163" s="45">
        <v>3</v>
      </c>
      <c r="AA163" s="59">
        <f>(Z163/Y163)</f>
        <v>1</v>
      </c>
      <c r="AB163" s="60" t="s">
        <v>1555</v>
      </c>
      <c r="AC163" s="60" t="s">
        <v>1545</v>
      </c>
      <c r="AD163" s="71" t="s">
        <v>1554</v>
      </c>
      <c r="AE163" s="45">
        <v>3</v>
      </c>
      <c r="AF163" s="45">
        <v>3</v>
      </c>
      <c r="AG163" s="48">
        <f t="shared" si="15"/>
        <v>1</v>
      </c>
      <c r="AH163" s="104" t="s">
        <v>1556</v>
      </c>
      <c r="AI163" s="71" t="s">
        <v>511</v>
      </c>
      <c r="AJ163" s="71" t="s">
        <v>1554</v>
      </c>
      <c r="AK163" s="45">
        <v>3</v>
      </c>
      <c r="AL163" s="45">
        <v>3</v>
      </c>
      <c r="AM163" s="25">
        <f>+(Tabla4[[#This Row],[Avance cuantitativo
III trimestre]]/Tabla4[[#This Row],[Programación  meta
III trimestre ]])*100%</f>
        <v>1</v>
      </c>
      <c r="AN163" s="110" t="s">
        <v>1557</v>
      </c>
      <c r="AO163" s="170" t="s">
        <v>511</v>
      </c>
      <c r="AP163" s="71" t="s">
        <v>1554</v>
      </c>
      <c r="AQ163" s="63">
        <v>3</v>
      </c>
      <c r="AR163" s="37">
        <v>3</v>
      </c>
      <c r="AS163" s="159">
        <f>(+Tabla4[[#This Row],[Programación  meta
IV trimestre ]]/AR163)</f>
        <v>1</v>
      </c>
      <c r="AT163" s="248" t="s">
        <v>1558</v>
      </c>
      <c r="AU163" s="247" t="s">
        <v>502</v>
      </c>
      <c r="AV163" s="165" t="s">
        <v>485</v>
      </c>
      <c r="AW163" s="85">
        <f>+Tabla4[[#This Row],[Programación  meta
I trimestre ]]+Tabla4[[#This Row],[Programación  meta
II trimestre ]]+Tabla4[[#This Row],[Programación  meta
III trimestre ]]+Tabla4[[#This Row],[Programación  meta
IV trimestre ]]</f>
        <v>12</v>
      </c>
      <c r="AX163" s="84">
        <f>+Tabla4[[#This Row],[Avance cuantitativo
I trimestre]]+Tabla4[[#This Row],[Avance cuantitativo
II trimestre]]+Tabla4[[#This Row],[Avance cuantitativo
III trimestre]]+AR163</f>
        <v>12</v>
      </c>
      <c r="AY163" s="86">
        <f t="shared" si="16"/>
        <v>1</v>
      </c>
      <c r="AZ163" s="89" t="s">
        <v>503</v>
      </c>
    </row>
    <row r="164" spans="1:81" s="129" customFormat="1" x14ac:dyDescent="0.2">
      <c r="B164" s="142" t="s">
        <v>320</v>
      </c>
      <c r="C164" s="71" t="s">
        <v>48</v>
      </c>
      <c r="D164" s="104" t="s">
        <v>1559</v>
      </c>
      <c r="E164" s="71" t="s">
        <v>547</v>
      </c>
      <c r="F164" s="104" t="s">
        <v>336</v>
      </c>
      <c r="G164" s="104" t="s">
        <v>1560</v>
      </c>
      <c r="H164" s="104" t="s">
        <v>1561</v>
      </c>
      <c r="I164" s="104" t="s">
        <v>25</v>
      </c>
      <c r="J164" s="104" t="s">
        <v>222</v>
      </c>
      <c r="K164" s="104" t="s">
        <v>403</v>
      </c>
      <c r="L164" s="104" t="s">
        <v>257</v>
      </c>
      <c r="M164" s="104" t="s">
        <v>225</v>
      </c>
      <c r="N164" s="45">
        <v>150</v>
      </c>
      <c r="O164" s="104" t="s">
        <v>1562</v>
      </c>
      <c r="P164" s="53">
        <v>2</v>
      </c>
      <c r="Q164" s="45" t="e">
        <f t="shared" si="18"/>
        <v>#VALUE!</v>
      </c>
      <c r="R164" s="53" t="s">
        <v>45</v>
      </c>
      <c r="S164" s="104" t="s">
        <v>742</v>
      </c>
      <c r="T164" s="104" t="s">
        <v>1563</v>
      </c>
      <c r="U164" s="215">
        <v>44562</v>
      </c>
      <c r="V164" s="53" t="s">
        <v>495</v>
      </c>
      <c r="W164" s="104" t="s">
        <v>1542</v>
      </c>
      <c r="X164" s="177" t="s">
        <v>496</v>
      </c>
      <c r="Y164" s="51" t="s">
        <v>496</v>
      </c>
      <c r="Z164" s="51" t="s">
        <v>496</v>
      </c>
      <c r="AA164" s="51" t="s">
        <v>496</v>
      </c>
      <c r="AB164" s="177" t="s">
        <v>496</v>
      </c>
      <c r="AC164" s="71" t="s">
        <v>496</v>
      </c>
      <c r="AD164" s="104" t="s">
        <v>1564</v>
      </c>
      <c r="AE164" s="53">
        <v>1</v>
      </c>
      <c r="AF164" s="45">
        <v>1</v>
      </c>
      <c r="AG164" s="48">
        <f t="shared" si="15"/>
        <v>1</v>
      </c>
      <c r="AH164" s="104" t="s">
        <v>1565</v>
      </c>
      <c r="AI164" s="71" t="s">
        <v>511</v>
      </c>
      <c r="AJ164" s="71" t="s">
        <v>496</v>
      </c>
      <c r="AK164" s="45" t="s">
        <v>496</v>
      </c>
      <c r="AL164" s="45" t="s">
        <v>496</v>
      </c>
      <c r="AM164" s="45" t="s">
        <v>496</v>
      </c>
      <c r="AN164" s="71" t="s">
        <v>496</v>
      </c>
      <c r="AO164" s="170" t="s">
        <v>496</v>
      </c>
      <c r="AP164" s="104" t="s">
        <v>1564</v>
      </c>
      <c r="AQ164" s="65">
        <v>1</v>
      </c>
      <c r="AR164" s="37">
        <v>1</v>
      </c>
      <c r="AS164" s="159">
        <f>(+Tabla4[[#This Row],[Programación  meta
IV trimestre ]]/AR164)</f>
        <v>1</v>
      </c>
      <c r="AT164" s="248" t="s">
        <v>1566</v>
      </c>
      <c r="AU164" s="247" t="s">
        <v>502</v>
      </c>
      <c r="AV164" s="165" t="s">
        <v>485</v>
      </c>
      <c r="AW164" s="85">
        <f>+Tabla4[[#This Row],[Programación  meta
II trimestre ]]+Tabla4[[#This Row],[Programación  meta
IV trimestre ]]</f>
        <v>2</v>
      </c>
      <c r="AX164" s="84">
        <f>+Tabla4[[#This Row],[Avance cuantitativo
II trimestre]]+AR164</f>
        <v>2</v>
      </c>
      <c r="AY164" s="86">
        <f t="shared" si="16"/>
        <v>1</v>
      </c>
      <c r="AZ164" s="89" t="s">
        <v>503</v>
      </c>
    </row>
    <row r="165" spans="1:81" s="129" customFormat="1" x14ac:dyDescent="0.2">
      <c r="B165" s="142" t="s">
        <v>320</v>
      </c>
      <c r="C165" s="71" t="s">
        <v>48</v>
      </c>
      <c r="D165" s="104" t="s">
        <v>1559</v>
      </c>
      <c r="E165" s="71" t="s">
        <v>547</v>
      </c>
      <c r="F165" s="104" t="s">
        <v>336</v>
      </c>
      <c r="G165" s="104" t="s">
        <v>1567</v>
      </c>
      <c r="H165" s="104" t="s">
        <v>720</v>
      </c>
      <c r="I165" s="104" t="s">
        <v>40</v>
      </c>
      <c r="J165" s="104" t="s">
        <v>222</v>
      </c>
      <c r="K165" s="104" t="s">
        <v>403</v>
      </c>
      <c r="L165" s="104" t="s">
        <v>257</v>
      </c>
      <c r="M165" s="104" t="s">
        <v>225</v>
      </c>
      <c r="N165" s="45">
        <v>151</v>
      </c>
      <c r="O165" s="104" t="s">
        <v>1568</v>
      </c>
      <c r="P165" s="53">
        <v>2</v>
      </c>
      <c r="Q165" s="45" t="e">
        <f t="shared" si="18"/>
        <v>#VALUE!</v>
      </c>
      <c r="R165" s="53" t="s">
        <v>45</v>
      </c>
      <c r="S165" s="104" t="s">
        <v>1484</v>
      </c>
      <c r="T165" s="104" t="s">
        <v>1485</v>
      </c>
      <c r="U165" s="215">
        <v>44562</v>
      </c>
      <c r="V165" s="53" t="s">
        <v>495</v>
      </c>
      <c r="W165" s="104" t="s">
        <v>1542</v>
      </c>
      <c r="X165" s="177" t="s">
        <v>496</v>
      </c>
      <c r="Y165" s="51" t="s">
        <v>496</v>
      </c>
      <c r="Z165" s="51" t="s">
        <v>496</v>
      </c>
      <c r="AA165" s="51" t="s">
        <v>496</v>
      </c>
      <c r="AB165" s="177" t="s">
        <v>496</v>
      </c>
      <c r="AC165" s="71" t="s">
        <v>496</v>
      </c>
      <c r="AD165" s="104" t="s">
        <v>1486</v>
      </c>
      <c r="AE165" s="53">
        <v>1</v>
      </c>
      <c r="AF165" s="45">
        <v>1</v>
      </c>
      <c r="AG165" s="48">
        <f t="shared" si="15"/>
        <v>1</v>
      </c>
      <c r="AH165" s="104" t="s">
        <v>1569</v>
      </c>
      <c r="AI165" s="71" t="s">
        <v>511</v>
      </c>
      <c r="AJ165" s="71" t="s">
        <v>496</v>
      </c>
      <c r="AK165" s="45" t="s">
        <v>496</v>
      </c>
      <c r="AL165" s="45" t="s">
        <v>496</v>
      </c>
      <c r="AM165" s="45" t="s">
        <v>496</v>
      </c>
      <c r="AN165" s="71" t="s">
        <v>496</v>
      </c>
      <c r="AO165" s="170" t="s">
        <v>496</v>
      </c>
      <c r="AP165" s="104" t="s">
        <v>1486</v>
      </c>
      <c r="AQ165" s="65">
        <v>1</v>
      </c>
      <c r="AR165" s="37">
        <v>1</v>
      </c>
      <c r="AS165" s="159">
        <f>(+Tabla4[[#This Row],[Programación  meta
IV trimestre ]]/AR165)</f>
        <v>1</v>
      </c>
      <c r="AT165" s="119" t="s">
        <v>1570</v>
      </c>
      <c r="AU165" s="247" t="s">
        <v>502</v>
      </c>
      <c r="AV165" s="165" t="s">
        <v>485</v>
      </c>
      <c r="AW165" s="85">
        <f>+Tabla4[[#This Row],[Programación  meta
II trimestre ]]+Tabla4[[#This Row],[Programación  meta
IV trimestre ]]</f>
        <v>2</v>
      </c>
      <c r="AX165" s="84">
        <f>+Tabla4[[#This Row],[Avance cuantitativo
II trimestre]]+AR165</f>
        <v>2</v>
      </c>
      <c r="AY165" s="86">
        <f t="shared" si="16"/>
        <v>1</v>
      </c>
      <c r="AZ165" s="89" t="s">
        <v>503</v>
      </c>
    </row>
    <row r="166" spans="1:81" s="180" customFormat="1" x14ac:dyDescent="0.2">
      <c r="A166" s="141"/>
      <c r="B166" s="174" t="s">
        <v>133</v>
      </c>
      <c r="C166" s="170" t="s">
        <v>63</v>
      </c>
      <c r="D166" s="170" t="s">
        <v>639</v>
      </c>
      <c r="E166" s="170" t="s">
        <v>20</v>
      </c>
      <c r="F166" s="170" t="s">
        <v>78</v>
      </c>
      <c r="G166" s="170" t="s">
        <v>1439</v>
      </c>
      <c r="H166" s="170" t="s">
        <v>82</v>
      </c>
      <c r="I166" s="170" t="s">
        <v>1440</v>
      </c>
      <c r="J166" s="170" t="s">
        <v>1571</v>
      </c>
      <c r="K166" s="170" t="s">
        <v>339</v>
      </c>
      <c r="L166" s="170" t="s">
        <v>257</v>
      </c>
      <c r="M166" s="170" t="s">
        <v>44</v>
      </c>
      <c r="N166" s="55">
        <v>152</v>
      </c>
      <c r="O166" s="110" t="s">
        <v>1572</v>
      </c>
      <c r="P166" s="49">
        <v>1</v>
      </c>
      <c r="Q166" s="49">
        <f>(+Y166+AE166+AK166+AQ166)/4</f>
        <v>1</v>
      </c>
      <c r="R166" s="47" t="s">
        <v>30</v>
      </c>
      <c r="S166" s="110" t="s">
        <v>1573</v>
      </c>
      <c r="T166" s="110" t="s">
        <v>1574</v>
      </c>
      <c r="U166" s="213">
        <v>44562</v>
      </c>
      <c r="V166" s="47" t="s">
        <v>495</v>
      </c>
      <c r="W166" s="170" t="s">
        <v>226</v>
      </c>
      <c r="X166" s="110" t="s">
        <v>1575</v>
      </c>
      <c r="Y166" s="49">
        <v>1</v>
      </c>
      <c r="Z166" s="49">
        <v>1</v>
      </c>
      <c r="AA166" s="58">
        <f>(Z166/Y166)</f>
        <v>1</v>
      </c>
      <c r="AB166" s="62" t="s">
        <v>1576</v>
      </c>
      <c r="AC166" s="175" t="s">
        <v>1410</v>
      </c>
      <c r="AD166" s="170" t="s">
        <v>1577</v>
      </c>
      <c r="AE166" s="49">
        <v>1</v>
      </c>
      <c r="AF166" s="49">
        <v>1</v>
      </c>
      <c r="AG166" s="49">
        <f t="shared" si="15"/>
        <v>1</v>
      </c>
      <c r="AH166" s="62" t="s">
        <v>1578</v>
      </c>
      <c r="AI166" s="170" t="s">
        <v>511</v>
      </c>
      <c r="AJ166" s="170" t="s">
        <v>1577</v>
      </c>
      <c r="AK166" s="49">
        <v>1</v>
      </c>
      <c r="AL166" s="48">
        <v>1</v>
      </c>
      <c r="AM166" s="25">
        <f>+(Tabla4[[#This Row],[Avance cuantitativo
III trimestre]]/Tabla4[[#This Row],[Programación  meta
III trimestre ]])*100%</f>
        <v>1</v>
      </c>
      <c r="AN166" s="110" t="s">
        <v>1579</v>
      </c>
      <c r="AO166" s="170" t="s">
        <v>511</v>
      </c>
      <c r="AP166" s="170" t="s">
        <v>1577</v>
      </c>
      <c r="AQ166" s="64">
        <v>1</v>
      </c>
      <c r="AR166" s="154">
        <v>1</v>
      </c>
      <c r="AS166" s="159">
        <f>(+Tabla4[[#This Row],[Programación  meta
IV trimestre ]]/AR166)</f>
        <v>1</v>
      </c>
      <c r="AT166" s="119" t="s">
        <v>1580</v>
      </c>
      <c r="AU166" s="247" t="s">
        <v>1581</v>
      </c>
      <c r="AV166" s="165" t="s">
        <v>485</v>
      </c>
      <c r="AW166" s="87">
        <f>+(Tabla4[[#This Row],[Programación  meta
I trimestre ]]+Tabla4[[#This Row],[Programación  meta
II trimestre ]]+Tabla4[[#This Row],[Programación  meta
III trimestre ]]+Tabla4[[#This Row],[Programación  meta
IV trimestre ]])/4</f>
        <v>1</v>
      </c>
      <c r="AX166" s="84">
        <f>+(Tabla4[[#This Row],[Avance cuantitativo
I trimestre]]+Tabla4[[#This Row],[Avance cuantitativo
II trimestre]]+Tabla4[[#This Row],[Avance cuantitativo
III trimestre]]+AR166)/4</f>
        <v>1</v>
      </c>
      <c r="AY166" s="86">
        <f t="shared" si="16"/>
        <v>1</v>
      </c>
      <c r="AZ166" s="89" t="s">
        <v>503</v>
      </c>
      <c r="BA166" s="141"/>
      <c r="BB166" s="141"/>
      <c r="BC166" s="141"/>
      <c r="BD166" s="141"/>
      <c r="BE166" s="141"/>
      <c r="BF166" s="141"/>
      <c r="BG166" s="141"/>
      <c r="BH166" s="141"/>
      <c r="BI166" s="141"/>
      <c r="BJ166" s="141"/>
      <c r="BK166" s="141"/>
      <c r="BL166" s="141"/>
      <c r="BM166" s="141"/>
      <c r="BN166" s="141"/>
      <c r="BO166" s="141"/>
      <c r="BP166" s="141"/>
      <c r="BQ166" s="141"/>
      <c r="BR166" s="141"/>
      <c r="BS166" s="141"/>
      <c r="BT166" s="141"/>
      <c r="BU166" s="141"/>
      <c r="BV166" s="141"/>
      <c r="BW166" s="141"/>
      <c r="BX166" s="141"/>
      <c r="BY166" s="141"/>
      <c r="BZ166" s="141"/>
      <c r="CA166" s="141"/>
      <c r="CB166" s="141"/>
      <c r="CC166" s="141"/>
    </row>
    <row r="167" spans="1:81" s="129" customFormat="1" x14ac:dyDescent="0.2">
      <c r="A167" s="147"/>
      <c r="B167" s="138" t="s">
        <v>133</v>
      </c>
      <c r="C167" s="71" t="s">
        <v>63</v>
      </c>
      <c r="D167" s="71" t="s">
        <v>639</v>
      </c>
      <c r="E167" s="71" t="s">
        <v>20</v>
      </c>
      <c r="F167" s="71" t="s">
        <v>78</v>
      </c>
      <c r="G167" s="71" t="s">
        <v>1439</v>
      </c>
      <c r="H167" s="71" t="s">
        <v>82</v>
      </c>
      <c r="I167" s="71" t="s">
        <v>1440</v>
      </c>
      <c r="J167" s="71" t="s">
        <v>1571</v>
      </c>
      <c r="K167" s="71" t="s">
        <v>339</v>
      </c>
      <c r="L167" s="71" t="s">
        <v>257</v>
      </c>
      <c r="M167" s="71" t="s">
        <v>44</v>
      </c>
      <c r="N167" s="45">
        <v>153</v>
      </c>
      <c r="O167" s="71" t="s">
        <v>1582</v>
      </c>
      <c r="P167" s="45">
        <v>1</v>
      </c>
      <c r="Q167" s="204">
        <f>+Y167+AE167+AK167+AQ167</f>
        <v>1.75</v>
      </c>
      <c r="R167" s="45" t="s">
        <v>60</v>
      </c>
      <c r="S167" s="71" t="s">
        <v>1583</v>
      </c>
      <c r="T167" s="71" t="s">
        <v>1584</v>
      </c>
      <c r="U167" s="212">
        <v>44562</v>
      </c>
      <c r="V167" s="45" t="s">
        <v>495</v>
      </c>
      <c r="W167" s="71" t="s">
        <v>226</v>
      </c>
      <c r="X167" s="71" t="s">
        <v>1585</v>
      </c>
      <c r="Y167" s="232">
        <v>0.25</v>
      </c>
      <c r="Z167" s="47">
        <v>0.25</v>
      </c>
      <c r="AA167" s="58">
        <f>(Z167/Y167)</f>
        <v>1</v>
      </c>
      <c r="AB167" s="62" t="s">
        <v>1586</v>
      </c>
      <c r="AC167" s="175" t="s">
        <v>511</v>
      </c>
      <c r="AD167" s="71" t="s">
        <v>1587</v>
      </c>
      <c r="AE167" s="237">
        <v>1</v>
      </c>
      <c r="AF167" s="242">
        <v>0.5</v>
      </c>
      <c r="AG167" s="49">
        <f t="shared" si="15"/>
        <v>0.5</v>
      </c>
      <c r="AH167" s="62" t="s">
        <v>1588</v>
      </c>
      <c r="AI167" s="189" t="s">
        <v>511</v>
      </c>
      <c r="AJ167" s="71" t="s">
        <v>1589</v>
      </c>
      <c r="AK167" s="45">
        <v>0.25</v>
      </c>
      <c r="AL167" s="45">
        <v>0.25</v>
      </c>
      <c r="AM167" s="25">
        <f>+(Tabla4[[#This Row],[Avance cuantitativo
III trimestre]]/Tabla4[[#This Row],[Programación  meta
III trimestre ]])*100%</f>
        <v>1</v>
      </c>
      <c r="AN167" s="110" t="s">
        <v>1590</v>
      </c>
      <c r="AO167" s="170" t="s">
        <v>511</v>
      </c>
      <c r="AP167" s="71" t="s">
        <v>1591</v>
      </c>
      <c r="AQ167" s="63">
        <v>0.25</v>
      </c>
      <c r="AR167" s="121">
        <v>0.25</v>
      </c>
      <c r="AS167" s="159">
        <f>(+Tabla4[[#This Row],[Programación  meta
IV trimestre ]]/AR167)</f>
        <v>1</v>
      </c>
      <c r="AT167" s="119" t="s">
        <v>1592</v>
      </c>
      <c r="AU167" s="28" t="s">
        <v>502</v>
      </c>
      <c r="AV167" s="165" t="s">
        <v>485</v>
      </c>
      <c r="AW167" s="85">
        <v>1</v>
      </c>
      <c r="AX167" s="258">
        <v>1</v>
      </c>
      <c r="AY167" s="86">
        <f t="shared" si="16"/>
        <v>1</v>
      </c>
      <c r="AZ167" s="144" t="s">
        <v>1593</v>
      </c>
      <c r="BA167" s="141"/>
      <c r="BB167" s="141"/>
      <c r="BC167" s="141"/>
      <c r="BD167" s="141"/>
      <c r="BE167" s="141"/>
      <c r="BF167" s="141"/>
      <c r="BG167" s="141"/>
      <c r="BH167" s="141"/>
      <c r="BI167" s="141"/>
      <c r="BJ167" s="141"/>
      <c r="BK167" s="141"/>
      <c r="BL167" s="141"/>
      <c r="BM167" s="141"/>
      <c r="BN167" s="141"/>
      <c r="BO167" s="141"/>
      <c r="BP167" s="141"/>
      <c r="BQ167" s="141"/>
      <c r="BR167" s="141"/>
      <c r="BS167" s="141"/>
      <c r="BT167" s="141"/>
      <c r="BU167" s="141"/>
      <c r="BV167" s="141"/>
      <c r="BW167" s="141"/>
      <c r="BX167" s="141"/>
      <c r="BY167" s="141"/>
      <c r="BZ167" s="141"/>
      <c r="CA167" s="141"/>
      <c r="CB167" s="141"/>
      <c r="CC167" s="141"/>
    </row>
    <row r="168" spans="1:81" s="180" customFormat="1" x14ac:dyDescent="0.2">
      <c r="A168" s="147"/>
      <c r="B168" s="182" t="s">
        <v>133</v>
      </c>
      <c r="C168" s="177" t="s">
        <v>63</v>
      </c>
      <c r="D168" s="177" t="s">
        <v>639</v>
      </c>
      <c r="E168" s="177" t="s">
        <v>20</v>
      </c>
      <c r="F168" s="177" t="s">
        <v>1594</v>
      </c>
      <c r="G168" s="177" t="s">
        <v>1439</v>
      </c>
      <c r="H168" s="177" t="s">
        <v>82</v>
      </c>
      <c r="I168" s="177" t="s">
        <v>1440</v>
      </c>
      <c r="J168" s="177" t="s">
        <v>1571</v>
      </c>
      <c r="K168" s="177" t="s">
        <v>339</v>
      </c>
      <c r="L168" s="177" t="s">
        <v>257</v>
      </c>
      <c r="M168" s="177" t="s">
        <v>44</v>
      </c>
      <c r="N168" s="55">
        <v>154</v>
      </c>
      <c r="O168" s="149" t="s">
        <v>1595</v>
      </c>
      <c r="P168" s="51">
        <v>20</v>
      </c>
      <c r="Q168" s="47" t="e">
        <f>+Y168+AE168+AK168+AQ168</f>
        <v>#VALUE!</v>
      </c>
      <c r="R168" s="51" t="s">
        <v>45</v>
      </c>
      <c r="S168" s="149" t="s">
        <v>1596</v>
      </c>
      <c r="T168" s="149" t="s">
        <v>1597</v>
      </c>
      <c r="U168" s="214">
        <v>44562</v>
      </c>
      <c r="V168" s="51" t="s">
        <v>495</v>
      </c>
      <c r="W168" s="177" t="s">
        <v>226</v>
      </c>
      <c r="X168" s="177" t="s">
        <v>496</v>
      </c>
      <c r="Y168" s="51" t="s">
        <v>496</v>
      </c>
      <c r="Z168" s="51" t="s">
        <v>496</v>
      </c>
      <c r="AA168" s="51" t="s">
        <v>496</v>
      </c>
      <c r="AB168" s="177" t="s">
        <v>496</v>
      </c>
      <c r="AC168" s="71" t="s">
        <v>496</v>
      </c>
      <c r="AD168" s="104" t="s">
        <v>496</v>
      </c>
      <c r="AE168" s="53" t="s">
        <v>496</v>
      </c>
      <c r="AF168" s="53" t="s">
        <v>496</v>
      </c>
      <c r="AG168" s="53" t="s">
        <v>496</v>
      </c>
      <c r="AH168" s="104" t="s">
        <v>496</v>
      </c>
      <c r="AI168" s="170" t="s">
        <v>496</v>
      </c>
      <c r="AJ168" s="170" t="s">
        <v>496</v>
      </c>
      <c r="AK168" s="45" t="s">
        <v>496</v>
      </c>
      <c r="AL168" s="45" t="s">
        <v>496</v>
      </c>
      <c r="AM168" s="45" t="s">
        <v>496</v>
      </c>
      <c r="AN168" s="71" t="s">
        <v>496</v>
      </c>
      <c r="AO168" s="170" t="s">
        <v>496</v>
      </c>
      <c r="AP168" s="177" t="s">
        <v>1598</v>
      </c>
      <c r="AQ168" s="111">
        <v>20</v>
      </c>
      <c r="AR168" s="155">
        <v>20</v>
      </c>
      <c r="AS168" s="159">
        <f>(+Tabla4[[#This Row],[Programación  meta
IV trimestre ]]/AR168)</f>
        <v>1</v>
      </c>
      <c r="AT168" s="119" t="s">
        <v>1599</v>
      </c>
      <c r="AU168" s="247" t="s">
        <v>502</v>
      </c>
      <c r="AV168" s="165" t="s">
        <v>485</v>
      </c>
      <c r="AW168" s="85">
        <f>+Tabla4[[#This Row],[Programación  meta
IV trimestre ]]</f>
        <v>20</v>
      </c>
      <c r="AX168" s="84">
        <f>+AR168</f>
        <v>20</v>
      </c>
      <c r="AY168" s="86">
        <f t="shared" si="16"/>
        <v>1</v>
      </c>
      <c r="AZ168" s="89" t="s">
        <v>503</v>
      </c>
      <c r="BA168" s="141"/>
      <c r="BB168" s="141"/>
      <c r="BC168" s="141"/>
      <c r="BD168" s="141"/>
      <c r="BE168" s="141"/>
      <c r="BF168" s="141"/>
      <c r="BG168" s="141"/>
      <c r="BH168" s="141"/>
      <c r="BI168" s="141"/>
      <c r="BJ168" s="141"/>
      <c r="BK168" s="141"/>
      <c r="BL168" s="141"/>
      <c r="BM168" s="141"/>
      <c r="BN168" s="141"/>
      <c r="BO168" s="141"/>
      <c r="BP168" s="141"/>
      <c r="BQ168" s="141"/>
      <c r="BR168" s="141"/>
      <c r="BS168" s="141"/>
      <c r="BT168" s="141"/>
      <c r="BU168" s="141"/>
      <c r="BV168" s="141"/>
      <c r="BW168" s="141"/>
      <c r="BX168" s="141"/>
      <c r="BY168" s="141"/>
      <c r="BZ168" s="141"/>
      <c r="CA168" s="141"/>
      <c r="CB168" s="141"/>
      <c r="CC168" s="141"/>
    </row>
    <row r="169" spans="1:81" s="30" customFormat="1" hidden="1" x14ac:dyDescent="0.2">
      <c r="B169" s="67" t="s">
        <v>320</v>
      </c>
      <c r="C169" s="46" t="s">
        <v>48</v>
      </c>
      <c r="D169" s="44" t="s">
        <v>184</v>
      </c>
      <c r="E169" s="44" t="s">
        <v>102</v>
      </c>
      <c r="F169" s="44" t="s">
        <v>338</v>
      </c>
      <c r="G169" s="44" t="s">
        <v>53</v>
      </c>
      <c r="H169" s="44" t="s">
        <v>82</v>
      </c>
      <c r="I169" s="44" t="s">
        <v>25</v>
      </c>
      <c r="J169" s="44" t="s">
        <v>117</v>
      </c>
      <c r="K169" s="44" t="s">
        <v>402</v>
      </c>
      <c r="L169" s="44" t="s">
        <v>257</v>
      </c>
      <c r="M169" s="44" t="s">
        <v>233</v>
      </c>
      <c r="N169" s="55">
        <v>155</v>
      </c>
      <c r="O169" s="56" t="s">
        <v>1600</v>
      </c>
      <c r="P169" s="48">
        <v>1</v>
      </c>
      <c r="Q169" s="49" t="e">
        <f>(+Y169+AE169+AK169+AQ169)/4</f>
        <v>#VALUE!</v>
      </c>
      <c r="R169" s="45" t="s">
        <v>30</v>
      </c>
      <c r="S169" s="56" t="s">
        <v>580</v>
      </c>
      <c r="T169" s="56" t="s">
        <v>581</v>
      </c>
      <c r="U169" s="212">
        <v>44562</v>
      </c>
      <c r="V169" s="47" t="s">
        <v>495</v>
      </c>
      <c r="W169" s="44" t="s">
        <v>226</v>
      </c>
      <c r="X169" s="56" t="s">
        <v>582</v>
      </c>
      <c r="Y169" s="48">
        <v>1</v>
      </c>
      <c r="Z169" s="48">
        <v>0.67</v>
      </c>
      <c r="AA169" s="58">
        <f>(Z169/Y169)</f>
        <v>0.67</v>
      </c>
      <c r="AB169" s="60" t="s">
        <v>1403</v>
      </c>
      <c r="AC169" s="61" t="s">
        <v>1601</v>
      </c>
      <c r="AD169" s="44" t="s">
        <v>582</v>
      </c>
      <c r="AE169" s="48">
        <v>1</v>
      </c>
      <c r="AF169" s="49">
        <v>1</v>
      </c>
      <c r="AG169" s="49">
        <f t="shared" si="15"/>
        <v>1</v>
      </c>
      <c r="AH169" s="76" t="s">
        <v>584</v>
      </c>
      <c r="AI169" s="46" t="s">
        <v>511</v>
      </c>
      <c r="AJ169" s="44" t="s">
        <v>585</v>
      </c>
      <c r="AK169" s="244" t="s">
        <v>496</v>
      </c>
      <c r="AL169" s="244" t="s">
        <v>496</v>
      </c>
      <c r="AM169" s="244" t="s">
        <v>496</v>
      </c>
      <c r="AN169" s="181" t="s">
        <v>496</v>
      </c>
      <c r="AO169" s="181" t="s">
        <v>496</v>
      </c>
      <c r="AP169" s="44" t="s">
        <v>585</v>
      </c>
      <c r="AQ169" s="48" t="s">
        <v>496</v>
      </c>
      <c r="AR169" s="48" t="s">
        <v>496</v>
      </c>
      <c r="AS169" s="48" t="s">
        <v>496</v>
      </c>
      <c r="AT169" s="139" t="s">
        <v>496</v>
      </c>
      <c r="AU169" s="246" t="s">
        <v>496</v>
      </c>
      <c r="AV169" s="165" t="s">
        <v>485</v>
      </c>
      <c r="AW169" s="85">
        <v>0</v>
      </c>
      <c r="AX169" s="84">
        <v>0</v>
      </c>
      <c r="AY169" s="86">
        <v>0</v>
      </c>
      <c r="AZ169" s="88" t="s">
        <v>585</v>
      </c>
    </row>
    <row r="170" spans="1:81" s="180" customFormat="1" x14ac:dyDescent="0.2">
      <c r="A170" s="141"/>
      <c r="B170" s="174" t="s">
        <v>1602</v>
      </c>
      <c r="C170" s="170" t="s">
        <v>63</v>
      </c>
      <c r="D170" s="170" t="s">
        <v>1603</v>
      </c>
      <c r="E170" s="170" t="s">
        <v>35</v>
      </c>
      <c r="F170" s="170" t="s">
        <v>1604</v>
      </c>
      <c r="G170" s="170" t="s">
        <v>1439</v>
      </c>
      <c r="H170" s="170" t="s">
        <v>82</v>
      </c>
      <c r="I170" s="170" t="s">
        <v>1605</v>
      </c>
      <c r="J170" s="170" t="s">
        <v>1606</v>
      </c>
      <c r="K170" s="170" t="s">
        <v>1607</v>
      </c>
      <c r="L170" s="170" t="s">
        <v>257</v>
      </c>
      <c r="M170" s="170" t="s">
        <v>59</v>
      </c>
      <c r="N170" s="47">
        <v>156</v>
      </c>
      <c r="O170" s="170" t="s">
        <v>1608</v>
      </c>
      <c r="P170" s="47">
        <v>4</v>
      </c>
      <c r="Q170" s="47">
        <f>+Y170+AE170+AK170+AQ170</f>
        <v>4</v>
      </c>
      <c r="R170" s="47" t="s">
        <v>45</v>
      </c>
      <c r="S170" s="170" t="s">
        <v>1609</v>
      </c>
      <c r="T170" s="170" t="s">
        <v>1610</v>
      </c>
      <c r="U170" s="213">
        <v>44562</v>
      </c>
      <c r="V170" s="47" t="s">
        <v>495</v>
      </c>
      <c r="W170" s="170" t="s">
        <v>234</v>
      </c>
      <c r="X170" s="170" t="s">
        <v>1611</v>
      </c>
      <c r="Y170" s="47">
        <v>1</v>
      </c>
      <c r="Z170" s="47">
        <v>1</v>
      </c>
      <c r="AA170" s="58">
        <f>(Z170/Y170)</f>
        <v>1</v>
      </c>
      <c r="AB170" s="175" t="s">
        <v>1612</v>
      </c>
      <c r="AC170" s="175" t="s">
        <v>511</v>
      </c>
      <c r="AD170" s="170" t="s">
        <v>1611</v>
      </c>
      <c r="AE170" s="47">
        <v>1</v>
      </c>
      <c r="AF170" s="47">
        <v>1</v>
      </c>
      <c r="AG170" s="49">
        <f t="shared" si="15"/>
        <v>1</v>
      </c>
      <c r="AH170" s="177" t="s">
        <v>1613</v>
      </c>
      <c r="AI170" s="170" t="s">
        <v>511</v>
      </c>
      <c r="AJ170" s="170" t="s">
        <v>1611</v>
      </c>
      <c r="AK170" s="47">
        <v>1</v>
      </c>
      <c r="AL170" s="45">
        <v>1</v>
      </c>
      <c r="AM170" s="25">
        <f>+(Tabla4[[#This Row],[Avance cuantitativo
III trimestre]]/Tabla4[[#This Row],[Programación  meta
III trimestre ]])*100%</f>
        <v>1</v>
      </c>
      <c r="AN170" s="110" t="s">
        <v>1614</v>
      </c>
      <c r="AO170" s="170" t="s">
        <v>511</v>
      </c>
      <c r="AP170" s="170" t="s">
        <v>1611</v>
      </c>
      <c r="AQ170" s="103">
        <v>1</v>
      </c>
      <c r="AR170" s="37">
        <v>1</v>
      </c>
      <c r="AS170" s="159">
        <f>(+Tabla4[[#This Row],[Programación  meta
IV trimestre ]]/AR170)</f>
        <v>1</v>
      </c>
      <c r="AT170" s="248" t="s">
        <v>1615</v>
      </c>
      <c r="AU170" s="247" t="s">
        <v>502</v>
      </c>
      <c r="AV170" s="165" t="s">
        <v>485</v>
      </c>
      <c r="AW170" s="85">
        <f>+Tabla4[[#This Row],[Programación  meta
I trimestre ]]+Tabla4[[#This Row],[Programación  meta
II trimestre ]]+Tabla4[[#This Row],[Programación  meta
III trimestre ]]+Tabla4[[#This Row],[Programación  meta
IV trimestre ]]</f>
        <v>4</v>
      </c>
      <c r="AX170" s="84">
        <f>+Tabla4[[#This Row],[Avance cuantitativo
I trimestre]]+Tabla4[[#This Row],[Avance cuantitativo
II trimestre]]+Tabla4[[#This Row],[Avance cuantitativo
III trimestre]]+AR170</f>
        <v>4</v>
      </c>
      <c r="AY170" s="86">
        <f t="shared" si="16"/>
        <v>1</v>
      </c>
      <c r="AZ170" s="89" t="s">
        <v>503</v>
      </c>
      <c r="BA170" s="141"/>
      <c r="BB170" s="141"/>
      <c r="BC170" s="141"/>
      <c r="BD170" s="141"/>
      <c r="BE170" s="141"/>
      <c r="BF170" s="141"/>
      <c r="BG170" s="141"/>
      <c r="BH170" s="141"/>
      <c r="BI170" s="141"/>
      <c r="BJ170" s="141"/>
      <c r="BK170" s="141"/>
      <c r="BL170" s="141"/>
      <c r="BM170" s="141"/>
      <c r="BN170" s="141"/>
      <c r="BO170" s="141"/>
      <c r="BP170" s="141"/>
      <c r="BQ170" s="141"/>
      <c r="BR170" s="141"/>
      <c r="BS170" s="141"/>
      <c r="BT170" s="141"/>
      <c r="BU170" s="141"/>
      <c r="BV170" s="141"/>
      <c r="BW170" s="141"/>
      <c r="BX170" s="141"/>
      <c r="BY170" s="141"/>
      <c r="BZ170" s="141"/>
      <c r="CA170" s="141"/>
      <c r="CB170" s="141"/>
      <c r="CC170" s="141"/>
    </row>
    <row r="171" spans="1:81" s="180" customFormat="1" x14ac:dyDescent="0.2">
      <c r="A171" s="147"/>
      <c r="B171" s="174" t="s">
        <v>266</v>
      </c>
      <c r="C171" s="170" t="s">
        <v>18</v>
      </c>
      <c r="D171" s="170" t="s">
        <v>1040</v>
      </c>
      <c r="E171" s="170" t="s">
        <v>35</v>
      </c>
      <c r="F171" s="170" t="s">
        <v>210</v>
      </c>
      <c r="G171" s="170" t="s">
        <v>93</v>
      </c>
      <c r="H171" s="170" t="s">
        <v>82</v>
      </c>
      <c r="I171" s="170" t="s">
        <v>25</v>
      </c>
      <c r="J171" s="170" t="s">
        <v>168</v>
      </c>
      <c r="K171" s="170" t="s">
        <v>372</v>
      </c>
      <c r="L171" s="170" t="s">
        <v>257</v>
      </c>
      <c r="M171" s="170" t="s">
        <v>59</v>
      </c>
      <c r="N171" s="47">
        <v>157</v>
      </c>
      <c r="O171" s="170" t="s">
        <v>1616</v>
      </c>
      <c r="P171" s="47">
        <v>4</v>
      </c>
      <c r="Q171" s="47">
        <f>+Y171+AE171+AK171+AQ171</f>
        <v>4</v>
      </c>
      <c r="R171" s="47" t="s">
        <v>45</v>
      </c>
      <c r="S171" s="170" t="s">
        <v>1617</v>
      </c>
      <c r="T171" s="170" t="s">
        <v>1618</v>
      </c>
      <c r="U171" s="213">
        <v>44562</v>
      </c>
      <c r="V171" s="47" t="s">
        <v>495</v>
      </c>
      <c r="W171" s="170" t="s">
        <v>234</v>
      </c>
      <c r="X171" s="170" t="s">
        <v>1619</v>
      </c>
      <c r="Y171" s="47">
        <v>1</v>
      </c>
      <c r="Z171" s="47">
        <v>1</v>
      </c>
      <c r="AA171" s="58">
        <f>(Z171/Y171)</f>
        <v>1</v>
      </c>
      <c r="AB171" s="175" t="s">
        <v>1620</v>
      </c>
      <c r="AC171" s="175" t="s">
        <v>511</v>
      </c>
      <c r="AD171" s="170" t="s">
        <v>1619</v>
      </c>
      <c r="AE171" s="47">
        <v>1</v>
      </c>
      <c r="AF171" s="47">
        <v>1</v>
      </c>
      <c r="AG171" s="49">
        <f t="shared" si="15"/>
        <v>1</v>
      </c>
      <c r="AH171" s="177" t="s">
        <v>1621</v>
      </c>
      <c r="AI171" s="170" t="s">
        <v>511</v>
      </c>
      <c r="AJ171" s="170" t="s">
        <v>1619</v>
      </c>
      <c r="AK171" s="47">
        <v>1</v>
      </c>
      <c r="AL171" s="45">
        <v>1</v>
      </c>
      <c r="AM171" s="25">
        <f>+(Tabla4[[#This Row],[Avance cuantitativo
III trimestre]]/Tabla4[[#This Row],[Programación  meta
III trimestre ]])*100%</f>
        <v>1</v>
      </c>
      <c r="AN171" s="110" t="s">
        <v>1622</v>
      </c>
      <c r="AO171" s="170" t="s">
        <v>511</v>
      </c>
      <c r="AP171" s="170" t="s">
        <v>1619</v>
      </c>
      <c r="AQ171" s="103">
        <v>1</v>
      </c>
      <c r="AR171" s="37">
        <v>1</v>
      </c>
      <c r="AS171" s="159">
        <f>(+Tabla4[[#This Row],[Programación  meta
IV trimestre ]]/AR171)</f>
        <v>1</v>
      </c>
      <c r="AT171" s="165" t="s">
        <v>1623</v>
      </c>
      <c r="AU171" s="247" t="s">
        <v>502</v>
      </c>
      <c r="AV171" s="165" t="s">
        <v>485</v>
      </c>
      <c r="AW171" s="85">
        <f>+Tabla4[[#This Row],[Programación  meta
I trimestre ]]+Tabla4[[#This Row],[Programación  meta
II trimestre ]]+Tabla4[[#This Row],[Programación  meta
III trimestre ]]+Tabla4[[#This Row],[Programación  meta
IV trimestre ]]</f>
        <v>4</v>
      </c>
      <c r="AX171" s="84">
        <f>+Tabla4[[#This Row],[Avance cuantitativo
I trimestre]]+Tabla4[[#This Row],[Avance cuantitativo
II trimestre]]+Tabla4[[#This Row],[Avance cuantitativo
III trimestre]]+AR171</f>
        <v>4</v>
      </c>
      <c r="AY171" s="86">
        <f t="shared" si="16"/>
        <v>1</v>
      </c>
      <c r="AZ171" s="89" t="s">
        <v>503</v>
      </c>
      <c r="BA171" s="147"/>
      <c r="BB171" s="147"/>
      <c r="BC171" s="147"/>
      <c r="BD171" s="147"/>
      <c r="BE171" s="147"/>
      <c r="BF171" s="147"/>
      <c r="BG171" s="147"/>
      <c r="BH171" s="147"/>
      <c r="BI171" s="147"/>
      <c r="BJ171" s="147"/>
      <c r="BK171" s="147"/>
      <c r="BL171" s="147"/>
      <c r="BM171" s="147"/>
      <c r="BN171" s="147"/>
      <c r="BO171" s="147"/>
      <c r="BP171" s="147"/>
      <c r="BQ171" s="147"/>
      <c r="BR171" s="147"/>
      <c r="BS171" s="147"/>
      <c r="BT171" s="147"/>
      <c r="BU171" s="147"/>
      <c r="BV171" s="147"/>
      <c r="BW171" s="147"/>
      <c r="BX171" s="147"/>
      <c r="BY171" s="147"/>
      <c r="BZ171" s="147"/>
      <c r="CA171" s="147"/>
      <c r="CB171" s="147"/>
      <c r="CC171" s="147"/>
    </row>
    <row r="172" spans="1:81" s="30" customFormat="1" hidden="1" x14ac:dyDescent="0.2">
      <c r="B172" s="67" t="s">
        <v>320</v>
      </c>
      <c r="C172" s="46" t="s">
        <v>48</v>
      </c>
      <c r="D172" s="44" t="s">
        <v>184</v>
      </c>
      <c r="E172" s="44" t="s">
        <v>102</v>
      </c>
      <c r="F172" s="44" t="s">
        <v>338</v>
      </c>
      <c r="G172" s="44" t="s">
        <v>53</v>
      </c>
      <c r="H172" s="44" t="s">
        <v>82</v>
      </c>
      <c r="I172" s="44" t="s">
        <v>25</v>
      </c>
      <c r="J172" s="44" t="s">
        <v>95</v>
      </c>
      <c r="K172" s="44" t="s">
        <v>402</v>
      </c>
      <c r="L172" s="44" t="s">
        <v>257</v>
      </c>
      <c r="M172" s="44" t="s">
        <v>233</v>
      </c>
      <c r="N172" s="47">
        <v>158</v>
      </c>
      <c r="O172" s="44" t="s">
        <v>1624</v>
      </c>
      <c r="P172" s="48">
        <v>1</v>
      </c>
      <c r="Q172" s="49" t="e">
        <f>(+Y172+AE172+AK172+AQ172)/4</f>
        <v>#VALUE!</v>
      </c>
      <c r="R172" s="45" t="s">
        <v>30</v>
      </c>
      <c r="S172" s="44" t="s">
        <v>580</v>
      </c>
      <c r="T172" s="44" t="s">
        <v>581</v>
      </c>
      <c r="U172" s="212">
        <v>44562</v>
      </c>
      <c r="V172" s="47" t="s">
        <v>495</v>
      </c>
      <c r="W172" s="44" t="s">
        <v>234</v>
      </c>
      <c r="X172" s="44" t="s">
        <v>582</v>
      </c>
      <c r="Y172" s="48">
        <v>1</v>
      </c>
      <c r="Z172" s="48">
        <v>0.8</v>
      </c>
      <c r="AA172" s="58">
        <f>(Z172/Y172)</f>
        <v>0.8</v>
      </c>
      <c r="AB172" s="60" t="s">
        <v>1403</v>
      </c>
      <c r="AC172" s="61" t="s">
        <v>1601</v>
      </c>
      <c r="AD172" s="44" t="s">
        <v>582</v>
      </c>
      <c r="AE172" s="48">
        <v>1</v>
      </c>
      <c r="AF172" s="49">
        <v>1</v>
      </c>
      <c r="AG172" s="49">
        <f t="shared" si="15"/>
        <v>1</v>
      </c>
      <c r="AH172" s="76" t="s">
        <v>1625</v>
      </c>
      <c r="AI172" s="46" t="s">
        <v>511</v>
      </c>
      <c r="AJ172" s="44" t="s">
        <v>585</v>
      </c>
      <c r="AK172" s="244" t="s">
        <v>496</v>
      </c>
      <c r="AL172" s="244" t="s">
        <v>496</v>
      </c>
      <c r="AM172" s="244" t="s">
        <v>496</v>
      </c>
      <c r="AN172" s="181" t="s">
        <v>496</v>
      </c>
      <c r="AO172" s="181" t="s">
        <v>496</v>
      </c>
      <c r="AP172" s="44" t="s">
        <v>585</v>
      </c>
      <c r="AQ172" s="48" t="s">
        <v>496</v>
      </c>
      <c r="AR172" s="48" t="s">
        <v>496</v>
      </c>
      <c r="AS172" s="48" t="s">
        <v>496</v>
      </c>
      <c r="AT172" s="139" t="s">
        <v>496</v>
      </c>
      <c r="AU172" s="246" t="s">
        <v>496</v>
      </c>
      <c r="AV172" s="165" t="s">
        <v>485</v>
      </c>
      <c r="AW172" s="85">
        <v>0</v>
      </c>
      <c r="AX172" s="84">
        <v>0</v>
      </c>
      <c r="AY172" s="86">
        <v>0</v>
      </c>
      <c r="AZ172" s="88" t="s">
        <v>585</v>
      </c>
    </row>
    <row r="173" spans="1:81" s="30" customFormat="1" hidden="1" x14ac:dyDescent="0.2">
      <c r="B173" s="67" t="s">
        <v>320</v>
      </c>
      <c r="C173" s="46" t="s">
        <v>48</v>
      </c>
      <c r="D173" s="44" t="s">
        <v>184</v>
      </c>
      <c r="E173" s="44" t="s">
        <v>102</v>
      </c>
      <c r="F173" s="44" t="s">
        <v>338</v>
      </c>
      <c r="G173" s="44" t="s">
        <v>53</v>
      </c>
      <c r="H173" s="44" t="s">
        <v>82</v>
      </c>
      <c r="I173" s="44" t="s">
        <v>25</v>
      </c>
      <c r="J173" s="57" t="s">
        <v>168</v>
      </c>
      <c r="K173" s="44" t="s">
        <v>402</v>
      </c>
      <c r="L173" s="44" t="s">
        <v>257</v>
      </c>
      <c r="M173" s="44" t="s">
        <v>233</v>
      </c>
      <c r="N173" s="47">
        <v>159</v>
      </c>
      <c r="O173" s="44" t="s">
        <v>1626</v>
      </c>
      <c r="P173" s="48">
        <v>1</v>
      </c>
      <c r="Q173" s="49" t="e">
        <f>(+Y173+AE173+AK173+AQ173)/4</f>
        <v>#VALUE!</v>
      </c>
      <c r="R173" s="45" t="s">
        <v>30</v>
      </c>
      <c r="S173" s="44" t="s">
        <v>580</v>
      </c>
      <c r="T173" s="44" t="s">
        <v>581</v>
      </c>
      <c r="U173" s="212">
        <v>44562</v>
      </c>
      <c r="V173" s="47" t="s">
        <v>495</v>
      </c>
      <c r="W173" s="44" t="s">
        <v>234</v>
      </c>
      <c r="X173" s="44" t="s">
        <v>582</v>
      </c>
      <c r="Y173" s="48">
        <v>1</v>
      </c>
      <c r="Z173" s="48">
        <v>0.5</v>
      </c>
      <c r="AA173" s="58">
        <f>(Z173/Y173)</f>
        <v>0.5</v>
      </c>
      <c r="AB173" s="60" t="s">
        <v>1403</v>
      </c>
      <c r="AC173" s="61" t="s">
        <v>1601</v>
      </c>
      <c r="AD173" s="44" t="s">
        <v>582</v>
      </c>
      <c r="AE173" s="48">
        <v>1</v>
      </c>
      <c r="AF173" s="49">
        <v>1</v>
      </c>
      <c r="AG173" s="49">
        <f t="shared" si="15"/>
        <v>1</v>
      </c>
      <c r="AH173" s="76" t="s">
        <v>1627</v>
      </c>
      <c r="AI173" s="46" t="s">
        <v>511</v>
      </c>
      <c r="AJ173" s="44" t="s">
        <v>585</v>
      </c>
      <c r="AK173" s="244" t="s">
        <v>496</v>
      </c>
      <c r="AL173" s="244" t="s">
        <v>496</v>
      </c>
      <c r="AM173" s="244" t="s">
        <v>496</v>
      </c>
      <c r="AN173" s="181" t="s">
        <v>496</v>
      </c>
      <c r="AO173" s="181" t="s">
        <v>496</v>
      </c>
      <c r="AP173" s="44" t="s">
        <v>585</v>
      </c>
      <c r="AQ173" s="48" t="s">
        <v>496</v>
      </c>
      <c r="AR173" s="48" t="s">
        <v>496</v>
      </c>
      <c r="AS173" s="48" t="s">
        <v>496</v>
      </c>
      <c r="AT173" s="139" t="s">
        <v>496</v>
      </c>
      <c r="AU173" s="246" t="s">
        <v>496</v>
      </c>
      <c r="AV173" s="165" t="s">
        <v>485</v>
      </c>
      <c r="AW173" s="85">
        <v>0</v>
      </c>
      <c r="AX173" s="84">
        <v>0</v>
      </c>
      <c r="AY173" s="86">
        <v>0</v>
      </c>
      <c r="AZ173" s="88" t="s">
        <v>585</v>
      </c>
    </row>
    <row r="174" spans="1:81" s="180" customFormat="1" x14ac:dyDescent="0.2">
      <c r="A174" s="176"/>
      <c r="B174" s="142" t="s">
        <v>308</v>
      </c>
      <c r="C174" s="177" t="s">
        <v>48</v>
      </c>
      <c r="D174" s="177" t="s">
        <v>1628</v>
      </c>
      <c r="E174" s="177" t="s">
        <v>65</v>
      </c>
      <c r="F174" s="177" t="s">
        <v>1629</v>
      </c>
      <c r="G174" s="177" t="s">
        <v>53</v>
      </c>
      <c r="H174" s="177" t="s">
        <v>82</v>
      </c>
      <c r="I174" s="177" t="s">
        <v>55</v>
      </c>
      <c r="J174" s="177" t="s">
        <v>204</v>
      </c>
      <c r="K174" s="177" t="s">
        <v>395</v>
      </c>
      <c r="L174" s="177" t="s">
        <v>257</v>
      </c>
      <c r="M174" s="177" t="s">
        <v>109</v>
      </c>
      <c r="N174" s="47">
        <v>160</v>
      </c>
      <c r="O174" s="177" t="s">
        <v>1630</v>
      </c>
      <c r="P174" s="51">
        <v>2</v>
      </c>
      <c r="Q174" s="47" t="e">
        <f>+Y174+AE174+AK174+AQ174</f>
        <v>#VALUE!</v>
      </c>
      <c r="R174" s="51" t="s">
        <v>45</v>
      </c>
      <c r="S174" s="177" t="s">
        <v>1631</v>
      </c>
      <c r="T174" s="177" t="s">
        <v>1632</v>
      </c>
      <c r="U174" s="214">
        <v>44563</v>
      </c>
      <c r="V174" s="51" t="s">
        <v>495</v>
      </c>
      <c r="W174" s="177" t="s">
        <v>247</v>
      </c>
      <c r="X174" s="177" t="s">
        <v>496</v>
      </c>
      <c r="Y174" s="51" t="s">
        <v>496</v>
      </c>
      <c r="Z174" s="51" t="s">
        <v>496</v>
      </c>
      <c r="AA174" s="51" t="s">
        <v>496</v>
      </c>
      <c r="AB174" s="177" t="s">
        <v>496</v>
      </c>
      <c r="AC174" s="71" t="s">
        <v>496</v>
      </c>
      <c r="AD174" s="177" t="s">
        <v>1633</v>
      </c>
      <c r="AE174" s="51">
        <v>1</v>
      </c>
      <c r="AF174" s="47">
        <v>1</v>
      </c>
      <c r="AG174" s="49">
        <f t="shared" si="15"/>
        <v>1</v>
      </c>
      <c r="AH174" s="177" t="s">
        <v>1634</v>
      </c>
      <c r="AI174" s="170" t="s">
        <v>511</v>
      </c>
      <c r="AJ174" s="170" t="s">
        <v>496</v>
      </c>
      <c r="AK174" s="45" t="s">
        <v>496</v>
      </c>
      <c r="AL174" s="45" t="s">
        <v>496</v>
      </c>
      <c r="AM174" s="45" t="s">
        <v>496</v>
      </c>
      <c r="AN174" s="71" t="s">
        <v>1635</v>
      </c>
      <c r="AO174" s="177" t="s">
        <v>496</v>
      </c>
      <c r="AP174" s="177" t="s">
        <v>1633</v>
      </c>
      <c r="AQ174" s="103">
        <v>1</v>
      </c>
      <c r="AR174" s="37">
        <v>1</v>
      </c>
      <c r="AS174" s="159">
        <f>(+Tabla4[[#This Row],[Programación  meta
IV trimestre ]]/AR174)</f>
        <v>1</v>
      </c>
      <c r="AT174" s="248" t="s">
        <v>1636</v>
      </c>
      <c r="AU174" s="247" t="s">
        <v>1637</v>
      </c>
      <c r="AV174" s="165" t="s">
        <v>485</v>
      </c>
      <c r="AW174" s="85">
        <f>+Tabla4[[#This Row],[Programación  meta
II trimestre ]]+Tabla4[[#This Row],[Programación  meta
IV trimestre ]]</f>
        <v>2</v>
      </c>
      <c r="AX174" s="84">
        <f>+Tabla4[[#This Row],[Avance cuantitativo
II trimestre]]+AR174</f>
        <v>2</v>
      </c>
      <c r="AY174" s="86">
        <f t="shared" si="16"/>
        <v>1</v>
      </c>
      <c r="AZ174" s="89" t="s">
        <v>503</v>
      </c>
      <c r="BA174" s="176"/>
      <c r="BB174" s="176"/>
      <c r="BC174" s="176"/>
      <c r="BD174" s="176"/>
      <c r="BE174" s="176"/>
      <c r="BF174" s="176"/>
      <c r="BG174" s="176"/>
      <c r="BH174" s="176"/>
      <c r="BI174" s="176"/>
      <c r="BJ174" s="176"/>
      <c r="BK174" s="176"/>
      <c r="BL174" s="176"/>
      <c r="BM174" s="176"/>
      <c r="BN174" s="176"/>
      <c r="BO174" s="176"/>
      <c r="BP174" s="176"/>
      <c r="BQ174" s="176"/>
      <c r="BR174" s="176"/>
      <c r="BS174" s="176"/>
      <c r="BT174" s="176"/>
      <c r="BU174" s="176"/>
      <c r="BV174" s="176"/>
      <c r="BW174" s="176"/>
      <c r="BX174" s="176"/>
      <c r="BY174" s="176"/>
      <c r="BZ174" s="176"/>
      <c r="CA174" s="176"/>
      <c r="CB174" s="176"/>
      <c r="CC174" s="176"/>
    </row>
    <row r="175" spans="1:81" s="30" customFormat="1" hidden="1" x14ac:dyDescent="0.2">
      <c r="B175" s="67" t="s">
        <v>320</v>
      </c>
      <c r="C175" s="46" t="s">
        <v>48</v>
      </c>
      <c r="D175" s="44" t="s">
        <v>184</v>
      </c>
      <c r="E175" s="44" t="s">
        <v>102</v>
      </c>
      <c r="F175" s="44" t="s">
        <v>338</v>
      </c>
      <c r="G175" s="44" t="s">
        <v>53</v>
      </c>
      <c r="H175" s="44" t="s">
        <v>82</v>
      </c>
      <c r="I175" s="44" t="s">
        <v>25</v>
      </c>
      <c r="J175" s="44" t="s">
        <v>204</v>
      </c>
      <c r="K175" s="44" t="s">
        <v>402</v>
      </c>
      <c r="L175" s="44" t="s">
        <v>257</v>
      </c>
      <c r="M175" s="44" t="s">
        <v>233</v>
      </c>
      <c r="N175" s="47">
        <v>161</v>
      </c>
      <c r="O175" s="44" t="s">
        <v>1638</v>
      </c>
      <c r="P175" s="48">
        <v>1</v>
      </c>
      <c r="Q175" s="49" t="e">
        <f>(+Y175+AE175+AK175+AQ175)/4</f>
        <v>#VALUE!</v>
      </c>
      <c r="R175" s="45" t="s">
        <v>30</v>
      </c>
      <c r="S175" s="44" t="s">
        <v>580</v>
      </c>
      <c r="T175" s="44" t="s">
        <v>581</v>
      </c>
      <c r="U175" s="212">
        <v>44562</v>
      </c>
      <c r="V175" s="47" t="s">
        <v>495</v>
      </c>
      <c r="W175" s="44" t="s">
        <v>247</v>
      </c>
      <c r="X175" s="44" t="s">
        <v>582</v>
      </c>
      <c r="Y175" s="48">
        <v>1</v>
      </c>
      <c r="Z175" s="48">
        <v>0.83</v>
      </c>
      <c r="AA175" s="58">
        <f>(Z175/Y175)</f>
        <v>0.83</v>
      </c>
      <c r="AB175" s="60" t="s">
        <v>1403</v>
      </c>
      <c r="AC175" s="61" t="s">
        <v>1601</v>
      </c>
      <c r="AD175" s="44" t="s">
        <v>582</v>
      </c>
      <c r="AE175" s="48">
        <v>1</v>
      </c>
      <c r="AF175" s="49">
        <v>0.83</v>
      </c>
      <c r="AG175" s="49">
        <f t="shared" ref="AG175:AG183" si="19">(AF175/AE175)</f>
        <v>0.83</v>
      </c>
      <c r="AH175" s="76" t="s">
        <v>1639</v>
      </c>
      <c r="AI175" s="46" t="s">
        <v>511</v>
      </c>
      <c r="AJ175" s="44" t="s">
        <v>585</v>
      </c>
      <c r="AK175" s="244" t="s">
        <v>496</v>
      </c>
      <c r="AL175" s="244" t="s">
        <v>496</v>
      </c>
      <c r="AM175" s="244" t="s">
        <v>496</v>
      </c>
      <c r="AN175" s="181" t="s">
        <v>496</v>
      </c>
      <c r="AO175" s="181" t="s">
        <v>496</v>
      </c>
      <c r="AP175" s="44" t="s">
        <v>585</v>
      </c>
      <c r="AQ175" s="48" t="s">
        <v>496</v>
      </c>
      <c r="AR175" s="48" t="s">
        <v>496</v>
      </c>
      <c r="AS175" s="48" t="s">
        <v>496</v>
      </c>
      <c r="AT175" s="139" t="s">
        <v>496</v>
      </c>
      <c r="AU175" s="246" t="s">
        <v>496</v>
      </c>
      <c r="AV175" s="165" t="s">
        <v>485</v>
      </c>
      <c r="AW175" s="85">
        <v>0</v>
      </c>
      <c r="AX175" s="84">
        <v>0</v>
      </c>
      <c r="AY175" s="86">
        <v>0</v>
      </c>
      <c r="AZ175" s="88" t="s">
        <v>585</v>
      </c>
    </row>
    <row r="176" spans="1:81" s="129" customFormat="1" x14ac:dyDescent="0.2">
      <c r="A176" s="127"/>
      <c r="B176" s="138" t="s">
        <v>297</v>
      </c>
      <c r="C176" s="71" t="s">
        <v>48</v>
      </c>
      <c r="D176" s="71" t="s">
        <v>64</v>
      </c>
      <c r="E176" s="71" t="s">
        <v>91</v>
      </c>
      <c r="F176" s="71" t="s">
        <v>1640</v>
      </c>
      <c r="G176" s="71" t="s">
        <v>104</v>
      </c>
      <c r="H176" s="71" t="s">
        <v>24</v>
      </c>
      <c r="I176" s="71" t="s">
        <v>25</v>
      </c>
      <c r="J176" s="71" t="s">
        <v>70</v>
      </c>
      <c r="K176" s="71" t="s">
        <v>245</v>
      </c>
      <c r="L176" s="71" t="s">
        <v>257</v>
      </c>
      <c r="M176" s="71" t="s">
        <v>131</v>
      </c>
      <c r="N176" s="45">
        <v>162</v>
      </c>
      <c r="O176" s="71" t="s">
        <v>1641</v>
      </c>
      <c r="P176" s="202">
        <v>4</v>
      </c>
      <c r="Q176" s="45">
        <f>+Y176+AE176+AK176+AQ176</f>
        <v>4</v>
      </c>
      <c r="R176" s="202" t="s">
        <v>45</v>
      </c>
      <c r="S176" s="71" t="s">
        <v>1642</v>
      </c>
      <c r="T176" s="71" t="s">
        <v>1643</v>
      </c>
      <c r="U176" s="212">
        <v>44562</v>
      </c>
      <c r="V176" s="45" t="s">
        <v>495</v>
      </c>
      <c r="W176" s="71" t="s">
        <v>46</v>
      </c>
      <c r="X176" s="71" t="s">
        <v>1644</v>
      </c>
      <c r="Y176" s="45">
        <v>1</v>
      </c>
      <c r="Z176" s="45">
        <v>1</v>
      </c>
      <c r="AA176" s="59">
        <f>(Z176/Y176)</f>
        <v>1</v>
      </c>
      <c r="AB176" s="60" t="s">
        <v>1645</v>
      </c>
      <c r="AC176" s="60" t="s">
        <v>511</v>
      </c>
      <c r="AD176" s="71" t="s">
        <v>1646</v>
      </c>
      <c r="AE176" s="45">
        <v>1</v>
      </c>
      <c r="AF176" s="45">
        <v>1</v>
      </c>
      <c r="AG176" s="48">
        <f t="shared" si="19"/>
        <v>1</v>
      </c>
      <c r="AH176" s="60" t="s">
        <v>1647</v>
      </c>
      <c r="AI176" s="71" t="s">
        <v>511</v>
      </c>
      <c r="AJ176" s="71" t="s">
        <v>1648</v>
      </c>
      <c r="AK176" s="45">
        <v>1</v>
      </c>
      <c r="AL176" s="45">
        <v>1</v>
      </c>
      <c r="AM176" s="236">
        <f>+(Tabla4[[#This Row],[Avance cuantitativo
III trimestre]]/Tabla4[[#This Row],[Programación  meta
III trimestre ]])*100%</f>
        <v>1</v>
      </c>
      <c r="AN176" s="71" t="s">
        <v>1649</v>
      </c>
      <c r="AO176" s="71" t="s">
        <v>511</v>
      </c>
      <c r="AP176" s="71" t="s">
        <v>1650</v>
      </c>
      <c r="AQ176" s="63">
        <v>1</v>
      </c>
      <c r="AR176" s="37">
        <v>1</v>
      </c>
      <c r="AS176" s="159">
        <f>(+Tabla4[[#This Row],[Programación  meta
IV trimestre ]]/AR176)</f>
        <v>1</v>
      </c>
      <c r="AT176" s="140" t="s">
        <v>1651</v>
      </c>
      <c r="AU176" s="28" t="s">
        <v>502</v>
      </c>
      <c r="AV176" s="165" t="s">
        <v>485</v>
      </c>
      <c r="AW176" s="209">
        <f>+Tabla4[[#This Row],[Programación  meta
I trimestre ]]+Tabla4[[#This Row],[Programación  meta
II trimestre ]]+Tabla4[[#This Row],[Programación  meta
III trimestre ]]+Tabla4[[#This Row],[Programación  meta
IV trimestre ]]</f>
        <v>4</v>
      </c>
      <c r="AX176" s="205">
        <f>+Tabla4[[#This Row],[Avance cuantitativo
I trimestre]]+Tabla4[[#This Row],[Avance cuantitativo
II trimestre]]+Tabla4[[#This Row],[Avance cuantitativo
III trimestre]]+AR176</f>
        <v>4</v>
      </c>
      <c r="AY176" s="253">
        <f t="shared" si="16"/>
        <v>1</v>
      </c>
      <c r="AZ176" s="89" t="s">
        <v>503</v>
      </c>
      <c r="BA176" s="153"/>
      <c r="BB176" s="153"/>
      <c r="BC176" s="153"/>
      <c r="BD176" s="153"/>
      <c r="BE176" s="153"/>
      <c r="BF176" s="153"/>
      <c r="BG176" s="153"/>
      <c r="BH176" s="153"/>
      <c r="BI176" s="153"/>
      <c r="BJ176" s="153"/>
      <c r="BK176" s="153"/>
      <c r="BL176" s="153"/>
      <c r="BM176" s="153"/>
      <c r="BN176" s="153"/>
      <c r="BO176" s="153"/>
      <c r="BP176" s="153"/>
      <c r="BQ176" s="153"/>
      <c r="BR176" s="153"/>
      <c r="BS176" s="153"/>
      <c r="BT176" s="153"/>
      <c r="BU176" s="153"/>
      <c r="BV176" s="153"/>
      <c r="BW176" s="153"/>
      <c r="BX176" s="153"/>
      <c r="BY176" s="153"/>
      <c r="BZ176" s="153"/>
      <c r="CA176" s="153"/>
      <c r="CB176" s="153"/>
      <c r="CC176" s="153"/>
    </row>
    <row r="177" spans="1:81" s="129" customFormat="1" x14ac:dyDescent="0.2">
      <c r="A177" s="127"/>
      <c r="B177" s="138" t="s">
        <v>301</v>
      </c>
      <c r="C177" s="71" t="s">
        <v>48</v>
      </c>
      <c r="D177" s="71" t="s">
        <v>112</v>
      </c>
      <c r="E177" s="71" t="s">
        <v>50</v>
      </c>
      <c r="F177" s="71" t="s">
        <v>336</v>
      </c>
      <c r="G177" s="71" t="s">
        <v>53</v>
      </c>
      <c r="H177" s="71" t="s">
        <v>69</v>
      </c>
      <c r="I177" s="71" t="s">
        <v>25</v>
      </c>
      <c r="J177" s="71" t="s">
        <v>70</v>
      </c>
      <c r="K177" s="71" t="s">
        <v>239</v>
      </c>
      <c r="L177" s="71" t="s">
        <v>257</v>
      </c>
      <c r="M177" s="71" t="s">
        <v>225</v>
      </c>
      <c r="N177" s="45">
        <v>163</v>
      </c>
      <c r="O177" s="71" t="s">
        <v>1652</v>
      </c>
      <c r="P177" s="202">
        <v>1</v>
      </c>
      <c r="Q177" s="45">
        <f>+AQ177</f>
        <v>1</v>
      </c>
      <c r="R177" s="202" t="s">
        <v>60</v>
      </c>
      <c r="S177" s="71" t="s">
        <v>1653</v>
      </c>
      <c r="T177" s="71" t="s">
        <v>1654</v>
      </c>
      <c r="U177" s="212">
        <v>44565</v>
      </c>
      <c r="V177" s="45" t="s">
        <v>495</v>
      </c>
      <c r="W177" s="71" t="s">
        <v>46</v>
      </c>
      <c r="X177" s="177" t="s">
        <v>496</v>
      </c>
      <c r="Y177" s="51" t="s">
        <v>496</v>
      </c>
      <c r="Z177" s="51" t="s">
        <v>496</v>
      </c>
      <c r="AA177" s="51" t="s">
        <v>496</v>
      </c>
      <c r="AB177" s="177" t="s">
        <v>496</v>
      </c>
      <c r="AC177" s="71" t="s">
        <v>496</v>
      </c>
      <c r="AD177" s="71" t="s">
        <v>1655</v>
      </c>
      <c r="AE177" s="45" t="s">
        <v>1656</v>
      </c>
      <c r="AF177" s="45" t="s">
        <v>1656</v>
      </c>
      <c r="AG177" s="48" t="e">
        <f t="shared" si="19"/>
        <v>#VALUE!</v>
      </c>
      <c r="AH177" s="60" t="s">
        <v>1657</v>
      </c>
      <c r="AI177" s="71" t="s">
        <v>511</v>
      </c>
      <c r="AJ177" s="71" t="s">
        <v>1655</v>
      </c>
      <c r="AK177" s="45" t="s">
        <v>1658</v>
      </c>
      <c r="AL177" s="45" t="s">
        <v>1658</v>
      </c>
      <c r="AM177" s="236" t="e">
        <f>+(Tabla4[[#This Row],[Avance cuantitativo
III trimestre]]/Tabla4[[#This Row],[Programación  meta
III trimestre ]])*100%</f>
        <v>#VALUE!</v>
      </c>
      <c r="AN177" s="71" t="s">
        <v>1659</v>
      </c>
      <c r="AO177" s="71" t="s">
        <v>511</v>
      </c>
      <c r="AP177" s="71" t="s">
        <v>1653</v>
      </c>
      <c r="AQ177" s="63">
        <v>1</v>
      </c>
      <c r="AR177" s="121">
        <v>1</v>
      </c>
      <c r="AS177" s="159">
        <f>(+Tabla4[[#This Row],[Programación  meta
IV trimestre ]]/AR177)</f>
        <v>1</v>
      </c>
      <c r="AT177" s="140" t="s">
        <v>1660</v>
      </c>
      <c r="AU177" s="28" t="s">
        <v>502</v>
      </c>
      <c r="AV177" s="165" t="s">
        <v>485</v>
      </c>
      <c r="AW177" s="209">
        <f>+Tabla4[[#This Row],[Programación  meta
IV trimestre ]]</f>
        <v>1</v>
      </c>
      <c r="AX177" s="253">
        <f t="shared" ref="AX177:AX178" si="20">+AR177</f>
        <v>1</v>
      </c>
      <c r="AY177" s="253">
        <f t="shared" si="16"/>
        <v>1</v>
      </c>
      <c r="AZ177" s="89" t="s">
        <v>503</v>
      </c>
      <c r="BA177" s="153"/>
      <c r="BB177" s="153"/>
      <c r="BC177" s="153"/>
      <c r="BD177" s="153"/>
      <c r="BE177" s="153"/>
      <c r="BF177" s="153"/>
      <c r="BG177" s="153"/>
      <c r="BH177" s="153"/>
      <c r="BI177" s="153"/>
      <c r="BJ177" s="153"/>
      <c r="BK177" s="153"/>
      <c r="BL177" s="153"/>
      <c r="BM177" s="153"/>
      <c r="BN177" s="153"/>
      <c r="BO177" s="153"/>
      <c r="BP177" s="153"/>
      <c r="BQ177" s="153"/>
      <c r="BR177" s="153"/>
      <c r="BS177" s="153"/>
      <c r="BT177" s="153"/>
      <c r="BU177" s="153"/>
      <c r="BV177" s="153"/>
      <c r="BW177" s="153"/>
      <c r="BX177" s="153"/>
      <c r="BY177" s="153"/>
      <c r="BZ177" s="153"/>
      <c r="CA177" s="153"/>
      <c r="CB177" s="153"/>
      <c r="CC177" s="153"/>
    </row>
    <row r="178" spans="1:81" s="129" customFormat="1" x14ac:dyDescent="0.2">
      <c r="B178" s="138" t="s">
        <v>297</v>
      </c>
      <c r="C178" s="71" t="s">
        <v>48</v>
      </c>
      <c r="D178" s="71" t="s">
        <v>64</v>
      </c>
      <c r="E178" s="71" t="s">
        <v>91</v>
      </c>
      <c r="F178" s="71" t="s">
        <v>1640</v>
      </c>
      <c r="G178" s="71" t="s">
        <v>104</v>
      </c>
      <c r="H178" s="71" t="s">
        <v>24</v>
      </c>
      <c r="I178" s="71" t="s">
        <v>25</v>
      </c>
      <c r="J178" s="71" t="s">
        <v>70</v>
      </c>
      <c r="K178" s="71" t="s">
        <v>245</v>
      </c>
      <c r="L178" s="71" t="s">
        <v>257</v>
      </c>
      <c r="M178" s="71" t="s">
        <v>225</v>
      </c>
      <c r="N178" s="45">
        <v>164</v>
      </c>
      <c r="O178" s="71" t="s">
        <v>1661</v>
      </c>
      <c r="P178" s="202">
        <v>1</v>
      </c>
      <c r="Q178" s="45">
        <f>+AQ178</f>
        <v>1</v>
      </c>
      <c r="R178" s="202" t="s">
        <v>60</v>
      </c>
      <c r="S178" s="71" t="s">
        <v>1662</v>
      </c>
      <c r="T178" s="71" t="s">
        <v>1663</v>
      </c>
      <c r="U178" s="212">
        <v>44562</v>
      </c>
      <c r="V178" s="45" t="s">
        <v>495</v>
      </c>
      <c r="W178" s="71" t="s">
        <v>46</v>
      </c>
      <c r="X178" s="71" t="s">
        <v>1664</v>
      </c>
      <c r="Y178" s="45">
        <v>0.1</v>
      </c>
      <c r="Z178" s="45">
        <v>0.1</v>
      </c>
      <c r="AA178" s="59">
        <f t="shared" ref="AA178:AA183" si="21">(Z178/Y178)</f>
        <v>1</v>
      </c>
      <c r="AB178" s="60" t="s">
        <v>1665</v>
      </c>
      <c r="AC178" s="60" t="s">
        <v>511</v>
      </c>
      <c r="AD178" s="71" t="s">
        <v>1666</v>
      </c>
      <c r="AE178" s="45" t="s">
        <v>1667</v>
      </c>
      <c r="AF178" s="45" t="s">
        <v>1667</v>
      </c>
      <c r="AG178" s="48" t="e">
        <f t="shared" si="19"/>
        <v>#VALUE!</v>
      </c>
      <c r="AH178" s="60" t="s">
        <v>1668</v>
      </c>
      <c r="AI178" s="71" t="s">
        <v>511</v>
      </c>
      <c r="AJ178" s="71" t="s">
        <v>1669</v>
      </c>
      <c r="AK178" s="45" t="s">
        <v>1670</v>
      </c>
      <c r="AL178" s="45">
        <v>0.7</v>
      </c>
      <c r="AM178" s="236" t="e">
        <f>+(Tabla4[[#This Row],[Avance cuantitativo
III trimestre]]/Tabla4[[#This Row],[Programación  meta
III trimestre ]])*100%</f>
        <v>#VALUE!</v>
      </c>
      <c r="AN178" s="71" t="s">
        <v>1671</v>
      </c>
      <c r="AO178" s="71" t="s">
        <v>511</v>
      </c>
      <c r="AP178" s="71" t="s">
        <v>1672</v>
      </c>
      <c r="AQ178" s="45">
        <v>1</v>
      </c>
      <c r="AR178" s="123">
        <v>1</v>
      </c>
      <c r="AS178" s="159">
        <f>(+Tabla4[[#This Row],[Programación  meta
IV trimestre ]]/AR178)</f>
        <v>1</v>
      </c>
      <c r="AT178" s="140" t="s">
        <v>1673</v>
      </c>
      <c r="AU178" s="28" t="s">
        <v>502</v>
      </c>
      <c r="AV178" s="165" t="s">
        <v>485</v>
      </c>
      <c r="AW178" s="209">
        <f>+Tabla4[[#This Row],[Programación  meta
IV trimestre ]]</f>
        <v>1</v>
      </c>
      <c r="AX178" s="253">
        <f t="shared" si="20"/>
        <v>1</v>
      </c>
      <c r="AY178" s="253">
        <f t="shared" si="16"/>
        <v>1</v>
      </c>
      <c r="AZ178" s="89" t="s">
        <v>503</v>
      </c>
      <c r="BA178" s="153"/>
      <c r="BB178" s="153"/>
      <c r="BC178" s="153"/>
      <c r="BD178" s="153"/>
      <c r="BE178" s="153"/>
      <c r="BF178" s="153"/>
      <c r="BG178" s="153"/>
      <c r="BH178" s="153"/>
      <c r="BI178" s="153"/>
      <c r="BJ178" s="153"/>
      <c r="BK178" s="153"/>
      <c r="BL178" s="153"/>
      <c r="BM178" s="153"/>
      <c r="BN178" s="153"/>
      <c r="BO178" s="153"/>
      <c r="BP178" s="153"/>
      <c r="BQ178" s="153"/>
      <c r="BR178" s="153"/>
      <c r="BS178" s="153"/>
      <c r="BT178" s="153"/>
      <c r="BU178" s="153"/>
      <c r="BV178" s="153"/>
      <c r="BW178" s="153"/>
      <c r="BX178" s="153"/>
      <c r="BY178" s="153"/>
      <c r="BZ178" s="153"/>
      <c r="CA178" s="153"/>
      <c r="CB178" s="153"/>
      <c r="CC178" s="153"/>
    </row>
    <row r="179" spans="1:81" s="168" customFormat="1" x14ac:dyDescent="0.2">
      <c r="B179" s="186" t="s">
        <v>320</v>
      </c>
      <c r="C179" s="175" t="s">
        <v>48</v>
      </c>
      <c r="D179" s="175" t="s">
        <v>144</v>
      </c>
      <c r="E179" s="175" t="s">
        <v>91</v>
      </c>
      <c r="F179" s="175" t="s">
        <v>336</v>
      </c>
      <c r="G179" s="175" t="s">
        <v>146</v>
      </c>
      <c r="H179" s="175" t="s">
        <v>82</v>
      </c>
      <c r="I179" s="175" t="s">
        <v>25</v>
      </c>
      <c r="J179" s="175" t="s">
        <v>70</v>
      </c>
      <c r="K179" s="175" t="s">
        <v>256</v>
      </c>
      <c r="L179" s="175" t="s">
        <v>257</v>
      </c>
      <c r="M179" s="60" t="s">
        <v>225</v>
      </c>
      <c r="N179" s="79">
        <v>165</v>
      </c>
      <c r="O179" s="60" t="s">
        <v>1674</v>
      </c>
      <c r="P179" s="79">
        <v>1</v>
      </c>
      <c r="Q179" s="45">
        <f>+AQ179</f>
        <v>1</v>
      </c>
      <c r="R179" s="79" t="s">
        <v>60</v>
      </c>
      <c r="S179" s="60" t="s">
        <v>1675</v>
      </c>
      <c r="T179" s="71" t="s">
        <v>1676</v>
      </c>
      <c r="U179" s="217">
        <v>44562</v>
      </c>
      <c r="V179" s="79" t="s">
        <v>495</v>
      </c>
      <c r="W179" s="60" t="s">
        <v>46</v>
      </c>
      <c r="X179" s="60" t="s">
        <v>1677</v>
      </c>
      <c r="Y179" s="45">
        <v>0.15</v>
      </c>
      <c r="Z179" s="45">
        <v>0</v>
      </c>
      <c r="AA179" s="80">
        <f t="shared" si="21"/>
        <v>0</v>
      </c>
      <c r="AB179" s="175" t="s">
        <v>1678</v>
      </c>
      <c r="AC179" s="175" t="s">
        <v>511</v>
      </c>
      <c r="AD179" s="175" t="s">
        <v>1679</v>
      </c>
      <c r="AE179" s="75" t="s">
        <v>1680</v>
      </c>
      <c r="AF179" s="47" t="s">
        <v>1681</v>
      </c>
      <c r="AG179" s="49" t="e">
        <f t="shared" si="19"/>
        <v>#VALUE!</v>
      </c>
      <c r="AH179" s="175" t="s">
        <v>1682</v>
      </c>
      <c r="AI179" s="170" t="s">
        <v>511</v>
      </c>
      <c r="AJ179" s="175" t="s">
        <v>1683</v>
      </c>
      <c r="AK179" s="75" t="s">
        <v>1684</v>
      </c>
      <c r="AL179" s="45">
        <v>0</v>
      </c>
      <c r="AM179" s="25" t="e">
        <f>+(Tabla4[[#This Row],[Avance cuantitativo
III trimestre]]/Tabla4[[#This Row],[Programación  meta
III trimestre ]])*100%</f>
        <v>#VALUE!</v>
      </c>
      <c r="AN179" s="110" t="s">
        <v>1685</v>
      </c>
      <c r="AO179" s="170" t="s">
        <v>511</v>
      </c>
      <c r="AP179" s="170" t="s">
        <v>1686</v>
      </c>
      <c r="AQ179" s="688">
        <v>1</v>
      </c>
      <c r="AR179" s="689">
        <v>0.8</v>
      </c>
      <c r="AS179" s="687">
        <f>+AR179/Tabla4[[#This Row],[Programación  meta
IV trimestre ]]</f>
        <v>0.8</v>
      </c>
      <c r="AT179" s="99" t="s">
        <v>1687</v>
      </c>
      <c r="AU179" s="28" t="s">
        <v>502</v>
      </c>
      <c r="AV179" s="165" t="s">
        <v>485</v>
      </c>
      <c r="AW179" s="85">
        <f>+Tabla4[[#This Row],[Programación  meta
IV trimestre ]]</f>
        <v>1</v>
      </c>
      <c r="AX179" s="258" t="s">
        <v>1688</v>
      </c>
      <c r="AY179" s="253">
        <v>0.8</v>
      </c>
      <c r="AZ179" s="171" t="s">
        <v>1689</v>
      </c>
      <c r="BA179" s="193" t="s">
        <v>1690</v>
      </c>
      <c r="BB179" s="193"/>
      <c r="BC179" s="193"/>
      <c r="BD179" s="193"/>
      <c r="BE179" s="193"/>
      <c r="BF179" s="193"/>
      <c r="BG179" s="193"/>
      <c r="BH179" s="193"/>
      <c r="BI179" s="193"/>
      <c r="BJ179" s="193"/>
      <c r="BK179" s="193"/>
      <c r="BL179" s="193"/>
      <c r="BM179" s="193"/>
      <c r="BN179" s="193"/>
      <c r="BO179" s="193"/>
      <c r="BP179" s="193"/>
      <c r="BQ179" s="193"/>
      <c r="BR179" s="193"/>
      <c r="BS179" s="193"/>
      <c r="BT179" s="193"/>
      <c r="BU179" s="193"/>
      <c r="BV179" s="193"/>
      <c r="BW179" s="193"/>
      <c r="BX179" s="193"/>
      <c r="BY179" s="193"/>
      <c r="BZ179" s="193"/>
      <c r="CA179" s="193"/>
      <c r="CB179" s="193"/>
      <c r="CC179" s="193"/>
    </row>
    <row r="180" spans="1:81" x14ac:dyDescent="0.2">
      <c r="A180" s="173"/>
      <c r="B180" s="172" t="s">
        <v>301</v>
      </c>
      <c r="C180" s="172" t="s">
        <v>48</v>
      </c>
      <c r="D180" s="172" t="s">
        <v>577</v>
      </c>
      <c r="E180" s="172" t="s">
        <v>91</v>
      </c>
      <c r="F180" s="172" t="s">
        <v>1096</v>
      </c>
      <c r="G180" s="172" t="s">
        <v>53</v>
      </c>
      <c r="H180" s="172" t="s">
        <v>203</v>
      </c>
      <c r="I180" s="172" t="s">
        <v>25</v>
      </c>
      <c r="J180" s="172" t="s">
        <v>70</v>
      </c>
      <c r="K180" s="172" t="s">
        <v>239</v>
      </c>
      <c r="L180" s="172" t="s">
        <v>257</v>
      </c>
      <c r="M180" s="144" t="s">
        <v>225</v>
      </c>
      <c r="N180" s="45">
        <v>166</v>
      </c>
      <c r="O180" s="144" t="s">
        <v>1691</v>
      </c>
      <c r="P180" s="83">
        <v>1</v>
      </c>
      <c r="Q180" s="122">
        <f>(+Y180+AE180+AK180+AQ180)/4</f>
        <v>1</v>
      </c>
      <c r="R180" s="205" t="s">
        <v>30</v>
      </c>
      <c r="S180" s="144" t="s">
        <v>1692</v>
      </c>
      <c r="T180" s="144" t="s">
        <v>1693</v>
      </c>
      <c r="U180" s="218">
        <v>44562</v>
      </c>
      <c r="V180" s="205" t="s">
        <v>495</v>
      </c>
      <c r="W180" s="144" t="s">
        <v>46</v>
      </c>
      <c r="X180" s="144" t="s">
        <v>1694</v>
      </c>
      <c r="Y180" s="83">
        <v>1</v>
      </c>
      <c r="Z180" s="48">
        <v>1</v>
      </c>
      <c r="AA180" s="59">
        <f t="shared" si="21"/>
        <v>1</v>
      </c>
      <c r="AB180" s="194" t="s">
        <v>1695</v>
      </c>
      <c r="AC180" s="175" t="s">
        <v>1696</v>
      </c>
      <c r="AD180" s="172" t="s">
        <v>1697</v>
      </c>
      <c r="AE180" s="239">
        <v>1</v>
      </c>
      <c r="AF180" s="239">
        <v>1</v>
      </c>
      <c r="AG180" s="49">
        <f t="shared" si="19"/>
        <v>1</v>
      </c>
      <c r="AH180" s="175" t="s">
        <v>1698</v>
      </c>
      <c r="AI180" s="170" t="s">
        <v>511</v>
      </c>
      <c r="AJ180" s="172" t="s">
        <v>1699</v>
      </c>
      <c r="AK180" s="239">
        <v>1</v>
      </c>
      <c r="AL180" s="48">
        <v>0.5</v>
      </c>
      <c r="AM180" s="25">
        <f>+(Tabla4[[#This Row],[Avance cuantitativo
III trimestre]]/Tabla4[[#This Row],[Programación  meta
III trimestre ]])*100%</f>
        <v>0.5</v>
      </c>
      <c r="AN180" s="110" t="s">
        <v>1700</v>
      </c>
      <c r="AO180" s="170" t="s">
        <v>1701</v>
      </c>
      <c r="AP180" s="172" t="s">
        <v>1702</v>
      </c>
      <c r="AQ180" s="713">
        <v>1</v>
      </c>
      <c r="AR180" s="92">
        <v>1.5</v>
      </c>
      <c r="AS180" s="159">
        <v>1</v>
      </c>
      <c r="AT180" s="99" t="s">
        <v>1703</v>
      </c>
      <c r="AU180" s="28" t="s">
        <v>502</v>
      </c>
      <c r="AV180" s="165" t="s">
        <v>485</v>
      </c>
      <c r="AW180" s="87">
        <f>+(Tabla4[[#This Row],[Programación  meta
I trimestre ]]+Tabla4[[#This Row],[Programación  meta
II trimestre ]]+Tabla4[[#This Row],[Programación  meta
III trimestre ]]+Tabla4[[#This Row],[Programación  meta
IV trimestre ]])/4</f>
        <v>1</v>
      </c>
      <c r="AX180" s="86">
        <f>+(Tabla4[[#This Row],[Avance cuantitativo
I trimestre]]+Tabla4[[#This Row],[Avance cuantitativo
II trimestre]]+Tabla4[[#This Row],[Avance cuantitativo
III trimestre]]+AR180)/4</f>
        <v>1</v>
      </c>
      <c r="AY180" s="86">
        <f t="shared" si="16"/>
        <v>1</v>
      </c>
      <c r="AZ180" s="89" t="s">
        <v>503</v>
      </c>
      <c r="BA180" s="169"/>
      <c r="BB180" s="169"/>
      <c r="BC180" s="169"/>
      <c r="BD180" s="169"/>
      <c r="BE180" s="169"/>
      <c r="BF180" s="169"/>
      <c r="BG180" s="169"/>
      <c r="BH180" s="169"/>
      <c r="BI180" s="169"/>
      <c r="BJ180" s="169"/>
      <c r="BK180" s="169"/>
      <c r="BL180" s="169"/>
      <c r="BM180" s="169"/>
      <c r="BN180" s="169"/>
      <c r="BO180" s="169"/>
      <c r="BP180" s="169"/>
      <c r="BQ180" s="169"/>
      <c r="BR180" s="169"/>
      <c r="BS180" s="169"/>
      <c r="BT180" s="169"/>
      <c r="BU180" s="169"/>
      <c r="BV180" s="169"/>
      <c r="BW180" s="169"/>
      <c r="BX180" s="169"/>
      <c r="BY180" s="169"/>
      <c r="BZ180" s="169"/>
      <c r="CA180" s="169"/>
      <c r="CB180" s="169"/>
      <c r="CC180" s="169"/>
    </row>
    <row r="181" spans="1:81" x14ac:dyDescent="0.2">
      <c r="A181" s="173"/>
      <c r="B181" s="172" t="s">
        <v>297</v>
      </c>
      <c r="C181" s="172" t="s">
        <v>48</v>
      </c>
      <c r="D181" s="172" t="s">
        <v>64</v>
      </c>
      <c r="E181" s="172" t="s">
        <v>91</v>
      </c>
      <c r="F181" s="172" t="s">
        <v>1704</v>
      </c>
      <c r="G181" s="172" t="s">
        <v>104</v>
      </c>
      <c r="H181" s="172" t="s">
        <v>24</v>
      </c>
      <c r="I181" s="172" t="s">
        <v>25</v>
      </c>
      <c r="J181" s="172" t="s">
        <v>70</v>
      </c>
      <c r="K181" s="172" t="s">
        <v>245</v>
      </c>
      <c r="L181" s="172" t="s">
        <v>257</v>
      </c>
      <c r="M181" s="144" t="s">
        <v>131</v>
      </c>
      <c r="N181" s="45">
        <v>167</v>
      </c>
      <c r="O181" s="144" t="s">
        <v>1705</v>
      </c>
      <c r="P181" s="205">
        <v>4</v>
      </c>
      <c r="Q181" s="206">
        <f>+Y181+AE181+AK181+AQ181</f>
        <v>4</v>
      </c>
      <c r="R181" s="205" t="s">
        <v>45</v>
      </c>
      <c r="S181" s="144" t="s">
        <v>1706</v>
      </c>
      <c r="T181" s="144" t="s">
        <v>1707</v>
      </c>
      <c r="U181" s="218">
        <v>44562</v>
      </c>
      <c r="V181" s="218">
        <v>44926</v>
      </c>
      <c r="W181" s="144" t="s">
        <v>46</v>
      </c>
      <c r="X181" s="144" t="s">
        <v>1708</v>
      </c>
      <c r="Y181" s="205">
        <v>1</v>
      </c>
      <c r="Z181" s="205">
        <v>1</v>
      </c>
      <c r="AA181" s="59">
        <f t="shared" si="21"/>
        <v>1</v>
      </c>
      <c r="AB181" s="194" t="s">
        <v>1709</v>
      </c>
      <c r="AC181" s="175" t="s">
        <v>511</v>
      </c>
      <c r="AD181" s="172" t="s">
        <v>1710</v>
      </c>
      <c r="AE181" s="84">
        <v>1</v>
      </c>
      <c r="AF181" s="47">
        <v>1</v>
      </c>
      <c r="AG181" s="49">
        <f t="shared" si="19"/>
        <v>1</v>
      </c>
      <c r="AH181" s="184" t="s">
        <v>1711</v>
      </c>
      <c r="AI181" s="195" t="s">
        <v>1712</v>
      </c>
      <c r="AJ181" s="172" t="s">
        <v>1713</v>
      </c>
      <c r="AK181" s="84">
        <v>1</v>
      </c>
      <c r="AL181" s="45">
        <v>1</v>
      </c>
      <c r="AM181" s="25">
        <f>+(Tabla4[[#This Row],[Avance cuantitativo
III trimestre]]/Tabla4[[#This Row],[Programación  meta
III trimestre ]])*100%</f>
        <v>1</v>
      </c>
      <c r="AN181" s="110" t="s">
        <v>1714</v>
      </c>
      <c r="AO181" s="170" t="s">
        <v>511</v>
      </c>
      <c r="AP181" s="172" t="s">
        <v>1715</v>
      </c>
      <c r="AQ181" s="156">
        <v>1</v>
      </c>
      <c r="AR181" s="123">
        <v>1</v>
      </c>
      <c r="AS181" s="159">
        <f>(+Tabla4[[#This Row],[Programación  meta
IV trimestre ]]/AR181)</f>
        <v>1</v>
      </c>
      <c r="AT181" s="124" t="s">
        <v>1716</v>
      </c>
      <c r="AU181" s="256" t="s">
        <v>1717</v>
      </c>
      <c r="AV181" s="165" t="s">
        <v>485</v>
      </c>
      <c r="AW181" s="85">
        <f>+Tabla4[[#This Row],[Programación  meta
I trimestre ]]+Tabla4[[#This Row],[Programación  meta
II trimestre ]]+Tabla4[[#This Row],[Programación  meta
III trimestre ]]+Tabla4[[#This Row],[Programación  meta
IV trimestre ]]</f>
        <v>4</v>
      </c>
      <c r="AX181" s="84">
        <f>+Tabla4[[#This Row],[Avance cuantitativo
I trimestre]]+Tabla4[[#This Row],[Avance cuantitativo
II trimestre]]+Tabla4[[#This Row],[Avance cuantitativo
III trimestre]]+AR181</f>
        <v>4</v>
      </c>
      <c r="AY181" s="86">
        <f t="shared" si="16"/>
        <v>1</v>
      </c>
      <c r="AZ181" s="89" t="s">
        <v>503</v>
      </c>
      <c r="BA181" s="169"/>
      <c r="BB181" s="169"/>
      <c r="BC181" s="169"/>
      <c r="BD181" s="169"/>
      <c r="BE181" s="169"/>
      <c r="BF181" s="169"/>
      <c r="BG181" s="169"/>
      <c r="BH181" s="169"/>
      <c r="BI181" s="169"/>
      <c r="BJ181" s="169"/>
      <c r="BK181" s="169"/>
      <c r="BL181" s="169"/>
      <c r="BM181" s="169"/>
      <c r="BN181" s="169"/>
      <c r="BO181" s="169"/>
      <c r="BP181" s="169"/>
      <c r="BQ181" s="169"/>
      <c r="BR181" s="169"/>
      <c r="BS181" s="169"/>
      <c r="BT181" s="169"/>
      <c r="BU181" s="169"/>
      <c r="BV181" s="169"/>
      <c r="BW181" s="169"/>
      <c r="BX181" s="169"/>
      <c r="BY181" s="169"/>
      <c r="BZ181" s="169"/>
      <c r="CA181" s="169"/>
      <c r="CB181" s="169"/>
      <c r="CC181" s="169"/>
    </row>
    <row r="182" spans="1:81" s="20" customFormat="1" hidden="1" x14ac:dyDescent="0.2">
      <c r="A182" s="30"/>
      <c r="B182" s="82" t="s">
        <v>320</v>
      </c>
      <c r="C182" s="81" t="s">
        <v>48</v>
      </c>
      <c r="D182" s="82" t="s">
        <v>184</v>
      </c>
      <c r="E182" s="82" t="s">
        <v>102</v>
      </c>
      <c r="F182" s="82" t="s">
        <v>338</v>
      </c>
      <c r="G182" s="82" t="s">
        <v>186</v>
      </c>
      <c r="H182" s="82" t="s">
        <v>69</v>
      </c>
      <c r="I182" s="82" t="s">
        <v>25</v>
      </c>
      <c r="J182" s="82" t="s">
        <v>70</v>
      </c>
      <c r="K182" s="82" t="s">
        <v>402</v>
      </c>
      <c r="L182" s="82" t="s">
        <v>257</v>
      </c>
      <c r="M182" s="82" t="s">
        <v>233</v>
      </c>
      <c r="N182" s="45">
        <v>168</v>
      </c>
      <c r="O182" s="82" t="s">
        <v>1718</v>
      </c>
      <c r="P182" s="83">
        <v>1</v>
      </c>
      <c r="Q182" s="122" t="e">
        <f>(+Y182+AE182+AK182+AQ182)/4</f>
        <v>#VALUE!</v>
      </c>
      <c r="R182" s="205" t="s">
        <v>30</v>
      </c>
      <c r="S182" s="82" t="s">
        <v>580</v>
      </c>
      <c r="T182" s="82" t="s">
        <v>581</v>
      </c>
      <c r="U182" s="218">
        <v>44562</v>
      </c>
      <c r="V182" s="218">
        <v>44592</v>
      </c>
      <c r="W182" s="82" t="s">
        <v>46</v>
      </c>
      <c r="X182" s="82" t="s">
        <v>582</v>
      </c>
      <c r="Y182" s="83">
        <v>1</v>
      </c>
      <c r="Z182" s="83">
        <v>1</v>
      </c>
      <c r="AA182" s="59">
        <f t="shared" si="21"/>
        <v>1</v>
      </c>
      <c r="AB182" s="60" t="s">
        <v>1403</v>
      </c>
      <c r="AC182" s="61" t="s">
        <v>1601</v>
      </c>
      <c r="AD182" s="82" t="s">
        <v>582</v>
      </c>
      <c r="AE182" s="83">
        <v>1</v>
      </c>
      <c r="AF182" s="49">
        <v>0.75</v>
      </c>
      <c r="AG182" s="49">
        <f t="shared" si="19"/>
        <v>0.75</v>
      </c>
      <c r="AH182" s="76" t="s">
        <v>1719</v>
      </c>
      <c r="AI182" s="46" t="s">
        <v>511</v>
      </c>
      <c r="AJ182" s="44" t="s">
        <v>585</v>
      </c>
      <c r="AK182" s="244" t="s">
        <v>496</v>
      </c>
      <c r="AL182" s="244" t="s">
        <v>496</v>
      </c>
      <c r="AM182" s="244" t="s">
        <v>496</v>
      </c>
      <c r="AN182" s="181" t="s">
        <v>496</v>
      </c>
      <c r="AO182" s="181" t="s">
        <v>496</v>
      </c>
      <c r="AP182" s="44" t="s">
        <v>585</v>
      </c>
      <c r="AQ182" s="48" t="s">
        <v>496</v>
      </c>
      <c r="AR182" s="48" t="s">
        <v>496</v>
      </c>
      <c r="AS182" s="48" t="s">
        <v>496</v>
      </c>
      <c r="AT182" s="139" t="s">
        <v>496</v>
      </c>
      <c r="AU182" s="246" t="s">
        <v>496</v>
      </c>
      <c r="AV182" s="165" t="s">
        <v>485</v>
      </c>
      <c r="AW182" s="85">
        <v>0</v>
      </c>
      <c r="AX182" s="84">
        <v>0</v>
      </c>
      <c r="AY182" s="86">
        <v>0</v>
      </c>
      <c r="AZ182" s="88" t="s">
        <v>585</v>
      </c>
      <c r="BA182" s="30"/>
      <c r="BB182" s="30"/>
      <c r="BC182" s="30"/>
      <c r="BD182" s="30"/>
      <c r="BE182" s="30"/>
      <c r="BF182" s="30"/>
      <c r="BG182" s="30"/>
      <c r="BH182" s="30"/>
      <c r="BI182" s="30"/>
      <c r="BJ182" s="30"/>
      <c r="BK182" s="30"/>
      <c r="BL182" s="30"/>
      <c r="BM182" s="30"/>
      <c r="BN182" s="30"/>
      <c r="BO182" s="30"/>
      <c r="BP182" s="30"/>
      <c r="BQ182" s="30"/>
      <c r="BR182" s="30"/>
      <c r="BS182" s="30"/>
      <c r="BT182" s="30"/>
      <c r="BU182" s="30"/>
      <c r="BV182" s="30"/>
      <c r="BW182" s="30"/>
      <c r="BX182" s="30"/>
      <c r="BY182" s="30"/>
      <c r="BZ182" s="30"/>
      <c r="CA182" s="30"/>
      <c r="CB182" s="30"/>
      <c r="CC182" s="30"/>
    </row>
    <row r="183" spans="1:81" x14ac:dyDescent="0.2">
      <c r="A183" s="180"/>
      <c r="B183" s="144" t="s">
        <v>297</v>
      </c>
      <c r="C183" s="171" t="s">
        <v>48</v>
      </c>
      <c r="D183" s="144" t="s">
        <v>174</v>
      </c>
      <c r="E183" s="172" t="s">
        <v>91</v>
      </c>
      <c r="F183" s="144" t="s">
        <v>336</v>
      </c>
      <c r="G183" s="144" t="s">
        <v>1720</v>
      </c>
      <c r="H183" s="144" t="s">
        <v>24</v>
      </c>
      <c r="I183" s="144" t="s">
        <v>25</v>
      </c>
      <c r="J183" s="144" t="s">
        <v>70</v>
      </c>
      <c r="K183" s="172" t="s">
        <v>1721</v>
      </c>
      <c r="L183" s="143" t="s">
        <v>252</v>
      </c>
      <c r="M183" s="144" t="s">
        <v>1722</v>
      </c>
      <c r="N183" s="197">
        <v>169</v>
      </c>
      <c r="O183" s="144" t="s">
        <v>1723</v>
      </c>
      <c r="P183" s="207">
        <v>1</v>
      </c>
      <c r="Q183" s="208">
        <f>(+Y183+AE183+AK183+AQ183)/4</f>
        <v>1</v>
      </c>
      <c r="R183" s="209" t="s">
        <v>30</v>
      </c>
      <c r="S183" s="144" t="s">
        <v>1724</v>
      </c>
      <c r="T183" s="144" t="s">
        <v>1725</v>
      </c>
      <c r="U183" s="218">
        <v>44562</v>
      </c>
      <c r="V183" s="218">
        <v>44592</v>
      </c>
      <c r="W183" s="144" t="s">
        <v>46</v>
      </c>
      <c r="X183" s="144" t="s">
        <v>589</v>
      </c>
      <c r="Y183" s="83">
        <v>1</v>
      </c>
      <c r="Z183" s="83">
        <v>0.66</v>
      </c>
      <c r="AA183" s="233">
        <f t="shared" si="21"/>
        <v>0.66</v>
      </c>
      <c r="AB183" s="117" t="s">
        <v>1726</v>
      </c>
      <c r="AC183" s="175" t="s">
        <v>511</v>
      </c>
      <c r="AD183" s="144" t="s">
        <v>589</v>
      </c>
      <c r="AE183" s="83">
        <v>1</v>
      </c>
      <c r="AF183" s="25">
        <f>+(90%+100%)/2</f>
        <v>0.95</v>
      </c>
      <c r="AG183" s="49">
        <f t="shared" si="19"/>
        <v>0.95</v>
      </c>
      <c r="AH183" s="104" t="s">
        <v>1727</v>
      </c>
      <c r="AI183" s="170" t="s">
        <v>511</v>
      </c>
      <c r="AJ183" s="144" t="s">
        <v>589</v>
      </c>
      <c r="AK183" s="83">
        <v>1</v>
      </c>
      <c r="AL183" s="48">
        <v>0.89</v>
      </c>
      <c r="AM183" s="25">
        <f>+(Tabla4[[#This Row],[Avance cuantitativo
III trimestre]]/Tabla4[[#This Row],[Programación  meta
III trimestre ]])*100%</f>
        <v>0.89</v>
      </c>
      <c r="AN183" s="104" t="s">
        <v>1728</v>
      </c>
      <c r="AO183" s="170" t="s">
        <v>511</v>
      </c>
      <c r="AP183" s="144" t="s">
        <v>589</v>
      </c>
      <c r="AQ183" s="690">
        <v>1</v>
      </c>
      <c r="AR183" s="691">
        <v>0.77</v>
      </c>
      <c r="AS183" s="687">
        <f>+AR183/Tabla4[[#This Row],[Programación  meta
IV trimestre ]]</f>
        <v>0.77</v>
      </c>
      <c r="AT183" s="104" t="s">
        <v>1729</v>
      </c>
      <c r="AU183" s="31" t="s">
        <v>502</v>
      </c>
      <c r="AV183" s="165" t="s">
        <v>485</v>
      </c>
      <c r="AW183" s="87">
        <f>+(Tabla4[[#This Row],[Programación  meta
I trimestre ]]+Tabla4[[#This Row],[Programación  meta
II trimestre ]]+Tabla4[[#This Row],[Programación  meta
III trimestre ]]+Tabla4[[#This Row],[Programación  meta
IV trimestre ]])/4</f>
        <v>1</v>
      </c>
      <c r="AX183" s="86">
        <f>+(Tabla4[[#This Row],[Avance cuantitativo
I trimestre]]+Tabla4[[#This Row],[Avance cuantitativo
II trimestre]]+Tabla4[[#This Row],[Avance cuantitativo
III trimestre]]+AR183)/4</f>
        <v>0.8175</v>
      </c>
      <c r="AY183" s="86">
        <f t="shared" si="16"/>
        <v>0.8175</v>
      </c>
      <c r="AZ183" s="171" t="s">
        <v>1730</v>
      </c>
      <c r="BA183" s="180" t="s">
        <v>594</v>
      </c>
      <c r="BB183" s="180"/>
      <c r="BC183" s="180"/>
      <c r="BD183" s="180"/>
      <c r="BE183" s="180"/>
      <c r="BF183" s="180"/>
      <c r="BG183" s="180"/>
      <c r="BH183" s="180"/>
      <c r="BI183" s="180"/>
      <c r="BJ183" s="180"/>
      <c r="BK183" s="180"/>
      <c r="BL183" s="180"/>
      <c r="BM183" s="180"/>
      <c r="BN183" s="180"/>
      <c r="BO183" s="180"/>
      <c r="BP183" s="180"/>
      <c r="BQ183" s="180"/>
      <c r="BR183" s="180"/>
      <c r="BS183" s="180"/>
      <c r="BT183" s="180"/>
      <c r="BU183" s="180"/>
      <c r="BV183" s="180"/>
      <c r="BW183" s="180"/>
      <c r="BX183" s="180"/>
      <c r="BY183" s="180"/>
      <c r="BZ183" s="180"/>
      <c r="CA183" s="180"/>
      <c r="CB183" s="180"/>
      <c r="CC183" s="180"/>
    </row>
    <row r="184" spans="1:81" x14ac:dyDescent="0.2">
      <c r="Y184" s="24"/>
      <c r="Z184" s="234"/>
      <c r="AF184" s="243"/>
      <c r="AG184" s="243"/>
      <c r="AH184" s="165"/>
      <c r="AQ184" s="24"/>
    </row>
    <row r="185" spans="1:81" x14ac:dyDescent="0.2">
      <c r="Q185" s="210" t="s">
        <v>485</v>
      </c>
      <c r="AF185" s="243"/>
      <c r="AG185" s="243"/>
      <c r="AH185" s="165"/>
      <c r="AK185" s="21" t="s">
        <v>485</v>
      </c>
    </row>
    <row r="187" spans="1:81" x14ac:dyDescent="0.2">
      <c r="AG187" s="22" t="s">
        <v>485</v>
      </c>
    </row>
  </sheetData>
  <sheetProtection algorithmName="SHA-512" hashValue="OlXOW90KLYGely4k6OyU8K0h5bL1QEGDSYd+I0NXNykGMUlABDTKZhgQWo0EX/SI6jVdRRmc/lDGn+NnBooNOQ==" saltValue="qq0BQu+VI6NnqwwcWtLMqQ==" spinCount="100000" sheet="1" objects="1" scenarios="1" formatCells="0" formatColumns="0" formatRows="0" autoFilter="0" pivotTables="0"/>
  <autoFilter ref="AW14:AZ183" xr:uid="{00000000-0001-0000-0100-000000000000}">
    <filterColumn colId="3">
      <filters>
        <filter val="Meta cumplida"/>
        <filter val="Meta cumplida al 75%"/>
        <filter val="Meta cumplida al 80%"/>
        <filter val="Meta cumplida al 82%"/>
        <filter val="Meta cumplida al 88%"/>
        <filter val="Meta cumplida al 97%"/>
        <filter val="Meta cumplida al 98%"/>
        <filter val="Meta cumplida al 99%"/>
      </filters>
    </filterColumn>
  </autoFilter>
  <dataConsolidate/>
  <mergeCells count="24">
    <mergeCell ref="B2:C5"/>
    <mergeCell ref="AW13:AZ13"/>
    <mergeCell ref="B11:D13"/>
    <mergeCell ref="C7:AU7"/>
    <mergeCell ref="C8:AU8"/>
    <mergeCell ref="C9:AU9"/>
    <mergeCell ref="N12:AU12"/>
    <mergeCell ref="G12:M13"/>
    <mergeCell ref="G11:AU11"/>
    <mergeCell ref="E11:F13"/>
    <mergeCell ref="AJ13:AK13"/>
    <mergeCell ref="AP13:AQ13"/>
    <mergeCell ref="N13:W13"/>
    <mergeCell ref="X13:Y13"/>
    <mergeCell ref="Z13:AC13"/>
    <mergeCell ref="AD13:AE13"/>
    <mergeCell ref="AF13:AI13"/>
    <mergeCell ref="AL13:AO13"/>
    <mergeCell ref="D2:AQ5"/>
    <mergeCell ref="AR2:AU2"/>
    <mergeCell ref="AR3:AU3"/>
    <mergeCell ref="AR4:AU4"/>
    <mergeCell ref="AR5:AU5"/>
    <mergeCell ref="AR13:AU13"/>
  </mergeCells>
  <conditionalFormatting sqref="AY1:AY1048576">
    <cfRule type="iconSet" priority="1">
      <iconSet iconSet="3TrafficLights2">
        <cfvo type="percent" val="0"/>
        <cfvo type="percent" val="33"/>
        <cfvo type="percent" val="67"/>
      </iconSet>
    </cfRule>
  </conditionalFormatting>
  <pageMargins left="0.7" right="0.7" top="0.75" bottom="0.75" header="0.3" footer="0.3"/>
  <pageSetup paperSize="9" orientation="portrait"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21">
        <x14:dataValidation type="list" allowBlank="1" showInputMessage="1" showErrorMessage="1" xr:uid="{00000000-0002-0000-0100-000000000000}">
          <x14:formula1>
            <xm:f>Listas!$A$2:$A$42</xm:f>
          </x14:formula1>
          <xm:sqref>B184:B1048576 A15:B15 B111:B114 B175:B179 BA15:XFD15 B38:B49 B52:B57 B86 B30:B31 AN184:AP1048576 A180:A1048576 B33:B34 B16:B28 B125:B173 BB180:XFD1048576 BA180:BA182 AR184:BA1048576</xm:sqref>
        </x14:dataValidation>
        <x14:dataValidation type="list" allowBlank="1" showInputMessage="1" showErrorMessage="1" xr:uid="{00000000-0002-0000-0100-000001000000}">
          <x14:formula1>
            <xm:f>Listas!$G$2:$G$21</xm:f>
          </x14:formula1>
          <xm:sqref>G15:G22 G24:G26 G28:G31 G184:G1048576 G52:G89 G111:G119 G169:G179 G33:G34 G38:G49</xm:sqref>
        </x14:dataValidation>
        <x14:dataValidation type="list" allowBlank="1" showInputMessage="1" showErrorMessage="1" xr:uid="{00000000-0002-0000-0100-000002000000}">
          <x14:formula1>
            <xm:f>Listas!$O$2:$O$13</xm:f>
          </x14:formula1>
          <xm:sqref>U15 U21:U27 U29:U30 U184:U1048576 U52:U57 U65 U86:U89 U111:U119 U169:U179 U33:U34 U39 U41:U48</xm:sqref>
        </x14:dataValidation>
        <x14:dataValidation type="list" allowBlank="1" showInputMessage="1" showErrorMessage="1" xr:uid="{00000000-0002-0000-0100-000003000000}">
          <x14:formula1>
            <xm:f>Listas!$P$2:$P$13</xm:f>
          </x14:formula1>
          <xm:sqref>V15 V21:V27 V29:V30 V139:V150 V52:V57 V65 V86:V89 V111:V119 V184:V1048576 V163:V179 V33:V34 V39 V41:V47</xm:sqref>
        </x14:dataValidation>
        <x14:dataValidation type="list" allowBlank="1" showInputMessage="1" showErrorMessage="1" xr:uid="{00000000-0002-0000-0100-000004000000}">
          <x14:formula1>
            <xm:f>Listas!$B$2:$B$7</xm:f>
          </x14:formula1>
          <xm:sqref>C168:C169 C34 C61 C81 C184:C1048576 C85:C89 C15:C31 C41:C42 C63 C65:C67 C69 C71 C73 C75 C77 C79 C83 C137 C139 C142:C145 C148:C150 C160:C161 C165 C171:C179 C91:C132 C44:C59</xm:sqref>
        </x14:dataValidation>
        <x14:dataValidation type="list" allowBlank="1" showInputMessage="1" showErrorMessage="1" xr:uid="{00000000-0002-0000-0100-000006000000}">
          <x14:formula1>
            <xm:f>Listas!$D$2:$D$9</xm:f>
          </x14:formula1>
          <xm:sqref>E166 E15:E24 E83 E169:E174 E56:E59 E184:E1048576 E147:E148 E32:E33 E133:E134 E137:E138 E142 E144:E145 E27:E29 E91:E106 E61 E63 E65 E67 E69 E71 E73 E75 E77 E79 E81 E85:E89 E108:E121 E150 E160:E161 E52:E54 E176:E177 E42:E45</xm:sqref>
        </x14:dataValidation>
        <x14:dataValidation type="list" allowBlank="1" showInputMessage="1" showErrorMessage="1" xr:uid="{00000000-0002-0000-0100-000007000000}">
          <x14:formula1>
            <xm:f>Listas!$F$2:$F$48</xm:f>
          </x14:formula1>
          <xm:sqref>F15:F23 F27:F29 F55:F57 F65:F66 F86:F89 F111:F119 F169:F172 F179 F184:F1048576</xm:sqref>
        </x14:dataValidation>
        <x14:dataValidation type="list" allowBlank="1" showInputMessage="1" showErrorMessage="1" xr:uid="{00000000-0002-0000-0100-000008000000}">
          <x14:formula1>
            <xm:f>Listas!$H$2:$H$22</xm:f>
          </x14:formula1>
          <xm:sqref>H15:H23 H27:H29 H52:H89 H111:H119 H169:H172 H179 H184:H1048576</xm:sqref>
        </x14:dataValidation>
        <x14:dataValidation type="list" allowBlank="1" showInputMessage="1" showErrorMessage="1" xr:uid="{00000000-0002-0000-0100-000009000000}">
          <x14:formula1>
            <xm:f>Listas!$M$2:$M$21</xm:f>
          </x14:formula1>
          <xm:sqref>M184:M1048576 M15:M34 M1:M13 M38:M179</xm:sqref>
        </x14:dataValidation>
        <x14:dataValidation type="list" allowBlank="1" showInputMessage="1" showErrorMessage="1" xr:uid="{00000000-0002-0000-0100-00000A000000}">
          <x14:formula1>
            <xm:f>Listas!$J$2:$J$24</xm:f>
          </x14:formula1>
          <xm:sqref>J15 J24:J29 J128:J172 J184:J1048576</xm:sqref>
        </x14:dataValidation>
        <x14:dataValidation type="list" allowBlank="1" showInputMessage="1" showErrorMessage="1" xr:uid="{00000000-0002-0000-0100-00000B000000}">
          <x14:formula1>
            <xm:f>Listas!$N$2:$N$4</xm:f>
          </x14:formula1>
          <xm:sqref>R1:R15 R21:R27 R29:R30 R184:R1048576 R52:R57 R65 R86:R89 R111:R119 R169:R172 R179 R33:R34 R39 R41:R48</xm:sqref>
        </x14:dataValidation>
        <x14:dataValidation type="list" allowBlank="1" showInputMessage="1" showErrorMessage="1" xr:uid="{00000000-0002-0000-0100-00000C000000}">
          <x14:formula1>
            <xm:f>Listas!$K$2:$K$120</xm:f>
          </x14:formula1>
          <xm:sqref>K15:K22 K24:K31 K52:K54 K184:K1048576 K56:K57 K86:K89 K38:K49 K33:K34 K111:K179</xm:sqref>
        </x14:dataValidation>
        <x14:dataValidation type="list" allowBlank="1" showInputMessage="1" showErrorMessage="1" xr:uid="{00000000-0002-0000-0100-00000D000000}">
          <x14:formula1>
            <xm:f>Listas!$L$2:$L$25</xm:f>
          </x14:formula1>
          <xm:sqref>L1:L15 L21:L31 L52:L89 L111:L119 L169:L179 L184:L1048576</xm:sqref>
        </x14:dataValidation>
        <x14:dataValidation type="list" allowBlank="1" showInputMessage="1" showErrorMessage="1" xr:uid="{00000000-0002-0000-0100-00000E000000}">
          <x14:formula1>
            <xm:f>Listas!$J$2:$J$19</xm:f>
          </x14:formula1>
          <xm:sqref>J21:J23 J30:J31 J169:J179 J52:J57 J86:J89 J65:J66 J111:J119 J33:J34 J38:J49</xm:sqref>
        </x14:dataValidation>
        <x14:dataValidation type="list" allowBlank="1" showInputMessage="1" showErrorMessage="1" xr:uid="{00000000-0002-0000-0100-000010000000}">
          <x14:formula1>
            <xm:f>Listas!$F$2:$F$47</xm:f>
          </x14:formula1>
          <xm:sqref>F24:F26 F30:F31 F169:F178 F52:F54 F33:F34 F38:F49</xm:sqref>
        </x14:dataValidation>
        <x14:dataValidation type="list" allowBlank="1" showInputMessage="1" showErrorMessage="1" xr:uid="{00000000-0002-0000-0100-000011000000}">
          <x14:formula1>
            <xm:f>Listas!$H$2:$H$21</xm:f>
          </x14:formula1>
          <xm:sqref>H24:H26 H30:H31 H169:H178 H33:H34 H38:H49</xm:sqref>
        </x14:dataValidation>
        <x14:dataValidation type="list" allowBlank="1" showInputMessage="1" showErrorMessage="1" xr:uid="{00000000-0002-0000-0100-000012000000}">
          <x14:formula1>
            <xm:f>Listas!$D$2:$D$7</xm:f>
          </x14:formula1>
          <xm:sqref>E176:E178 E30:E31 E25:E26 E46:E49 E169:E172 E174 E34 E38:E41</xm:sqref>
        </x14:dataValidation>
        <x14:dataValidation type="list" allowBlank="1" showInputMessage="1" showErrorMessage="1" xr:uid="{00000000-0002-0000-0100-000014000000}">
          <x14:formula1>
            <xm:f>Listas!$B$2:$B$5</xm:f>
          </x14:formula1>
          <xm:sqref>C146:C147 C43 C162:C164 C158:C159 C170 C166:C167 C133:C134 C32:C33 C140:C141 C38:C40</xm:sqref>
        </x14:dataValidation>
        <x14:dataValidation type="list" allowBlank="1" showInputMessage="1" showErrorMessage="1" xr:uid="{00000000-0002-0000-0100-000016000000}">
          <x14:formula1>
            <xm:f>Listas!$I$2:$I$4</xm:f>
          </x14:formula1>
          <xm:sqref>I15:I27 I30:I31 I184:I1048576 I52:I57 I86:I89 I111:I119 I169:I179 I33:I34 I38:I49</xm:sqref>
        </x14:dataValidation>
        <x14:dataValidation type="list" allowBlank="1" showInputMessage="1" showErrorMessage="1" xr:uid="{00000000-0002-0000-0100-000017000000}">
          <x14:formula1>
            <xm:f>Listas!$L$2:$L$26</xm:f>
          </x14:formula1>
          <xm:sqref>L33:L34 L38:L51</xm:sqref>
        </x14:dataValidation>
        <x14:dataValidation type="list" allowBlank="1" showInputMessage="1" showErrorMessage="1" xr:uid="{97B7AF60-EE79-4557-BB01-BDF7463253DB}">
          <x14:formula1>
            <xm:f>Listas!$Q$2:$Q$46</xm:f>
          </x14:formula1>
          <xm:sqref>W184:W1048576 W32:W34 W1:W30 W39 W41:W95 W97:W179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92E23-F382-4840-8B71-48F3F9021DBD}">
  <dimension ref="A1:N120"/>
  <sheetViews>
    <sheetView showGridLines="0" topLeftCell="A6" zoomScale="50" zoomScaleNormal="50" workbookViewId="0">
      <pane xSplit="3" ySplit="2" topLeftCell="D8" activePane="bottomRight" state="frozen"/>
      <selection pane="topRight"/>
      <selection pane="bottomLeft"/>
      <selection pane="bottomRight" activeCell="J73" sqref="J73"/>
    </sheetView>
  </sheetViews>
  <sheetFormatPr baseColWidth="10" defaultColWidth="11.42578125" defaultRowHeight="18.75" x14ac:dyDescent="0.3"/>
  <cols>
    <col min="1" max="1" width="3.140625" style="260" customWidth="1"/>
    <col min="2" max="2" width="17.140625" style="261" customWidth="1"/>
    <col min="3" max="3" width="50.85546875" style="262" customWidth="1"/>
    <col min="4" max="4" width="66" style="262" customWidth="1"/>
    <col min="5" max="5" width="14.42578125" style="261" bestFit="1" customWidth="1"/>
    <col min="6" max="6" width="53.7109375" style="262" customWidth="1"/>
    <col min="7" max="7" width="25.42578125" style="261" customWidth="1"/>
    <col min="8" max="8" width="16.42578125" style="261" bestFit="1" customWidth="1"/>
    <col min="9" max="9" width="26.28515625" style="261" customWidth="1"/>
    <col min="10" max="10" width="22.42578125" style="325" bestFit="1" customWidth="1"/>
    <col min="11" max="12" width="16.28515625" style="261" bestFit="1" customWidth="1"/>
    <col min="13" max="14" width="16.42578125" style="261" bestFit="1" customWidth="1"/>
    <col min="15" max="16384" width="11.42578125" style="261"/>
  </cols>
  <sheetData>
    <row r="1" spans="1:14" ht="39.75" customHeight="1" x14ac:dyDescent="0.3">
      <c r="J1"/>
    </row>
    <row r="2" spans="1:14" customFormat="1" ht="27" customHeight="1" x14ac:dyDescent="0.3">
      <c r="A2" s="260"/>
      <c r="B2" s="791"/>
      <c r="C2" s="792" t="s">
        <v>1731</v>
      </c>
      <c r="D2" s="793"/>
      <c r="E2" s="793"/>
      <c r="F2" s="793"/>
      <c r="G2" s="793"/>
      <c r="H2" s="793"/>
      <c r="I2" s="793"/>
      <c r="J2" s="793"/>
    </row>
    <row r="3" spans="1:14" customFormat="1" ht="27" customHeight="1" x14ac:dyDescent="0.3">
      <c r="A3" s="260"/>
      <c r="B3" s="791"/>
      <c r="C3" s="792"/>
      <c r="D3" s="793"/>
      <c r="E3" s="793"/>
      <c r="F3" s="793"/>
      <c r="G3" s="793"/>
      <c r="H3" s="793"/>
      <c r="I3" s="793"/>
      <c r="J3" s="793"/>
    </row>
    <row r="4" spans="1:14" customFormat="1" ht="27" customHeight="1" x14ac:dyDescent="0.3">
      <c r="A4" s="260"/>
      <c r="B4" s="791"/>
      <c r="C4" s="792"/>
      <c r="D4" s="793"/>
      <c r="E4" s="793"/>
      <c r="F4" s="793"/>
      <c r="G4" s="793"/>
      <c r="H4" s="793"/>
      <c r="I4" s="793"/>
      <c r="J4" s="793"/>
    </row>
    <row r="5" spans="1:14" customFormat="1" ht="27" customHeight="1" x14ac:dyDescent="0.3">
      <c r="A5" s="260"/>
      <c r="B5" s="791"/>
      <c r="C5" s="792"/>
      <c r="D5" s="793"/>
      <c r="E5" s="793"/>
      <c r="F5" s="793"/>
      <c r="G5" s="793"/>
      <c r="H5" s="793"/>
      <c r="I5" s="793"/>
      <c r="J5" s="793"/>
    </row>
    <row r="6" spans="1:14" x14ac:dyDescent="0.3">
      <c r="J6"/>
    </row>
    <row r="7" spans="1:14" ht="52.5" customHeight="1" x14ac:dyDescent="0.3">
      <c r="B7" s="264" t="s">
        <v>1732</v>
      </c>
      <c r="C7" s="264" t="s">
        <v>1733</v>
      </c>
      <c r="D7" s="264" t="s">
        <v>1734</v>
      </c>
      <c r="E7" s="264" t="s">
        <v>1735</v>
      </c>
      <c r="F7" s="264" t="s">
        <v>1736</v>
      </c>
      <c r="G7" s="264" t="s">
        <v>1737</v>
      </c>
      <c r="H7" s="264" t="s">
        <v>1738</v>
      </c>
      <c r="I7" s="264" t="s">
        <v>1739</v>
      </c>
      <c r="J7" s="264" t="s">
        <v>1740</v>
      </c>
      <c r="K7" s="264" t="s">
        <v>1741</v>
      </c>
      <c r="L7" s="264" t="s">
        <v>1742</v>
      </c>
      <c r="M7" s="265" t="s">
        <v>1743</v>
      </c>
      <c r="N7" s="265" t="s">
        <v>1744</v>
      </c>
    </row>
    <row r="8" spans="1:14" ht="58.5" x14ac:dyDescent="0.3">
      <c r="A8" s="266"/>
      <c r="B8" s="267">
        <v>7564</v>
      </c>
      <c r="C8" s="268" t="s">
        <v>27</v>
      </c>
      <c r="D8" s="268" t="s">
        <v>1745</v>
      </c>
      <c r="E8" s="269">
        <v>1</v>
      </c>
      <c r="F8" s="268" t="s">
        <v>1746</v>
      </c>
      <c r="G8" s="267" t="s">
        <v>1747</v>
      </c>
      <c r="H8" s="267" t="s">
        <v>60</v>
      </c>
      <c r="I8" s="270">
        <v>1</v>
      </c>
      <c r="J8" s="271" t="s">
        <v>1748</v>
      </c>
      <c r="K8" s="272">
        <v>0.12520000000000001</v>
      </c>
      <c r="L8" s="273">
        <v>0.23</v>
      </c>
      <c r="M8" s="273" t="s">
        <v>1749</v>
      </c>
      <c r="N8" s="278" t="s">
        <v>1750</v>
      </c>
    </row>
    <row r="9" spans="1:14" ht="44.25" x14ac:dyDescent="0.3">
      <c r="B9" s="274">
        <v>7564</v>
      </c>
      <c r="C9" s="275" t="s">
        <v>27</v>
      </c>
      <c r="D9" s="275" t="s">
        <v>1745</v>
      </c>
      <c r="E9" s="276">
        <v>2</v>
      </c>
      <c r="F9" s="275" t="s">
        <v>1751</v>
      </c>
      <c r="G9" s="274" t="s">
        <v>1747</v>
      </c>
      <c r="H9" s="274" t="s">
        <v>60</v>
      </c>
      <c r="I9" s="277">
        <v>1</v>
      </c>
      <c r="J9" s="278">
        <v>0.85</v>
      </c>
      <c r="K9" s="279">
        <v>0.88</v>
      </c>
      <c r="L9" s="279">
        <v>0.85499999999999998</v>
      </c>
      <c r="M9" s="279" t="s">
        <v>1752</v>
      </c>
      <c r="N9" s="279" t="s">
        <v>1753</v>
      </c>
    </row>
    <row r="10" spans="1:14" ht="50.1" customHeight="1" x14ac:dyDescent="0.3">
      <c r="B10" s="267">
        <v>7565</v>
      </c>
      <c r="C10" s="268" t="s">
        <v>71</v>
      </c>
      <c r="D10" s="268" t="s">
        <v>1754</v>
      </c>
      <c r="E10" s="269">
        <v>1</v>
      </c>
      <c r="F10" s="268" t="s">
        <v>1755</v>
      </c>
      <c r="G10" s="267" t="s">
        <v>1756</v>
      </c>
      <c r="H10" s="267" t="s">
        <v>45</v>
      </c>
      <c r="I10" s="270">
        <v>3</v>
      </c>
      <c r="J10" s="271">
        <v>1</v>
      </c>
      <c r="K10" s="280">
        <v>0</v>
      </c>
      <c r="L10" s="281">
        <v>0</v>
      </c>
      <c r="M10" s="281">
        <v>1</v>
      </c>
      <c r="N10" s="281">
        <v>1</v>
      </c>
    </row>
    <row r="11" spans="1:14" ht="50.1" customHeight="1" x14ac:dyDescent="0.3">
      <c r="B11" s="274">
        <v>7565</v>
      </c>
      <c r="C11" s="275" t="s">
        <v>71</v>
      </c>
      <c r="D11" s="275" t="s">
        <v>1754</v>
      </c>
      <c r="E11" s="276">
        <v>2</v>
      </c>
      <c r="F11" s="275" t="s">
        <v>1757</v>
      </c>
      <c r="G11" s="274" t="s">
        <v>1756</v>
      </c>
      <c r="H11" s="274" t="s">
        <v>45</v>
      </c>
      <c r="I11" s="282">
        <v>1</v>
      </c>
      <c r="J11" s="271" t="s">
        <v>1758</v>
      </c>
      <c r="K11" s="280">
        <v>0</v>
      </c>
      <c r="L11" s="281">
        <v>0</v>
      </c>
      <c r="M11" s="281">
        <v>0</v>
      </c>
      <c r="N11" s="281">
        <v>0</v>
      </c>
    </row>
    <row r="12" spans="1:14" ht="50.1" customHeight="1" x14ac:dyDescent="0.3">
      <c r="B12" s="267">
        <v>7565</v>
      </c>
      <c r="C12" s="268" t="s">
        <v>71</v>
      </c>
      <c r="D12" s="268" t="s">
        <v>1754</v>
      </c>
      <c r="E12" s="269">
        <v>3</v>
      </c>
      <c r="F12" s="268" t="s">
        <v>1759</v>
      </c>
      <c r="G12" s="267" t="s">
        <v>1756</v>
      </c>
      <c r="H12" s="267" t="s">
        <v>45</v>
      </c>
      <c r="I12" s="270">
        <v>6</v>
      </c>
      <c r="J12" s="271" t="s">
        <v>1758</v>
      </c>
      <c r="K12" s="280">
        <v>0</v>
      </c>
      <c r="L12" s="281">
        <v>0</v>
      </c>
      <c r="M12" s="281">
        <v>0</v>
      </c>
      <c r="N12" s="281">
        <v>0</v>
      </c>
    </row>
    <row r="13" spans="1:14" ht="50.1" customHeight="1" x14ac:dyDescent="0.3">
      <c r="B13" s="274">
        <v>7565</v>
      </c>
      <c r="C13" s="275" t="s">
        <v>71</v>
      </c>
      <c r="D13" s="275" t="s">
        <v>1754</v>
      </c>
      <c r="E13" s="276">
        <v>4</v>
      </c>
      <c r="F13" s="275" t="s">
        <v>1760</v>
      </c>
      <c r="G13" s="274" t="s">
        <v>1756</v>
      </c>
      <c r="H13" s="274" t="s">
        <v>45</v>
      </c>
      <c r="I13" s="282">
        <v>1</v>
      </c>
      <c r="J13" s="271" t="s">
        <v>1758</v>
      </c>
      <c r="K13" s="280">
        <v>0</v>
      </c>
      <c r="L13" s="281">
        <v>0</v>
      </c>
      <c r="M13" s="281">
        <v>0</v>
      </c>
      <c r="N13" s="281">
        <v>0</v>
      </c>
    </row>
    <row r="14" spans="1:14" ht="50.1" customHeight="1" x14ac:dyDescent="0.3">
      <c r="B14" s="267">
        <v>7565</v>
      </c>
      <c r="C14" s="268" t="s">
        <v>71</v>
      </c>
      <c r="D14" s="268" t="s">
        <v>1754</v>
      </c>
      <c r="E14" s="269">
        <v>5</v>
      </c>
      <c r="F14" s="268" t="s">
        <v>1761</v>
      </c>
      <c r="G14" s="267" t="s">
        <v>1756</v>
      </c>
      <c r="H14" s="267" t="s">
        <v>45</v>
      </c>
      <c r="I14" s="270">
        <v>6</v>
      </c>
      <c r="J14" s="271">
        <v>1</v>
      </c>
      <c r="K14" s="280">
        <v>0</v>
      </c>
      <c r="L14" s="281">
        <v>0</v>
      </c>
      <c r="M14" s="281">
        <v>0</v>
      </c>
      <c r="N14" s="281">
        <v>0</v>
      </c>
    </row>
    <row r="15" spans="1:14" ht="96" customHeight="1" x14ac:dyDescent="0.3">
      <c r="B15" s="274">
        <v>7565</v>
      </c>
      <c r="C15" s="275" t="s">
        <v>71</v>
      </c>
      <c r="D15" s="275" t="s">
        <v>1754</v>
      </c>
      <c r="E15" s="276">
        <v>6</v>
      </c>
      <c r="F15" s="275" t="s">
        <v>1762</v>
      </c>
      <c r="G15" s="274" t="s">
        <v>1756</v>
      </c>
      <c r="H15" s="283" t="s">
        <v>30</v>
      </c>
      <c r="I15" s="277">
        <v>1</v>
      </c>
      <c r="J15" s="278">
        <v>1</v>
      </c>
      <c r="K15" s="280">
        <v>0</v>
      </c>
      <c r="L15" s="281">
        <v>0</v>
      </c>
      <c r="M15" s="281">
        <v>0</v>
      </c>
      <c r="N15" s="285">
        <v>1</v>
      </c>
    </row>
    <row r="16" spans="1:14" ht="50.1" customHeight="1" x14ac:dyDescent="0.3">
      <c r="B16" s="267">
        <v>7565</v>
      </c>
      <c r="C16" s="268" t="s">
        <v>71</v>
      </c>
      <c r="D16" s="268" t="s">
        <v>1754</v>
      </c>
      <c r="E16" s="269">
        <v>7</v>
      </c>
      <c r="F16" s="268" t="s">
        <v>1763</v>
      </c>
      <c r="G16" s="267" t="s">
        <v>1756</v>
      </c>
      <c r="H16" s="267" t="s">
        <v>30</v>
      </c>
      <c r="I16" s="284">
        <v>0.6</v>
      </c>
      <c r="J16" s="278">
        <v>0.6</v>
      </c>
      <c r="K16" s="280">
        <v>0</v>
      </c>
      <c r="L16" s="281">
        <v>0</v>
      </c>
      <c r="M16" s="285" t="s">
        <v>1764</v>
      </c>
      <c r="N16" s="285" t="s">
        <v>1765</v>
      </c>
    </row>
    <row r="17" spans="2:14" ht="50.1" customHeight="1" x14ac:dyDescent="0.3">
      <c r="B17" s="274">
        <v>7565</v>
      </c>
      <c r="C17" s="275" t="s">
        <v>71</v>
      </c>
      <c r="D17" s="275" t="s">
        <v>1754</v>
      </c>
      <c r="E17" s="276">
        <v>8</v>
      </c>
      <c r="F17" s="275" t="s">
        <v>1766</v>
      </c>
      <c r="G17" s="274" t="s">
        <v>1756</v>
      </c>
      <c r="H17" s="274" t="s">
        <v>45</v>
      </c>
      <c r="I17" s="277">
        <v>1</v>
      </c>
      <c r="J17" s="278">
        <v>0.25</v>
      </c>
      <c r="K17" s="280">
        <v>0</v>
      </c>
      <c r="L17" s="285">
        <v>0.25</v>
      </c>
      <c r="M17" s="285" t="s">
        <v>1767</v>
      </c>
      <c r="N17" s="285" t="s">
        <v>1767</v>
      </c>
    </row>
    <row r="18" spans="2:14" ht="50.1" customHeight="1" x14ac:dyDescent="0.3">
      <c r="B18" s="267">
        <v>7565</v>
      </c>
      <c r="C18" s="268" t="s">
        <v>71</v>
      </c>
      <c r="D18" s="268" t="s">
        <v>1754</v>
      </c>
      <c r="E18" s="269">
        <v>9</v>
      </c>
      <c r="F18" s="268" t="s">
        <v>1768</v>
      </c>
      <c r="G18" s="267" t="s">
        <v>1756</v>
      </c>
      <c r="H18" s="267" t="s">
        <v>45</v>
      </c>
      <c r="I18" s="270">
        <v>10</v>
      </c>
      <c r="J18" s="271">
        <v>3</v>
      </c>
      <c r="K18" s="280">
        <v>0</v>
      </c>
      <c r="L18" s="281">
        <v>0</v>
      </c>
      <c r="M18" s="281">
        <v>2</v>
      </c>
      <c r="N18" s="281">
        <v>3</v>
      </c>
    </row>
    <row r="19" spans="2:14" ht="69.75" customHeight="1" x14ac:dyDescent="0.3">
      <c r="B19" s="274">
        <v>7565</v>
      </c>
      <c r="C19" s="275" t="s">
        <v>71</v>
      </c>
      <c r="D19" s="275" t="s">
        <v>1754</v>
      </c>
      <c r="E19" s="276">
        <v>11</v>
      </c>
      <c r="F19" s="275" t="s">
        <v>1769</v>
      </c>
      <c r="G19" s="274" t="s">
        <v>1756</v>
      </c>
      <c r="H19" s="274" t="s">
        <v>45</v>
      </c>
      <c r="I19" s="277">
        <v>1</v>
      </c>
      <c r="J19" s="278">
        <v>0.25</v>
      </c>
      <c r="K19" s="280">
        <v>0</v>
      </c>
      <c r="L19" s="281">
        <v>0</v>
      </c>
      <c r="M19" s="281" t="s">
        <v>1770</v>
      </c>
      <c r="N19" s="281" t="s">
        <v>1767</v>
      </c>
    </row>
    <row r="20" spans="2:14" ht="50.1" customHeight="1" x14ac:dyDescent="0.3">
      <c r="B20" s="267">
        <v>7565</v>
      </c>
      <c r="C20" s="268" t="s">
        <v>71</v>
      </c>
      <c r="D20" s="268" t="s">
        <v>1754</v>
      </c>
      <c r="E20" s="269">
        <v>12</v>
      </c>
      <c r="F20" s="268" t="s">
        <v>1771</v>
      </c>
      <c r="G20" s="267" t="s">
        <v>1756</v>
      </c>
      <c r="H20" s="267" t="s">
        <v>45</v>
      </c>
      <c r="I20" s="284">
        <v>1</v>
      </c>
      <c r="J20" s="278">
        <v>0.55000000000000004</v>
      </c>
      <c r="K20" s="280">
        <v>0</v>
      </c>
      <c r="L20" s="281">
        <v>0</v>
      </c>
      <c r="M20" s="281" t="s">
        <v>1770</v>
      </c>
      <c r="N20" s="281" t="s">
        <v>1772</v>
      </c>
    </row>
    <row r="21" spans="2:14" ht="50.1" customHeight="1" x14ac:dyDescent="0.3">
      <c r="B21" s="274">
        <v>7730</v>
      </c>
      <c r="C21" s="275" t="s">
        <v>56</v>
      </c>
      <c r="D21" s="275" t="s">
        <v>1773</v>
      </c>
      <c r="E21" s="276">
        <v>1</v>
      </c>
      <c r="F21" s="275" t="s">
        <v>1774</v>
      </c>
      <c r="G21" s="274" t="s">
        <v>1747</v>
      </c>
      <c r="H21" s="274" t="s">
        <v>45</v>
      </c>
      <c r="I21" s="282">
        <v>1</v>
      </c>
      <c r="J21" s="271" t="s">
        <v>1656</v>
      </c>
      <c r="K21" s="286">
        <v>2.8000000000000001E-2</v>
      </c>
      <c r="L21" s="287">
        <v>0.08</v>
      </c>
      <c r="M21" s="287" t="s">
        <v>1775</v>
      </c>
      <c r="N21" s="287" t="s">
        <v>1656</v>
      </c>
    </row>
    <row r="22" spans="2:14" ht="50.1" customHeight="1" x14ac:dyDescent="0.3">
      <c r="B22" s="267">
        <v>7730</v>
      </c>
      <c r="C22" s="268" t="s">
        <v>56</v>
      </c>
      <c r="D22" s="268" t="s">
        <v>1773</v>
      </c>
      <c r="E22" s="269">
        <v>2</v>
      </c>
      <c r="F22" s="268" t="s">
        <v>1776</v>
      </c>
      <c r="G22" s="267" t="s">
        <v>1777</v>
      </c>
      <c r="H22" s="267" t="s">
        <v>45</v>
      </c>
      <c r="I22" s="270">
        <v>16</v>
      </c>
      <c r="J22" s="271">
        <v>4</v>
      </c>
      <c r="K22" s="288">
        <v>0</v>
      </c>
      <c r="L22" s="289">
        <v>2</v>
      </c>
      <c r="M22" s="289">
        <v>2</v>
      </c>
      <c r="N22" s="289">
        <v>4</v>
      </c>
    </row>
    <row r="23" spans="2:14" ht="50.1" customHeight="1" x14ac:dyDescent="0.3">
      <c r="B23" s="274">
        <v>7730</v>
      </c>
      <c r="C23" s="275" t="s">
        <v>56</v>
      </c>
      <c r="D23" s="275" t="s">
        <v>1773</v>
      </c>
      <c r="E23" s="276">
        <v>3</v>
      </c>
      <c r="F23" s="275" t="s">
        <v>1778</v>
      </c>
      <c r="G23" s="274" t="s">
        <v>1747</v>
      </c>
      <c r="H23" s="274" t="s">
        <v>45</v>
      </c>
      <c r="I23" s="290">
        <v>65.150999999999996</v>
      </c>
      <c r="J23" s="271">
        <v>12270</v>
      </c>
      <c r="K23" s="271">
        <v>5716</v>
      </c>
      <c r="L23" s="271">
        <v>7023</v>
      </c>
      <c r="M23" s="714">
        <v>9259</v>
      </c>
      <c r="N23" s="714">
        <v>12270</v>
      </c>
    </row>
    <row r="24" spans="2:14" ht="50.1" customHeight="1" x14ac:dyDescent="0.3">
      <c r="B24" s="267">
        <v>7733</v>
      </c>
      <c r="C24" s="268" t="s">
        <v>70</v>
      </c>
      <c r="D24" s="268" t="s">
        <v>1779</v>
      </c>
      <c r="E24" s="269">
        <v>1</v>
      </c>
      <c r="F24" s="268" t="s">
        <v>1780</v>
      </c>
      <c r="G24" s="267" t="s">
        <v>1747</v>
      </c>
      <c r="H24" s="267" t="s">
        <v>60</v>
      </c>
      <c r="I24" s="291">
        <v>0.43</v>
      </c>
      <c r="J24" s="278">
        <v>0.25</v>
      </c>
      <c r="K24" s="292">
        <v>0.19600000000000001</v>
      </c>
      <c r="L24" s="293">
        <v>0.223</v>
      </c>
      <c r="M24" s="293" t="s">
        <v>1781</v>
      </c>
      <c r="N24" s="293" t="s">
        <v>1767</v>
      </c>
    </row>
    <row r="25" spans="2:14" ht="50.1" customHeight="1" x14ac:dyDescent="0.3">
      <c r="B25" s="274">
        <v>7733</v>
      </c>
      <c r="C25" s="275" t="s">
        <v>70</v>
      </c>
      <c r="D25" s="275" t="s">
        <v>1779</v>
      </c>
      <c r="E25" s="276">
        <v>2</v>
      </c>
      <c r="F25" s="275" t="s">
        <v>1782</v>
      </c>
      <c r="G25" s="274" t="s">
        <v>1747</v>
      </c>
      <c r="H25" s="274" t="s">
        <v>30</v>
      </c>
      <c r="I25" s="294">
        <v>1</v>
      </c>
      <c r="J25" s="278">
        <v>1</v>
      </c>
      <c r="K25" s="293">
        <v>0.1346</v>
      </c>
      <c r="L25" s="295">
        <v>0.4</v>
      </c>
      <c r="M25" s="295" t="s">
        <v>1783</v>
      </c>
      <c r="N25" s="295">
        <v>1</v>
      </c>
    </row>
    <row r="26" spans="2:14" ht="50.1" customHeight="1" x14ac:dyDescent="0.3">
      <c r="B26" s="267">
        <v>7733</v>
      </c>
      <c r="C26" s="268" t="s">
        <v>70</v>
      </c>
      <c r="D26" s="268" t="s">
        <v>1779</v>
      </c>
      <c r="E26" s="269">
        <v>3</v>
      </c>
      <c r="F26" s="268" t="s">
        <v>1784</v>
      </c>
      <c r="G26" s="267" t="s">
        <v>1747</v>
      </c>
      <c r="H26" s="267" t="s">
        <v>30</v>
      </c>
      <c r="I26" s="294">
        <v>1</v>
      </c>
      <c r="J26" s="278">
        <v>1</v>
      </c>
      <c r="K26" s="293">
        <v>0.20250000000000001</v>
      </c>
      <c r="L26" s="293">
        <v>0.41499999999999998</v>
      </c>
      <c r="M26" s="293" t="s">
        <v>1785</v>
      </c>
      <c r="N26" s="293">
        <v>1</v>
      </c>
    </row>
    <row r="27" spans="2:14" ht="50.1" customHeight="1" x14ac:dyDescent="0.3">
      <c r="B27" s="274">
        <v>7733</v>
      </c>
      <c r="C27" s="275" t="s">
        <v>70</v>
      </c>
      <c r="D27" s="275" t="s">
        <v>1779</v>
      </c>
      <c r="E27" s="276">
        <v>4</v>
      </c>
      <c r="F27" s="275" t="s">
        <v>1786</v>
      </c>
      <c r="G27" s="274" t="s">
        <v>1747</v>
      </c>
      <c r="H27" s="274" t="s">
        <v>30</v>
      </c>
      <c r="I27" s="294">
        <v>1</v>
      </c>
      <c r="J27" s="278">
        <v>1</v>
      </c>
      <c r="K27" s="293">
        <v>6.3799999999999996E-2</v>
      </c>
      <c r="L27" s="293">
        <v>0.31530000000000002</v>
      </c>
      <c r="M27" s="293" t="s">
        <v>1787</v>
      </c>
      <c r="N27" s="293">
        <v>1</v>
      </c>
    </row>
    <row r="28" spans="2:14" ht="50.1" customHeight="1" x14ac:dyDescent="0.3">
      <c r="B28" s="267">
        <v>7735</v>
      </c>
      <c r="C28" s="268" t="s">
        <v>83</v>
      </c>
      <c r="D28" s="268" t="s">
        <v>1788</v>
      </c>
      <c r="E28" s="269">
        <v>1</v>
      </c>
      <c r="F28" s="268" t="s">
        <v>1789</v>
      </c>
      <c r="G28" s="267" t="s">
        <v>1747</v>
      </c>
      <c r="H28" s="267" t="s">
        <v>45</v>
      </c>
      <c r="I28" s="270">
        <v>1</v>
      </c>
      <c r="J28" s="271" t="s">
        <v>1658</v>
      </c>
      <c r="K28" s="288" t="s">
        <v>1790</v>
      </c>
      <c r="L28" s="288" t="s">
        <v>1681</v>
      </c>
      <c r="M28" s="288" t="s">
        <v>1791</v>
      </c>
      <c r="N28" s="288" t="s">
        <v>1680</v>
      </c>
    </row>
    <row r="29" spans="2:14" ht="50.1" customHeight="1" x14ac:dyDescent="0.3">
      <c r="B29" s="274">
        <v>7735</v>
      </c>
      <c r="C29" s="275" t="s">
        <v>83</v>
      </c>
      <c r="D29" s="275" t="s">
        <v>1788</v>
      </c>
      <c r="E29" s="276">
        <v>2</v>
      </c>
      <c r="F29" s="275" t="s">
        <v>1792</v>
      </c>
      <c r="G29" s="274" t="s">
        <v>1793</v>
      </c>
      <c r="H29" s="274" t="s">
        <v>60</v>
      </c>
      <c r="I29" s="282">
        <v>100</v>
      </c>
      <c r="J29" s="271">
        <v>35</v>
      </c>
      <c r="K29" s="288">
        <v>35</v>
      </c>
      <c r="L29" s="288">
        <v>35</v>
      </c>
      <c r="M29" s="288">
        <v>35</v>
      </c>
      <c r="N29" s="288">
        <v>35</v>
      </c>
    </row>
    <row r="30" spans="2:14" ht="50.1" customHeight="1" x14ac:dyDescent="0.3">
      <c r="B30" s="267">
        <v>7735</v>
      </c>
      <c r="C30" s="268" t="s">
        <v>83</v>
      </c>
      <c r="D30" s="268" t="s">
        <v>1788</v>
      </c>
      <c r="E30" s="269">
        <v>3</v>
      </c>
      <c r="F30" s="268" t="s">
        <v>1794</v>
      </c>
      <c r="G30" s="267" t="s">
        <v>1747</v>
      </c>
      <c r="H30" s="267" t="s">
        <v>45</v>
      </c>
      <c r="I30" s="270">
        <v>1</v>
      </c>
      <c r="J30" s="271" t="s">
        <v>1658</v>
      </c>
      <c r="K30" s="288" t="s">
        <v>1795</v>
      </c>
      <c r="L30" s="288" t="s">
        <v>1796</v>
      </c>
      <c r="M30" s="288" t="s">
        <v>1797</v>
      </c>
      <c r="N30" s="288" t="s">
        <v>1680</v>
      </c>
    </row>
    <row r="31" spans="2:14" ht="50.1" customHeight="1" x14ac:dyDescent="0.3">
      <c r="B31" s="274">
        <v>7735</v>
      </c>
      <c r="C31" s="275" t="s">
        <v>83</v>
      </c>
      <c r="D31" s="275" t="s">
        <v>1788</v>
      </c>
      <c r="E31" s="276">
        <v>4</v>
      </c>
      <c r="F31" s="296" t="s">
        <v>1798</v>
      </c>
      <c r="G31" s="274" t="s">
        <v>1747</v>
      </c>
      <c r="H31" s="274" t="s">
        <v>45</v>
      </c>
      <c r="I31" s="282">
        <v>280000</v>
      </c>
      <c r="J31" s="288">
        <v>80586</v>
      </c>
      <c r="K31" s="288">
        <v>17394</v>
      </c>
      <c r="L31" s="288">
        <v>46689</v>
      </c>
      <c r="M31" s="288">
        <v>67149</v>
      </c>
      <c r="N31" s="288">
        <v>80586</v>
      </c>
    </row>
    <row r="32" spans="2:14" ht="70.5" customHeight="1" x14ac:dyDescent="0.3">
      <c r="B32" s="267">
        <v>7735</v>
      </c>
      <c r="C32" s="268" t="s">
        <v>83</v>
      </c>
      <c r="D32" s="268" t="s">
        <v>1788</v>
      </c>
      <c r="E32" s="269">
        <v>5</v>
      </c>
      <c r="F32" s="268" t="s">
        <v>1799</v>
      </c>
      <c r="G32" s="267" t="s">
        <v>1747</v>
      </c>
      <c r="H32" s="267" t="s">
        <v>30</v>
      </c>
      <c r="I32" s="270">
        <v>20</v>
      </c>
      <c r="J32" s="271">
        <v>20</v>
      </c>
      <c r="K32" s="288">
        <v>20</v>
      </c>
      <c r="L32" s="288">
        <v>20</v>
      </c>
      <c r="M32" s="288">
        <v>20</v>
      </c>
      <c r="N32" s="288">
        <v>20</v>
      </c>
    </row>
    <row r="33" spans="2:14" ht="50.1" customHeight="1" x14ac:dyDescent="0.3">
      <c r="B33" s="274">
        <v>7740</v>
      </c>
      <c r="C33" s="275" t="s">
        <v>95</v>
      </c>
      <c r="D33" s="275" t="s">
        <v>1800</v>
      </c>
      <c r="E33" s="276">
        <v>1</v>
      </c>
      <c r="F33" s="275" t="s">
        <v>1801</v>
      </c>
      <c r="G33" s="274" t="s">
        <v>1747</v>
      </c>
      <c r="H33" s="274" t="s">
        <v>45</v>
      </c>
      <c r="I33" s="282">
        <v>1</v>
      </c>
      <c r="J33" s="271" t="s">
        <v>1802</v>
      </c>
      <c r="K33" s="287" t="s">
        <v>1803</v>
      </c>
      <c r="L33" s="298" t="s">
        <v>1804</v>
      </c>
      <c r="M33" s="299" t="s">
        <v>1805</v>
      </c>
      <c r="N33" s="299" t="s">
        <v>1802</v>
      </c>
    </row>
    <row r="34" spans="2:14" ht="50.1" customHeight="1" x14ac:dyDescent="0.3">
      <c r="B34" s="267">
        <v>7740</v>
      </c>
      <c r="C34" s="268" t="s">
        <v>95</v>
      </c>
      <c r="D34" s="268" t="s">
        <v>1800</v>
      </c>
      <c r="E34" s="269">
        <v>2</v>
      </c>
      <c r="F34" s="268" t="s">
        <v>1806</v>
      </c>
      <c r="G34" s="267" t="s">
        <v>1747</v>
      </c>
      <c r="H34" s="267" t="s">
        <v>45</v>
      </c>
      <c r="I34" s="270">
        <v>1</v>
      </c>
      <c r="J34" s="271" t="s">
        <v>1802</v>
      </c>
      <c r="K34" s="288" t="s">
        <v>1807</v>
      </c>
      <c r="L34" s="288" t="s">
        <v>1804</v>
      </c>
      <c r="M34" s="300" t="s">
        <v>1808</v>
      </c>
      <c r="N34" s="300" t="s">
        <v>1802</v>
      </c>
    </row>
    <row r="35" spans="2:14" ht="50.1" customHeight="1" x14ac:dyDescent="0.3">
      <c r="B35" s="274">
        <v>7740</v>
      </c>
      <c r="C35" s="275" t="s">
        <v>95</v>
      </c>
      <c r="D35" s="275" t="s">
        <v>1800</v>
      </c>
      <c r="E35" s="276">
        <v>3</v>
      </c>
      <c r="F35" s="301" t="s">
        <v>1809</v>
      </c>
      <c r="G35" s="274" t="s">
        <v>1747</v>
      </c>
      <c r="H35" s="274" t="s">
        <v>45</v>
      </c>
      <c r="I35" s="282">
        <v>19720</v>
      </c>
      <c r="J35" s="271">
        <v>15918</v>
      </c>
      <c r="K35" s="288">
        <v>4035</v>
      </c>
      <c r="L35" s="288">
        <v>8998</v>
      </c>
      <c r="M35" s="288">
        <v>13910</v>
      </c>
      <c r="N35" s="288">
        <v>15918</v>
      </c>
    </row>
    <row r="36" spans="2:14" ht="50.1" customHeight="1" x14ac:dyDescent="0.3">
      <c r="B36" s="267">
        <v>7740</v>
      </c>
      <c r="C36" s="268" t="s">
        <v>95</v>
      </c>
      <c r="D36" s="268" t="s">
        <v>1800</v>
      </c>
      <c r="E36" s="269">
        <v>4</v>
      </c>
      <c r="F36" s="268" t="s">
        <v>1810</v>
      </c>
      <c r="G36" s="267" t="s">
        <v>1747</v>
      </c>
      <c r="H36" s="267" t="s">
        <v>45</v>
      </c>
      <c r="I36" s="284">
        <v>1</v>
      </c>
      <c r="J36" s="271" t="s">
        <v>1811</v>
      </c>
      <c r="K36" s="293" t="s">
        <v>1812</v>
      </c>
      <c r="L36" s="293" t="s">
        <v>1813</v>
      </c>
      <c r="M36" s="293" t="s">
        <v>1814</v>
      </c>
      <c r="N36" s="293" t="s">
        <v>1815</v>
      </c>
    </row>
    <row r="37" spans="2:14" ht="50.1" customHeight="1" x14ac:dyDescent="0.3">
      <c r="B37" s="274">
        <v>7740</v>
      </c>
      <c r="C37" s="275" t="s">
        <v>95</v>
      </c>
      <c r="D37" s="275" t="s">
        <v>1800</v>
      </c>
      <c r="E37" s="276">
        <v>5</v>
      </c>
      <c r="F37" s="275" t="s">
        <v>1816</v>
      </c>
      <c r="G37" s="274" t="s">
        <v>1747</v>
      </c>
      <c r="H37" s="274" t="s">
        <v>30</v>
      </c>
      <c r="I37" s="302">
        <v>1</v>
      </c>
      <c r="J37" s="278">
        <v>1</v>
      </c>
      <c r="K37" s="295">
        <v>1</v>
      </c>
      <c r="L37" s="295">
        <v>1</v>
      </c>
      <c r="M37" s="295">
        <v>1</v>
      </c>
      <c r="N37" s="295">
        <v>1</v>
      </c>
    </row>
    <row r="38" spans="2:14" ht="50.1" customHeight="1" x14ac:dyDescent="0.3">
      <c r="B38" s="267">
        <v>7741</v>
      </c>
      <c r="C38" s="268" t="s">
        <v>106</v>
      </c>
      <c r="D38" s="268" t="s">
        <v>1817</v>
      </c>
      <c r="E38" s="269">
        <v>1</v>
      </c>
      <c r="F38" s="268" t="s">
        <v>1818</v>
      </c>
      <c r="G38" s="267" t="s">
        <v>1747</v>
      </c>
      <c r="H38" s="267" t="s">
        <v>30</v>
      </c>
      <c r="I38" s="303">
        <v>1</v>
      </c>
      <c r="J38" s="278">
        <v>1</v>
      </c>
      <c r="K38" s="304" t="s">
        <v>1819</v>
      </c>
      <c r="L38" s="305">
        <v>0.49980000000000002</v>
      </c>
      <c r="M38" s="305" t="s">
        <v>1820</v>
      </c>
      <c r="N38" s="295">
        <v>1</v>
      </c>
    </row>
    <row r="39" spans="2:14" ht="50.1" customHeight="1" x14ac:dyDescent="0.3">
      <c r="B39" s="274">
        <v>7741</v>
      </c>
      <c r="C39" s="275" t="s">
        <v>106</v>
      </c>
      <c r="D39" s="275" t="s">
        <v>1817</v>
      </c>
      <c r="E39" s="276">
        <v>2</v>
      </c>
      <c r="F39" s="275" t="s">
        <v>1821</v>
      </c>
      <c r="G39" s="274" t="s">
        <v>1747</v>
      </c>
      <c r="H39" s="274" t="s">
        <v>30</v>
      </c>
      <c r="I39" s="302">
        <v>1</v>
      </c>
      <c r="J39" s="278">
        <v>1</v>
      </c>
      <c r="K39" s="305">
        <v>0.24990000000000001</v>
      </c>
      <c r="L39" s="305" t="s">
        <v>1822</v>
      </c>
      <c r="M39" s="305" t="s">
        <v>1820</v>
      </c>
      <c r="N39" s="295">
        <v>1</v>
      </c>
    </row>
    <row r="40" spans="2:14" ht="50.1" customHeight="1" x14ac:dyDescent="0.3">
      <c r="B40" s="267">
        <v>7741</v>
      </c>
      <c r="C40" s="268" t="s">
        <v>106</v>
      </c>
      <c r="D40" s="268" t="s">
        <v>1817</v>
      </c>
      <c r="E40" s="269">
        <v>3</v>
      </c>
      <c r="F40" s="268" t="s">
        <v>1823</v>
      </c>
      <c r="G40" s="267" t="s">
        <v>1747</v>
      </c>
      <c r="H40" s="267" t="s">
        <v>60</v>
      </c>
      <c r="I40" s="270">
        <v>1</v>
      </c>
      <c r="J40" s="271" t="s">
        <v>1824</v>
      </c>
      <c r="K40" s="306" t="s">
        <v>1825</v>
      </c>
      <c r="L40" s="306" t="s">
        <v>1465</v>
      </c>
      <c r="M40" s="306" t="s">
        <v>1826</v>
      </c>
      <c r="N40" s="306" t="s">
        <v>1824</v>
      </c>
    </row>
    <row r="41" spans="2:14" ht="50.1" customHeight="1" x14ac:dyDescent="0.3">
      <c r="B41" s="274">
        <v>7741</v>
      </c>
      <c r="C41" s="275" t="s">
        <v>106</v>
      </c>
      <c r="D41" s="275" t="s">
        <v>1817</v>
      </c>
      <c r="E41" s="276">
        <v>4</v>
      </c>
      <c r="F41" s="275" t="s">
        <v>1827</v>
      </c>
      <c r="G41" s="274" t="s">
        <v>1747</v>
      </c>
      <c r="H41" s="274" t="s">
        <v>60</v>
      </c>
      <c r="I41" s="282">
        <v>1</v>
      </c>
      <c r="J41" s="271" t="s">
        <v>1389</v>
      </c>
      <c r="K41" s="306" t="s">
        <v>1828</v>
      </c>
      <c r="L41" s="306" t="s">
        <v>1829</v>
      </c>
      <c r="M41" s="306" t="s">
        <v>1830</v>
      </c>
      <c r="N41" s="306" t="s">
        <v>1389</v>
      </c>
    </row>
    <row r="42" spans="2:14" ht="50.1" customHeight="1" x14ac:dyDescent="0.3">
      <c r="B42" s="267">
        <v>7741</v>
      </c>
      <c r="C42" s="268" t="s">
        <v>106</v>
      </c>
      <c r="D42" s="268" t="s">
        <v>1817</v>
      </c>
      <c r="E42" s="269">
        <v>5</v>
      </c>
      <c r="F42" s="268" t="s">
        <v>1831</v>
      </c>
      <c r="G42" s="267" t="s">
        <v>1747</v>
      </c>
      <c r="H42" s="267" t="s">
        <v>30</v>
      </c>
      <c r="I42" s="303">
        <v>1</v>
      </c>
      <c r="J42" s="278">
        <v>1</v>
      </c>
      <c r="K42" s="305" t="s">
        <v>1832</v>
      </c>
      <c r="L42" s="307" t="s">
        <v>1833</v>
      </c>
      <c r="M42" s="307" t="s">
        <v>1834</v>
      </c>
      <c r="N42" s="307">
        <v>1</v>
      </c>
    </row>
    <row r="43" spans="2:14" ht="50.1" customHeight="1" x14ac:dyDescent="0.3">
      <c r="B43" s="274">
        <v>7741</v>
      </c>
      <c r="C43" s="275" t="s">
        <v>106</v>
      </c>
      <c r="D43" s="275" t="s">
        <v>1817</v>
      </c>
      <c r="E43" s="276">
        <v>6</v>
      </c>
      <c r="F43" s="275" t="s">
        <v>1835</v>
      </c>
      <c r="G43" s="274" t="s">
        <v>1777</v>
      </c>
      <c r="H43" s="274" t="s">
        <v>30</v>
      </c>
      <c r="I43" s="302">
        <v>1</v>
      </c>
      <c r="J43" s="278">
        <v>1</v>
      </c>
      <c r="K43" s="308">
        <v>0.25</v>
      </c>
      <c r="L43" s="308">
        <v>0.5</v>
      </c>
      <c r="M43" s="308" t="s">
        <v>1836</v>
      </c>
      <c r="N43" s="308">
        <v>1</v>
      </c>
    </row>
    <row r="44" spans="2:14" ht="50.1" customHeight="1" x14ac:dyDescent="0.3">
      <c r="B44" s="267">
        <v>7741</v>
      </c>
      <c r="C44" s="268" t="s">
        <v>106</v>
      </c>
      <c r="D44" s="268" t="s">
        <v>1817</v>
      </c>
      <c r="E44" s="269">
        <v>7</v>
      </c>
      <c r="F44" s="268" t="s">
        <v>1837</v>
      </c>
      <c r="G44" s="267" t="s">
        <v>1747</v>
      </c>
      <c r="H44" s="267" t="s">
        <v>45</v>
      </c>
      <c r="I44" s="270">
        <v>9</v>
      </c>
      <c r="J44" s="271">
        <v>2</v>
      </c>
      <c r="K44" s="306">
        <v>1</v>
      </c>
      <c r="L44" s="306">
        <v>2</v>
      </c>
      <c r="M44" s="306">
        <v>1</v>
      </c>
      <c r="N44" s="306">
        <v>2</v>
      </c>
    </row>
    <row r="45" spans="2:14" ht="50.1" customHeight="1" x14ac:dyDescent="0.3">
      <c r="B45" s="274">
        <v>7741</v>
      </c>
      <c r="C45" s="275" t="s">
        <v>106</v>
      </c>
      <c r="D45" s="275" t="s">
        <v>1817</v>
      </c>
      <c r="E45" s="276">
        <v>8</v>
      </c>
      <c r="F45" s="275" t="s">
        <v>1838</v>
      </c>
      <c r="G45" s="274" t="s">
        <v>1747</v>
      </c>
      <c r="H45" s="274" t="s">
        <v>30</v>
      </c>
      <c r="I45" s="302">
        <v>1</v>
      </c>
      <c r="J45" s="278">
        <v>1</v>
      </c>
      <c r="K45" s="305">
        <v>0.29499999999999998</v>
      </c>
      <c r="L45" s="308">
        <v>0.49</v>
      </c>
      <c r="M45" s="308" t="s">
        <v>1839</v>
      </c>
      <c r="N45" s="308" t="s">
        <v>1840</v>
      </c>
    </row>
    <row r="46" spans="2:14" ht="117.75" customHeight="1" x14ac:dyDescent="0.3">
      <c r="B46" s="716">
        <v>7744</v>
      </c>
      <c r="C46" s="717" t="s">
        <v>337</v>
      </c>
      <c r="D46" s="717" t="s">
        <v>1841</v>
      </c>
      <c r="E46" s="718">
        <v>1</v>
      </c>
      <c r="F46" s="717" t="s">
        <v>1842</v>
      </c>
      <c r="G46" s="716" t="s">
        <v>1747</v>
      </c>
      <c r="H46" s="716" t="s">
        <v>60</v>
      </c>
      <c r="I46" s="719">
        <v>1</v>
      </c>
      <c r="J46" s="271" t="s">
        <v>1843</v>
      </c>
      <c r="K46" s="715" t="s">
        <v>1844</v>
      </c>
      <c r="L46" s="309" t="s">
        <v>1845</v>
      </c>
      <c r="M46" s="309" t="s">
        <v>1846</v>
      </c>
      <c r="N46" s="309" t="s">
        <v>1843</v>
      </c>
    </row>
    <row r="47" spans="2:14" ht="117.75" customHeight="1" x14ac:dyDescent="0.3">
      <c r="B47" s="716">
        <v>7744</v>
      </c>
      <c r="C47" s="717" t="s">
        <v>337</v>
      </c>
      <c r="D47" s="717" t="s">
        <v>1841</v>
      </c>
      <c r="E47" s="718">
        <v>2</v>
      </c>
      <c r="F47" s="717" t="s">
        <v>1847</v>
      </c>
      <c r="G47" s="716" t="s">
        <v>1747</v>
      </c>
      <c r="H47" s="716" t="s">
        <v>30</v>
      </c>
      <c r="I47" s="719">
        <v>71000</v>
      </c>
      <c r="J47" s="271">
        <v>71000</v>
      </c>
      <c r="K47" s="288">
        <v>26401</v>
      </c>
      <c r="L47" s="288">
        <v>62381</v>
      </c>
      <c r="M47" s="288">
        <v>74410</v>
      </c>
      <c r="N47" s="288">
        <v>81365</v>
      </c>
    </row>
    <row r="48" spans="2:14" ht="83.25" customHeight="1" x14ac:dyDescent="0.3">
      <c r="B48" s="716">
        <v>7744</v>
      </c>
      <c r="C48" s="717" t="s">
        <v>337</v>
      </c>
      <c r="D48" s="717" t="s">
        <v>1841</v>
      </c>
      <c r="E48" s="718">
        <v>3</v>
      </c>
      <c r="F48" s="717" t="s">
        <v>1848</v>
      </c>
      <c r="G48" s="716" t="s">
        <v>1747</v>
      </c>
      <c r="H48" s="716" t="s">
        <v>60</v>
      </c>
      <c r="I48" s="719">
        <v>18500</v>
      </c>
      <c r="J48" s="271">
        <v>15880</v>
      </c>
      <c r="K48" s="311">
        <v>12337</v>
      </c>
      <c r="L48" s="311">
        <v>13583</v>
      </c>
      <c r="M48" s="311">
        <v>14327</v>
      </c>
      <c r="N48" s="311">
        <v>15880</v>
      </c>
    </row>
    <row r="49" spans="2:14" ht="80.25" customHeight="1" x14ac:dyDescent="0.3">
      <c r="B49" s="274">
        <v>7744</v>
      </c>
      <c r="C49" s="717" t="s">
        <v>337</v>
      </c>
      <c r="D49" s="717" t="s">
        <v>1841</v>
      </c>
      <c r="E49" s="718">
        <v>4</v>
      </c>
      <c r="F49" s="717" t="s">
        <v>1849</v>
      </c>
      <c r="G49" s="274" t="s">
        <v>1747</v>
      </c>
      <c r="H49" s="274" t="s">
        <v>60</v>
      </c>
      <c r="I49" s="282">
        <v>1</v>
      </c>
      <c r="J49" s="271" t="s">
        <v>1667</v>
      </c>
      <c r="K49" s="312" t="s">
        <v>1797</v>
      </c>
      <c r="L49" s="309" t="s">
        <v>1802</v>
      </c>
      <c r="M49" s="309" t="s">
        <v>1850</v>
      </c>
      <c r="N49" s="309" t="s">
        <v>1851</v>
      </c>
    </row>
    <row r="50" spans="2:14" ht="75.75" customHeight="1" x14ac:dyDescent="0.3">
      <c r="B50" s="274">
        <v>7744</v>
      </c>
      <c r="C50" s="717" t="s">
        <v>337</v>
      </c>
      <c r="D50" s="717" t="s">
        <v>1841</v>
      </c>
      <c r="E50" s="276">
        <v>5</v>
      </c>
      <c r="F50" s="717" t="s">
        <v>1852</v>
      </c>
      <c r="G50" s="274" t="s">
        <v>1747</v>
      </c>
      <c r="H50" s="274" t="s">
        <v>60</v>
      </c>
      <c r="I50" s="282">
        <v>15000</v>
      </c>
      <c r="J50" s="271">
        <v>14499</v>
      </c>
      <c r="K50" s="310">
        <v>10918</v>
      </c>
      <c r="L50" s="311">
        <v>12794</v>
      </c>
      <c r="M50" s="311">
        <v>13592</v>
      </c>
      <c r="N50" s="311">
        <v>14499</v>
      </c>
    </row>
    <row r="51" spans="2:14" ht="72" customHeight="1" x14ac:dyDescent="0.3">
      <c r="B51" s="274">
        <v>7744</v>
      </c>
      <c r="C51" s="717" t="s">
        <v>337</v>
      </c>
      <c r="D51" s="717" t="s">
        <v>1841</v>
      </c>
      <c r="E51" s="718">
        <v>6</v>
      </c>
      <c r="F51" s="717" t="s">
        <v>1853</v>
      </c>
      <c r="G51" s="274" t="s">
        <v>1747</v>
      </c>
      <c r="H51" s="274" t="s">
        <v>60</v>
      </c>
      <c r="I51" s="282">
        <v>8300</v>
      </c>
      <c r="J51" s="271">
        <v>4696</v>
      </c>
      <c r="K51" s="311">
        <v>3248</v>
      </c>
      <c r="L51" s="311">
        <v>3966</v>
      </c>
      <c r="M51" s="311">
        <v>4440</v>
      </c>
      <c r="N51" s="311">
        <v>4696</v>
      </c>
    </row>
    <row r="52" spans="2:14" ht="50.1" customHeight="1" x14ac:dyDescent="0.3">
      <c r="B52" s="274">
        <v>7745</v>
      </c>
      <c r="C52" s="275" t="s">
        <v>128</v>
      </c>
      <c r="D52" s="275" t="s">
        <v>1854</v>
      </c>
      <c r="E52" s="276">
        <v>1</v>
      </c>
      <c r="F52" s="275" t="s">
        <v>1855</v>
      </c>
      <c r="G52" s="275" t="s">
        <v>1856</v>
      </c>
      <c r="H52" s="274" t="s">
        <v>45</v>
      </c>
      <c r="I52" s="282">
        <v>4500</v>
      </c>
      <c r="J52" s="271">
        <v>1500</v>
      </c>
      <c r="K52" s="287">
        <v>22</v>
      </c>
      <c r="L52" s="287">
        <v>22</v>
      </c>
      <c r="M52" s="287">
        <v>27</v>
      </c>
      <c r="N52" s="287">
        <v>26</v>
      </c>
    </row>
    <row r="53" spans="2:14" ht="50.1" customHeight="1" x14ac:dyDescent="0.3">
      <c r="B53" s="274">
        <v>7745</v>
      </c>
      <c r="C53" s="275" t="s">
        <v>128</v>
      </c>
      <c r="D53" s="275" t="s">
        <v>1854</v>
      </c>
      <c r="E53" s="276">
        <v>2</v>
      </c>
      <c r="F53" s="275" t="s">
        <v>1857</v>
      </c>
      <c r="G53" s="274" t="s">
        <v>1747</v>
      </c>
      <c r="H53" s="274" t="s">
        <v>30</v>
      </c>
      <c r="I53" s="277">
        <v>1</v>
      </c>
      <c r="J53" s="278">
        <v>1</v>
      </c>
      <c r="K53" s="293">
        <v>0.9849</v>
      </c>
      <c r="L53" s="293">
        <v>0.99199999999999999</v>
      </c>
      <c r="M53" s="293" t="s">
        <v>1858</v>
      </c>
      <c r="N53" s="293" t="s">
        <v>1859</v>
      </c>
    </row>
    <row r="54" spans="2:14" ht="50.1" customHeight="1" x14ac:dyDescent="0.3">
      <c r="B54" s="274">
        <v>7745</v>
      </c>
      <c r="C54" s="275" t="s">
        <v>128</v>
      </c>
      <c r="D54" s="275" t="s">
        <v>1854</v>
      </c>
      <c r="E54" s="276">
        <v>3</v>
      </c>
      <c r="F54" s="275" t="s">
        <v>1860</v>
      </c>
      <c r="G54" s="274" t="s">
        <v>1747</v>
      </c>
      <c r="H54" s="274" t="s">
        <v>60</v>
      </c>
      <c r="I54" s="282">
        <v>2</v>
      </c>
      <c r="J54" s="278">
        <v>0</v>
      </c>
      <c r="K54" s="288">
        <v>0</v>
      </c>
      <c r="L54" s="288">
        <v>0</v>
      </c>
      <c r="M54" s="288">
        <v>0</v>
      </c>
      <c r="N54" s="288">
        <v>0</v>
      </c>
    </row>
    <row r="55" spans="2:14" ht="58.5" x14ac:dyDescent="0.3">
      <c r="B55" s="274">
        <v>7745</v>
      </c>
      <c r="C55" s="275" t="s">
        <v>128</v>
      </c>
      <c r="D55" s="275" t="s">
        <v>1854</v>
      </c>
      <c r="E55" s="276">
        <v>4</v>
      </c>
      <c r="F55" s="275" t="s">
        <v>1861</v>
      </c>
      <c r="G55" s="274" t="s">
        <v>1747</v>
      </c>
      <c r="H55" s="274" t="s">
        <v>30</v>
      </c>
      <c r="I55" s="302">
        <v>1</v>
      </c>
      <c r="J55" s="278">
        <v>1</v>
      </c>
      <c r="K55" s="293">
        <v>0.9748</v>
      </c>
      <c r="L55" s="293">
        <v>0.97</v>
      </c>
      <c r="M55" s="293" t="s">
        <v>1862</v>
      </c>
      <c r="N55" s="293" t="s">
        <v>1863</v>
      </c>
    </row>
    <row r="56" spans="2:14" ht="50.1" customHeight="1" x14ac:dyDescent="0.3">
      <c r="B56" s="274">
        <v>7745</v>
      </c>
      <c r="C56" s="275" t="s">
        <v>128</v>
      </c>
      <c r="D56" s="275" t="s">
        <v>1854</v>
      </c>
      <c r="E56" s="276">
        <v>5</v>
      </c>
      <c r="F56" s="275" t="s">
        <v>1864</v>
      </c>
      <c r="G56" s="275" t="s">
        <v>1856</v>
      </c>
      <c r="H56" s="274" t="s">
        <v>30</v>
      </c>
      <c r="I56" s="302">
        <v>1</v>
      </c>
      <c r="J56" s="278">
        <v>1</v>
      </c>
      <c r="K56" s="293">
        <v>0</v>
      </c>
      <c r="L56" s="293">
        <v>0</v>
      </c>
      <c r="M56" s="293" t="s">
        <v>1770</v>
      </c>
      <c r="N56" s="293">
        <v>0</v>
      </c>
    </row>
    <row r="57" spans="2:14" ht="89.25" customHeight="1" x14ac:dyDescent="0.3">
      <c r="B57" s="274">
        <v>7745</v>
      </c>
      <c r="C57" s="275" t="s">
        <v>128</v>
      </c>
      <c r="D57" s="275" t="s">
        <v>1854</v>
      </c>
      <c r="E57" s="276">
        <v>6</v>
      </c>
      <c r="F57" s="275" t="s">
        <v>1865</v>
      </c>
      <c r="G57" s="274" t="s">
        <v>1747</v>
      </c>
      <c r="H57" s="274" t="s">
        <v>30</v>
      </c>
      <c r="I57" s="302">
        <v>1</v>
      </c>
      <c r="J57" s="278">
        <v>1</v>
      </c>
      <c r="K57" s="293">
        <v>1</v>
      </c>
      <c r="L57" s="293">
        <v>1</v>
      </c>
      <c r="M57" s="293" t="s">
        <v>1840</v>
      </c>
      <c r="N57" s="293" t="s">
        <v>1840</v>
      </c>
    </row>
    <row r="58" spans="2:14" ht="50.1" customHeight="1" x14ac:dyDescent="0.3">
      <c r="B58" s="274">
        <v>7745</v>
      </c>
      <c r="C58" s="275" t="s">
        <v>128</v>
      </c>
      <c r="D58" s="275" t="s">
        <v>1854</v>
      </c>
      <c r="E58" s="276">
        <v>7</v>
      </c>
      <c r="F58" s="275" t="s">
        <v>1866</v>
      </c>
      <c r="G58" s="274" t="s">
        <v>1747</v>
      </c>
      <c r="H58" s="274" t="s">
        <v>45</v>
      </c>
      <c r="I58" s="282">
        <v>1200</v>
      </c>
      <c r="J58" s="271">
        <v>234</v>
      </c>
      <c r="K58" s="288">
        <v>65</v>
      </c>
      <c r="L58" s="288">
        <v>158</v>
      </c>
      <c r="M58" s="288">
        <v>223</v>
      </c>
      <c r="N58" s="288">
        <v>234</v>
      </c>
    </row>
    <row r="59" spans="2:14" ht="50.1" customHeight="1" x14ac:dyDescent="0.3">
      <c r="B59" s="274">
        <v>7745</v>
      </c>
      <c r="C59" s="275" t="s">
        <v>128</v>
      </c>
      <c r="D59" s="275" t="s">
        <v>1854</v>
      </c>
      <c r="E59" s="276">
        <v>8</v>
      </c>
      <c r="F59" s="275" t="s">
        <v>1867</v>
      </c>
      <c r="G59" s="274" t="s">
        <v>1747</v>
      </c>
      <c r="H59" s="274" t="s">
        <v>45</v>
      </c>
      <c r="I59" s="282">
        <v>36000</v>
      </c>
      <c r="J59" s="271">
        <v>19322</v>
      </c>
      <c r="K59" s="288">
        <v>2319</v>
      </c>
      <c r="L59" s="288">
        <v>7302</v>
      </c>
      <c r="M59" s="288">
        <v>7941</v>
      </c>
      <c r="N59" s="288">
        <v>19322</v>
      </c>
    </row>
    <row r="60" spans="2:14" ht="50.1" customHeight="1" x14ac:dyDescent="0.3">
      <c r="B60" s="267">
        <v>7745</v>
      </c>
      <c r="C60" s="268" t="s">
        <v>128</v>
      </c>
      <c r="D60" s="268" t="s">
        <v>1854</v>
      </c>
      <c r="E60" s="269">
        <v>9</v>
      </c>
      <c r="F60" s="268" t="s">
        <v>1868</v>
      </c>
      <c r="G60" s="267" t="s">
        <v>1747</v>
      </c>
      <c r="H60" s="267" t="s">
        <v>60</v>
      </c>
      <c r="I60" s="270">
        <v>1</v>
      </c>
      <c r="J60" s="271" t="s">
        <v>1869</v>
      </c>
      <c r="K60" s="288">
        <v>0.46</v>
      </c>
      <c r="L60" s="288">
        <v>0.55000000000000004</v>
      </c>
      <c r="M60" s="288" t="s">
        <v>1870</v>
      </c>
      <c r="N60" s="288" t="s">
        <v>1871</v>
      </c>
    </row>
    <row r="61" spans="2:14" ht="50.1" customHeight="1" x14ac:dyDescent="0.3">
      <c r="B61" s="274">
        <v>7745</v>
      </c>
      <c r="C61" s="275" t="s">
        <v>128</v>
      </c>
      <c r="D61" s="275" t="s">
        <v>1854</v>
      </c>
      <c r="E61" s="276">
        <v>10</v>
      </c>
      <c r="F61" s="275" t="s">
        <v>1872</v>
      </c>
      <c r="G61" s="274" t="s">
        <v>1747</v>
      </c>
      <c r="H61" s="274" t="s">
        <v>60</v>
      </c>
      <c r="I61" s="282">
        <v>1</v>
      </c>
      <c r="J61" s="271" t="s">
        <v>1869</v>
      </c>
      <c r="K61" s="288">
        <v>0.36</v>
      </c>
      <c r="L61" s="288">
        <v>0.55000000000000004</v>
      </c>
      <c r="M61" s="288" t="s">
        <v>1870</v>
      </c>
      <c r="N61" s="288" t="s">
        <v>1871</v>
      </c>
    </row>
    <row r="62" spans="2:14" ht="50.1" customHeight="1" x14ac:dyDescent="0.3">
      <c r="B62" s="267">
        <v>7745</v>
      </c>
      <c r="C62" s="268" t="s">
        <v>128</v>
      </c>
      <c r="D62" s="268" t="s">
        <v>1854</v>
      </c>
      <c r="E62" s="269">
        <v>11</v>
      </c>
      <c r="F62" s="268" t="s">
        <v>1873</v>
      </c>
      <c r="G62" s="267" t="s">
        <v>1747</v>
      </c>
      <c r="H62" s="267" t="s">
        <v>30</v>
      </c>
      <c r="I62" s="270">
        <v>15000</v>
      </c>
      <c r="J62" s="271">
        <v>15000</v>
      </c>
      <c r="K62" s="288">
        <v>11138</v>
      </c>
      <c r="L62" s="288">
        <v>15737</v>
      </c>
      <c r="M62" s="288">
        <v>18282</v>
      </c>
      <c r="N62" s="288">
        <v>19339</v>
      </c>
    </row>
    <row r="63" spans="2:14" ht="50.1" customHeight="1" x14ac:dyDescent="0.3">
      <c r="B63" s="274">
        <v>7748</v>
      </c>
      <c r="C63" s="275" t="s">
        <v>1874</v>
      </c>
      <c r="D63" s="275" t="s">
        <v>1875</v>
      </c>
      <c r="E63" s="276">
        <v>1</v>
      </c>
      <c r="F63" s="275" t="s">
        <v>1876</v>
      </c>
      <c r="G63" s="274" t="s">
        <v>1747</v>
      </c>
      <c r="H63" s="274" t="s">
        <v>30</v>
      </c>
      <c r="I63" s="302">
        <v>1</v>
      </c>
      <c r="J63" s="278">
        <v>1</v>
      </c>
      <c r="K63" s="285">
        <v>0.16</v>
      </c>
      <c r="L63" s="285">
        <v>0.45</v>
      </c>
      <c r="M63" s="285">
        <v>0.72</v>
      </c>
      <c r="N63" s="285">
        <v>1</v>
      </c>
    </row>
    <row r="64" spans="2:14" ht="50.1" customHeight="1" x14ac:dyDescent="0.3">
      <c r="B64" s="267">
        <v>7748</v>
      </c>
      <c r="C64" s="268" t="s">
        <v>1874</v>
      </c>
      <c r="D64" s="268" t="s">
        <v>1875</v>
      </c>
      <c r="E64" s="269">
        <v>2</v>
      </c>
      <c r="F64" s="268" t="s">
        <v>1877</v>
      </c>
      <c r="G64" s="267" t="s">
        <v>1747</v>
      </c>
      <c r="H64" s="267" t="s">
        <v>60</v>
      </c>
      <c r="I64" s="284">
        <v>0.48</v>
      </c>
      <c r="J64" s="278" t="s">
        <v>1878</v>
      </c>
      <c r="K64" s="293">
        <v>0.46789999999999998</v>
      </c>
      <c r="L64" s="293">
        <v>0.46929999999999999</v>
      </c>
      <c r="M64" s="293" t="s">
        <v>1879</v>
      </c>
      <c r="N64" s="293" t="s">
        <v>1878</v>
      </c>
    </row>
    <row r="65" spans="2:14" ht="50.1" customHeight="1" x14ac:dyDescent="0.3">
      <c r="B65" s="274">
        <v>7748</v>
      </c>
      <c r="C65" s="275" t="s">
        <v>1874</v>
      </c>
      <c r="D65" s="275" t="s">
        <v>1875</v>
      </c>
      <c r="E65" s="276">
        <v>3</v>
      </c>
      <c r="F65" s="275" t="s">
        <v>1880</v>
      </c>
      <c r="G65" s="274" t="s">
        <v>1747</v>
      </c>
      <c r="H65" s="274" t="s">
        <v>60</v>
      </c>
      <c r="I65" s="302">
        <v>1</v>
      </c>
      <c r="J65" s="278">
        <v>0.65</v>
      </c>
      <c r="K65" s="293">
        <v>0.41110000000000002</v>
      </c>
      <c r="L65" s="293">
        <v>0.42720000000000002</v>
      </c>
      <c r="M65" s="293" t="s">
        <v>1881</v>
      </c>
      <c r="N65" s="295" t="s">
        <v>1882</v>
      </c>
    </row>
    <row r="66" spans="2:14" ht="50.1" customHeight="1" x14ac:dyDescent="0.3">
      <c r="B66" s="267">
        <v>7748</v>
      </c>
      <c r="C66" s="268" t="s">
        <v>1874</v>
      </c>
      <c r="D66" s="268" t="s">
        <v>1875</v>
      </c>
      <c r="E66" s="269">
        <v>4</v>
      </c>
      <c r="F66" s="268" t="s">
        <v>1883</v>
      </c>
      <c r="G66" s="267" t="s">
        <v>1747</v>
      </c>
      <c r="H66" s="267" t="s">
        <v>30</v>
      </c>
      <c r="I66" s="303">
        <v>1</v>
      </c>
      <c r="J66" s="278">
        <v>1</v>
      </c>
      <c r="K66" s="295">
        <v>0.24</v>
      </c>
      <c r="L66" s="293">
        <v>0.48499999999999999</v>
      </c>
      <c r="M66" s="293" t="s">
        <v>1884</v>
      </c>
      <c r="N66" s="295">
        <v>1</v>
      </c>
    </row>
    <row r="67" spans="2:14" ht="50.1" customHeight="1" x14ac:dyDescent="0.3">
      <c r="B67" s="274">
        <v>7748</v>
      </c>
      <c r="C67" s="275" t="s">
        <v>1874</v>
      </c>
      <c r="D67" s="275" t="s">
        <v>1875</v>
      </c>
      <c r="E67" s="276">
        <v>5</v>
      </c>
      <c r="F67" s="275" t="s">
        <v>1885</v>
      </c>
      <c r="G67" s="274" t="s">
        <v>1747</v>
      </c>
      <c r="H67" s="274" t="s">
        <v>60</v>
      </c>
      <c r="I67" s="282">
        <v>1</v>
      </c>
      <c r="J67" s="271" t="s">
        <v>1824</v>
      </c>
      <c r="K67" s="313">
        <v>0.4</v>
      </c>
      <c r="L67" s="313">
        <v>0.49</v>
      </c>
      <c r="M67" s="313" t="s">
        <v>1886</v>
      </c>
      <c r="N67" s="313" t="s">
        <v>1824</v>
      </c>
    </row>
    <row r="68" spans="2:14" ht="50.1" customHeight="1" x14ac:dyDescent="0.3">
      <c r="B68" s="267">
        <v>7748</v>
      </c>
      <c r="C68" s="268" t="s">
        <v>1874</v>
      </c>
      <c r="D68" s="268" t="s">
        <v>1875</v>
      </c>
      <c r="E68" s="269">
        <v>6</v>
      </c>
      <c r="F68" s="268" t="s">
        <v>1887</v>
      </c>
      <c r="G68" s="267" t="s">
        <v>1747</v>
      </c>
      <c r="H68" s="267" t="s">
        <v>60</v>
      </c>
      <c r="I68" s="303">
        <v>1</v>
      </c>
      <c r="J68" s="278">
        <v>0.7</v>
      </c>
      <c r="K68" s="293">
        <v>0.39600000000000002</v>
      </c>
      <c r="L68" s="293">
        <v>0.49199999999999999</v>
      </c>
      <c r="M68" s="293" t="s">
        <v>1888</v>
      </c>
      <c r="N68" s="295">
        <v>0.7</v>
      </c>
    </row>
    <row r="69" spans="2:14" ht="50.1" customHeight="1" x14ac:dyDescent="0.3">
      <c r="B69" s="274">
        <v>7748</v>
      </c>
      <c r="C69" s="275" t="s">
        <v>1874</v>
      </c>
      <c r="D69" s="275" t="s">
        <v>1875</v>
      </c>
      <c r="E69" s="276">
        <v>7</v>
      </c>
      <c r="F69" s="275" t="s">
        <v>1889</v>
      </c>
      <c r="G69" s="274" t="s">
        <v>1747</v>
      </c>
      <c r="H69" s="274" t="s">
        <v>60</v>
      </c>
      <c r="I69" s="302">
        <v>1</v>
      </c>
      <c r="J69" s="278">
        <v>0.7</v>
      </c>
      <c r="K69" s="293">
        <v>0.36</v>
      </c>
      <c r="L69" s="293">
        <v>0.48</v>
      </c>
      <c r="M69" s="293" t="s">
        <v>1764</v>
      </c>
      <c r="N69" s="295">
        <v>0.7</v>
      </c>
    </row>
    <row r="70" spans="2:14" ht="50.1" customHeight="1" x14ac:dyDescent="0.3">
      <c r="B70" s="267">
        <v>7749</v>
      </c>
      <c r="C70" s="268" t="s">
        <v>148</v>
      </c>
      <c r="D70" s="268" t="s">
        <v>1890</v>
      </c>
      <c r="E70" s="269">
        <v>1</v>
      </c>
      <c r="F70" s="268" t="s">
        <v>1891</v>
      </c>
      <c r="G70" s="267" t="s">
        <v>1747</v>
      </c>
      <c r="H70" s="267" t="s">
        <v>45</v>
      </c>
      <c r="I70" s="270">
        <v>1</v>
      </c>
      <c r="J70" s="271" t="s">
        <v>1667</v>
      </c>
      <c r="K70" s="287">
        <v>0.08</v>
      </c>
      <c r="L70" s="287">
        <v>0.18</v>
      </c>
      <c r="M70" s="287" t="s">
        <v>1892</v>
      </c>
      <c r="N70" s="287" t="s">
        <v>1893</v>
      </c>
    </row>
    <row r="71" spans="2:14" ht="50.1" customHeight="1" x14ac:dyDescent="0.3">
      <c r="B71" s="274">
        <v>7749</v>
      </c>
      <c r="C71" s="275" t="s">
        <v>148</v>
      </c>
      <c r="D71" s="275" t="s">
        <v>1890</v>
      </c>
      <c r="E71" s="276">
        <v>2</v>
      </c>
      <c r="F71" s="275" t="s">
        <v>1894</v>
      </c>
      <c r="G71" s="274" t="s">
        <v>1747</v>
      </c>
      <c r="H71" s="274" t="s">
        <v>45</v>
      </c>
      <c r="I71" s="282">
        <v>412</v>
      </c>
      <c r="J71" s="271">
        <v>150</v>
      </c>
      <c r="K71" s="288">
        <v>19</v>
      </c>
      <c r="L71" s="288">
        <v>72</v>
      </c>
      <c r="M71" s="288">
        <v>102</v>
      </c>
      <c r="N71" s="288">
        <v>150</v>
      </c>
    </row>
    <row r="72" spans="2:14" ht="50.1" customHeight="1" x14ac:dyDescent="0.3">
      <c r="B72" s="267">
        <v>7749</v>
      </c>
      <c r="C72" s="268" t="s">
        <v>148</v>
      </c>
      <c r="D72" s="268" t="s">
        <v>1890</v>
      </c>
      <c r="E72" s="269">
        <v>3</v>
      </c>
      <c r="F72" s="314" t="s">
        <v>1895</v>
      </c>
      <c r="G72" s="267" t="s">
        <v>1747</v>
      </c>
      <c r="H72" s="267" t="s">
        <v>45</v>
      </c>
      <c r="I72" s="315">
        <v>151.41800000000001</v>
      </c>
      <c r="J72" s="271">
        <v>56802</v>
      </c>
      <c r="K72" s="288">
        <v>19815</v>
      </c>
      <c r="L72" s="288">
        <v>32096</v>
      </c>
      <c r="M72" s="288">
        <v>38112</v>
      </c>
      <c r="N72" s="288">
        <v>56802</v>
      </c>
    </row>
    <row r="73" spans="2:14" ht="50.1" customHeight="1" x14ac:dyDescent="0.3">
      <c r="B73" s="274">
        <v>7749</v>
      </c>
      <c r="C73" s="275" t="s">
        <v>148</v>
      </c>
      <c r="D73" s="275" t="s">
        <v>1890</v>
      </c>
      <c r="E73" s="276">
        <v>4</v>
      </c>
      <c r="F73" s="275" t="s">
        <v>1896</v>
      </c>
      <c r="G73" s="274" t="s">
        <v>1793</v>
      </c>
      <c r="H73" s="274" t="s">
        <v>45</v>
      </c>
      <c r="I73" s="316">
        <v>20</v>
      </c>
      <c r="J73" s="271">
        <v>5</v>
      </c>
      <c r="K73" s="288" t="s">
        <v>1897</v>
      </c>
      <c r="L73" s="288" t="s">
        <v>1897</v>
      </c>
      <c r="M73" s="288">
        <v>0</v>
      </c>
      <c r="N73" s="288">
        <v>5</v>
      </c>
    </row>
    <row r="74" spans="2:14" ht="50.1" customHeight="1" x14ac:dyDescent="0.3">
      <c r="B74" s="267">
        <v>7752</v>
      </c>
      <c r="C74" s="268" t="s">
        <v>158</v>
      </c>
      <c r="D74" s="268" t="s">
        <v>1898</v>
      </c>
      <c r="E74" s="269">
        <v>1</v>
      </c>
      <c r="F74" s="268" t="s">
        <v>1899</v>
      </c>
      <c r="G74" s="267" t="s">
        <v>1777</v>
      </c>
      <c r="H74" s="267" t="s">
        <v>30</v>
      </c>
      <c r="I74" s="303">
        <v>1</v>
      </c>
      <c r="J74" s="278">
        <v>1</v>
      </c>
      <c r="K74" s="304">
        <v>1</v>
      </c>
      <c r="L74" s="293">
        <v>1</v>
      </c>
      <c r="M74" s="293">
        <v>1</v>
      </c>
      <c r="N74" s="293" t="s">
        <v>1840</v>
      </c>
    </row>
    <row r="75" spans="2:14" ht="50.1" customHeight="1" x14ac:dyDescent="0.3">
      <c r="B75" s="274">
        <v>7752</v>
      </c>
      <c r="C75" s="275" t="s">
        <v>158</v>
      </c>
      <c r="D75" s="275" t="s">
        <v>1898</v>
      </c>
      <c r="E75" s="276">
        <v>2</v>
      </c>
      <c r="F75" s="275" t="s">
        <v>1900</v>
      </c>
      <c r="G75" s="274" t="s">
        <v>1747</v>
      </c>
      <c r="H75" s="274" t="s">
        <v>60</v>
      </c>
      <c r="I75" s="317">
        <v>1</v>
      </c>
      <c r="J75" s="271" t="s">
        <v>1465</v>
      </c>
      <c r="K75" s="313">
        <v>0.33971428571428569</v>
      </c>
      <c r="L75" s="318">
        <v>0.40971400000000002</v>
      </c>
      <c r="M75" s="318" t="s">
        <v>1825</v>
      </c>
      <c r="N75" s="318" t="s">
        <v>1387</v>
      </c>
    </row>
    <row r="76" spans="2:14" ht="50.1" customHeight="1" x14ac:dyDescent="0.3">
      <c r="B76" s="267">
        <v>7752</v>
      </c>
      <c r="C76" s="268" t="s">
        <v>158</v>
      </c>
      <c r="D76" s="268" t="s">
        <v>1898</v>
      </c>
      <c r="E76" s="269">
        <v>3</v>
      </c>
      <c r="F76" s="268" t="s">
        <v>1901</v>
      </c>
      <c r="G76" s="267" t="s">
        <v>1747</v>
      </c>
      <c r="H76" s="267" t="s">
        <v>60</v>
      </c>
      <c r="I76" s="315">
        <v>1</v>
      </c>
      <c r="J76" s="271" t="s">
        <v>1465</v>
      </c>
      <c r="K76" s="313">
        <v>0.3506933333333333</v>
      </c>
      <c r="L76" s="318">
        <v>0.41751300000000002</v>
      </c>
      <c r="M76" s="318" t="s">
        <v>1825</v>
      </c>
      <c r="N76" s="318" t="s">
        <v>1387</v>
      </c>
    </row>
    <row r="77" spans="2:14" ht="50.1" customHeight="1" x14ac:dyDescent="0.3">
      <c r="B77" s="274">
        <v>7753</v>
      </c>
      <c r="C77" s="275" t="s">
        <v>371</v>
      </c>
      <c r="D77" s="275" t="s">
        <v>1902</v>
      </c>
      <c r="E77" s="276">
        <v>1</v>
      </c>
      <c r="F77" s="275" t="s">
        <v>1903</v>
      </c>
      <c r="G77" s="274" t="s">
        <v>1747</v>
      </c>
      <c r="H77" s="274" t="s">
        <v>45</v>
      </c>
      <c r="I77" s="316">
        <v>70000</v>
      </c>
      <c r="J77" s="288">
        <v>19255</v>
      </c>
      <c r="K77" s="288">
        <v>3553</v>
      </c>
      <c r="L77" s="288">
        <v>11940</v>
      </c>
      <c r="M77" s="288">
        <v>17558</v>
      </c>
      <c r="N77" s="288">
        <v>19259</v>
      </c>
    </row>
    <row r="78" spans="2:14" ht="50.1" customHeight="1" x14ac:dyDescent="0.3">
      <c r="B78" s="267">
        <v>7753</v>
      </c>
      <c r="C78" s="268" t="s">
        <v>371</v>
      </c>
      <c r="D78" s="268" t="s">
        <v>1902</v>
      </c>
      <c r="E78" s="269">
        <v>2</v>
      </c>
      <c r="F78" s="268" t="s">
        <v>1904</v>
      </c>
      <c r="G78" s="267" t="s">
        <v>1747</v>
      </c>
      <c r="H78" s="267" t="s">
        <v>45</v>
      </c>
      <c r="I78" s="315">
        <v>10000</v>
      </c>
      <c r="J78" s="288">
        <v>3000</v>
      </c>
      <c r="K78" s="288">
        <v>659</v>
      </c>
      <c r="L78" s="288">
        <v>2410</v>
      </c>
      <c r="M78" s="288">
        <v>2523</v>
      </c>
      <c r="N78" s="288">
        <v>2983</v>
      </c>
    </row>
    <row r="79" spans="2:14" ht="50.1" customHeight="1" x14ac:dyDescent="0.3">
      <c r="B79" s="274">
        <v>7753</v>
      </c>
      <c r="C79" s="275" t="s">
        <v>371</v>
      </c>
      <c r="D79" s="275" t="s">
        <v>1902</v>
      </c>
      <c r="E79" s="276">
        <v>3</v>
      </c>
      <c r="F79" s="275" t="s">
        <v>1905</v>
      </c>
      <c r="G79" s="274" t="s">
        <v>1777</v>
      </c>
      <c r="H79" s="274" t="s">
        <v>30</v>
      </c>
      <c r="I79" s="316">
        <v>1</v>
      </c>
      <c r="J79" s="271">
        <v>1</v>
      </c>
      <c r="K79" s="288">
        <v>0.22</v>
      </c>
      <c r="L79" s="306">
        <v>0.53</v>
      </c>
      <c r="M79" s="306" t="s">
        <v>1906</v>
      </c>
      <c r="N79" s="306">
        <v>1</v>
      </c>
    </row>
    <row r="80" spans="2:14" ht="50.1" customHeight="1" x14ac:dyDescent="0.3">
      <c r="B80" s="267">
        <v>7753</v>
      </c>
      <c r="C80" s="268" t="s">
        <v>371</v>
      </c>
      <c r="D80" s="268" t="s">
        <v>1902</v>
      </c>
      <c r="E80" s="269">
        <v>4</v>
      </c>
      <c r="F80" s="268" t="s">
        <v>1907</v>
      </c>
      <c r="G80" s="267" t="s">
        <v>1777</v>
      </c>
      <c r="H80" s="267" t="s">
        <v>1529</v>
      </c>
      <c r="I80" s="315">
        <v>1</v>
      </c>
      <c r="J80" s="271" t="s">
        <v>1908</v>
      </c>
      <c r="K80" s="288">
        <v>7.0000000000000001E-3</v>
      </c>
      <c r="L80" s="306">
        <v>0.05</v>
      </c>
      <c r="M80" s="306" t="s">
        <v>1909</v>
      </c>
      <c r="N80" s="306" t="s">
        <v>1910</v>
      </c>
    </row>
    <row r="81" spans="2:14" ht="50.1" customHeight="1" x14ac:dyDescent="0.3">
      <c r="B81" s="274">
        <v>7756</v>
      </c>
      <c r="C81" s="275" t="s">
        <v>178</v>
      </c>
      <c r="D81" s="275" t="s">
        <v>1911</v>
      </c>
      <c r="E81" s="276">
        <v>1</v>
      </c>
      <c r="F81" s="275" t="s">
        <v>1912</v>
      </c>
      <c r="G81" s="274" t="s">
        <v>1747</v>
      </c>
      <c r="H81" s="274" t="s">
        <v>45</v>
      </c>
      <c r="I81" s="282">
        <v>1</v>
      </c>
      <c r="J81" s="271" t="s">
        <v>1802</v>
      </c>
      <c r="K81" s="281" t="s">
        <v>1913</v>
      </c>
      <c r="L81" s="281" t="s">
        <v>1914</v>
      </c>
      <c r="M81" s="281" t="s">
        <v>1914</v>
      </c>
      <c r="N81" s="281" t="s">
        <v>1802</v>
      </c>
    </row>
    <row r="82" spans="2:14" ht="44.25" x14ac:dyDescent="0.3">
      <c r="B82" s="267">
        <v>7756</v>
      </c>
      <c r="C82" s="268" t="s">
        <v>178</v>
      </c>
      <c r="D82" s="268" t="s">
        <v>1911</v>
      </c>
      <c r="E82" s="269">
        <v>2</v>
      </c>
      <c r="F82" s="268" t="s">
        <v>1915</v>
      </c>
      <c r="G82" s="267" t="s">
        <v>1747</v>
      </c>
      <c r="H82" s="267" t="s">
        <v>45</v>
      </c>
      <c r="I82" s="270">
        <v>7.5439999999999996</v>
      </c>
      <c r="J82" s="288">
        <v>1787</v>
      </c>
      <c r="K82" s="288">
        <v>0</v>
      </c>
      <c r="L82" s="288">
        <v>448</v>
      </c>
      <c r="M82" s="288">
        <v>741</v>
      </c>
      <c r="N82" s="288">
        <v>1277</v>
      </c>
    </row>
    <row r="83" spans="2:14" ht="50.1" customHeight="1" x14ac:dyDescent="0.3">
      <c r="B83" s="274">
        <v>7756</v>
      </c>
      <c r="C83" s="275" t="s">
        <v>178</v>
      </c>
      <c r="D83" s="275" t="s">
        <v>1911</v>
      </c>
      <c r="E83" s="276">
        <v>3</v>
      </c>
      <c r="F83" s="275" t="s">
        <v>1916</v>
      </c>
      <c r="G83" s="274" t="s">
        <v>1747</v>
      </c>
      <c r="H83" s="274" t="s">
        <v>30</v>
      </c>
      <c r="I83" s="282">
        <v>1</v>
      </c>
      <c r="J83" s="271">
        <v>1</v>
      </c>
      <c r="K83" s="288">
        <v>0.186</v>
      </c>
      <c r="L83" s="288">
        <v>0.48</v>
      </c>
      <c r="M83" s="288" t="s">
        <v>1389</v>
      </c>
      <c r="N83" s="288">
        <v>1</v>
      </c>
    </row>
    <row r="84" spans="2:14" ht="50.1" customHeight="1" x14ac:dyDescent="0.3">
      <c r="B84" s="267">
        <v>7756</v>
      </c>
      <c r="C84" s="268" t="s">
        <v>178</v>
      </c>
      <c r="D84" s="268" t="s">
        <v>1911</v>
      </c>
      <c r="E84" s="269">
        <v>4</v>
      </c>
      <c r="F84" s="268" t="s">
        <v>1917</v>
      </c>
      <c r="G84" s="267" t="s">
        <v>1747</v>
      </c>
      <c r="H84" s="267" t="s">
        <v>45</v>
      </c>
      <c r="I84" s="270">
        <v>2</v>
      </c>
      <c r="J84" s="271" t="s">
        <v>1918</v>
      </c>
      <c r="K84" s="288" t="s">
        <v>1919</v>
      </c>
      <c r="L84" s="288" t="s">
        <v>1920</v>
      </c>
      <c r="M84" s="288" t="s">
        <v>1921</v>
      </c>
      <c r="N84" s="288" t="s">
        <v>1918</v>
      </c>
    </row>
    <row r="85" spans="2:14" ht="66.75" customHeight="1" x14ac:dyDescent="0.3">
      <c r="B85" s="274">
        <v>7756</v>
      </c>
      <c r="C85" s="275" t="s">
        <v>178</v>
      </c>
      <c r="D85" s="275" t="s">
        <v>1911</v>
      </c>
      <c r="E85" s="276">
        <v>5</v>
      </c>
      <c r="F85" s="275" t="s">
        <v>1922</v>
      </c>
      <c r="G85" s="274" t="s">
        <v>1747</v>
      </c>
      <c r="H85" s="274" t="s">
        <v>45</v>
      </c>
      <c r="I85" s="282">
        <v>16000</v>
      </c>
      <c r="J85" s="288">
        <v>5611</v>
      </c>
      <c r="K85" s="288">
        <v>1380</v>
      </c>
      <c r="L85" s="288">
        <v>3353</v>
      </c>
      <c r="M85" s="288">
        <v>4.4690000000000003</v>
      </c>
      <c r="N85" s="288">
        <v>5611</v>
      </c>
    </row>
    <row r="86" spans="2:14" ht="44.25" x14ac:dyDescent="0.3">
      <c r="B86" s="267">
        <v>7757</v>
      </c>
      <c r="C86" s="268" t="s">
        <v>188</v>
      </c>
      <c r="D86" s="268" t="s">
        <v>1923</v>
      </c>
      <c r="E86" s="269">
        <v>1</v>
      </c>
      <c r="F86" s="268" t="s">
        <v>1924</v>
      </c>
      <c r="G86" s="267" t="s">
        <v>1747</v>
      </c>
      <c r="H86" s="267" t="s">
        <v>60</v>
      </c>
      <c r="I86" s="270">
        <v>1</v>
      </c>
      <c r="J86" s="271" t="s">
        <v>1871</v>
      </c>
      <c r="K86" s="319" t="s">
        <v>1925</v>
      </c>
      <c r="L86" s="319" t="s">
        <v>1926</v>
      </c>
      <c r="M86" s="319" t="s">
        <v>1465</v>
      </c>
      <c r="N86" s="319" t="s">
        <v>1871</v>
      </c>
    </row>
    <row r="87" spans="2:14" ht="50.1" customHeight="1" x14ac:dyDescent="0.3">
      <c r="B87" s="274">
        <v>7757</v>
      </c>
      <c r="C87" s="275" t="s">
        <v>188</v>
      </c>
      <c r="D87" s="275" t="s">
        <v>1923</v>
      </c>
      <c r="E87" s="276">
        <v>2</v>
      </c>
      <c r="F87" s="275" t="s">
        <v>1927</v>
      </c>
      <c r="G87" s="274" t="s">
        <v>1747</v>
      </c>
      <c r="H87" s="274" t="s">
        <v>60</v>
      </c>
      <c r="I87" s="282">
        <v>1</v>
      </c>
      <c r="J87" s="271" t="s">
        <v>1871</v>
      </c>
      <c r="K87" s="288">
        <v>0.34</v>
      </c>
      <c r="L87" s="313">
        <v>0.45</v>
      </c>
      <c r="M87" s="313" t="s">
        <v>1465</v>
      </c>
      <c r="N87" s="313" t="s">
        <v>1871</v>
      </c>
    </row>
    <row r="88" spans="2:14" ht="50.1" customHeight="1" x14ac:dyDescent="0.3">
      <c r="B88" s="267">
        <v>7757</v>
      </c>
      <c r="C88" s="268" t="s">
        <v>188</v>
      </c>
      <c r="D88" s="268" t="s">
        <v>1923</v>
      </c>
      <c r="E88" s="269">
        <v>3</v>
      </c>
      <c r="F88" s="268" t="s">
        <v>1928</v>
      </c>
      <c r="G88" s="267" t="s">
        <v>1747</v>
      </c>
      <c r="H88" s="267" t="s">
        <v>30</v>
      </c>
      <c r="I88" s="270">
        <v>17000</v>
      </c>
      <c r="J88" s="288">
        <v>17000</v>
      </c>
      <c r="K88" s="288">
        <v>6386</v>
      </c>
      <c r="L88" s="288">
        <v>9473</v>
      </c>
      <c r="M88" s="288">
        <v>13345</v>
      </c>
      <c r="N88" s="288">
        <v>19015</v>
      </c>
    </row>
    <row r="89" spans="2:14" ht="50.1" customHeight="1" x14ac:dyDescent="0.3">
      <c r="B89" s="274">
        <v>7757</v>
      </c>
      <c r="C89" s="275" t="s">
        <v>188</v>
      </c>
      <c r="D89" s="275" t="s">
        <v>1923</v>
      </c>
      <c r="E89" s="276">
        <v>4</v>
      </c>
      <c r="F89" s="275" t="s">
        <v>1929</v>
      </c>
      <c r="G89" s="274" t="s">
        <v>1747</v>
      </c>
      <c r="H89" s="274" t="s">
        <v>30</v>
      </c>
      <c r="I89" s="282">
        <v>9.7949999999999999</v>
      </c>
      <c r="J89" s="288">
        <v>9795</v>
      </c>
      <c r="K89" s="288">
        <v>5982</v>
      </c>
      <c r="L89" s="288">
        <v>7397</v>
      </c>
      <c r="M89" s="288">
        <v>8528</v>
      </c>
      <c r="N89" s="288">
        <v>10696</v>
      </c>
    </row>
    <row r="90" spans="2:14" ht="50.1" customHeight="1" x14ac:dyDescent="0.3">
      <c r="B90" s="267">
        <v>7757</v>
      </c>
      <c r="C90" s="268" t="s">
        <v>188</v>
      </c>
      <c r="D90" s="268" t="s">
        <v>1923</v>
      </c>
      <c r="E90" s="269">
        <v>5</v>
      </c>
      <c r="F90" s="268" t="s">
        <v>1930</v>
      </c>
      <c r="G90" s="267" t="s">
        <v>1747</v>
      </c>
      <c r="H90" s="267" t="s">
        <v>60</v>
      </c>
      <c r="I90" s="270">
        <v>1</v>
      </c>
      <c r="J90" s="271" t="s">
        <v>1871</v>
      </c>
      <c r="K90" s="288">
        <v>0.32</v>
      </c>
      <c r="L90" s="288">
        <v>0.45</v>
      </c>
      <c r="M90" s="288" t="s">
        <v>1828</v>
      </c>
      <c r="N90" s="288" t="s">
        <v>1871</v>
      </c>
    </row>
    <row r="91" spans="2:14" ht="58.5" customHeight="1" x14ac:dyDescent="0.3">
      <c r="B91" s="274">
        <v>7768</v>
      </c>
      <c r="C91" s="275" t="s">
        <v>196</v>
      </c>
      <c r="D91" s="275" t="s">
        <v>1931</v>
      </c>
      <c r="E91" s="276">
        <v>1</v>
      </c>
      <c r="F91" s="275" t="s">
        <v>1932</v>
      </c>
      <c r="G91" s="274" t="s">
        <v>1747</v>
      </c>
      <c r="H91" s="274" t="s">
        <v>30</v>
      </c>
      <c r="I91" s="320">
        <v>1</v>
      </c>
      <c r="J91" s="278">
        <v>1</v>
      </c>
      <c r="K91" s="279">
        <v>1</v>
      </c>
      <c r="L91" s="279">
        <v>1</v>
      </c>
      <c r="M91" s="279">
        <v>1</v>
      </c>
      <c r="N91" s="279">
        <v>1</v>
      </c>
    </row>
    <row r="92" spans="2:14" ht="50.1" customHeight="1" x14ac:dyDescent="0.3">
      <c r="B92" s="267">
        <v>7768</v>
      </c>
      <c r="C92" s="268" t="s">
        <v>196</v>
      </c>
      <c r="D92" s="268" t="s">
        <v>1931</v>
      </c>
      <c r="E92" s="269">
        <v>2</v>
      </c>
      <c r="F92" s="268" t="s">
        <v>1933</v>
      </c>
      <c r="G92" s="267" t="s">
        <v>1747</v>
      </c>
      <c r="H92" s="267" t="s">
        <v>45</v>
      </c>
      <c r="I92" s="270">
        <v>27.024999999999999</v>
      </c>
      <c r="J92" s="271">
        <v>5889</v>
      </c>
      <c r="K92" s="271">
        <v>101</v>
      </c>
      <c r="L92" s="271">
        <v>1516</v>
      </c>
      <c r="M92" s="271">
        <v>3023</v>
      </c>
      <c r="N92" s="271">
        <v>5889</v>
      </c>
    </row>
    <row r="93" spans="2:14" ht="50.1" customHeight="1" x14ac:dyDescent="0.3">
      <c r="B93" s="274">
        <v>7768</v>
      </c>
      <c r="C93" s="275" t="s">
        <v>196</v>
      </c>
      <c r="D93" s="275" t="s">
        <v>1931</v>
      </c>
      <c r="E93" s="276">
        <v>3</v>
      </c>
      <c r="F93" s="275" t="s">
        <v>1934</v>
      </c>
      <c r="G93" s="274" t="s">
        <v>1747</v>
      </c>
      <c r="H93" s="274" t="s">
        <v>45</v>
      </c>
      <c r="I93" s="282">
        <v>15000</v>
      </c>
      <c r="J93" s="271">
        <v>5000</v>
      </c>
      <c r="K93" s="271">
        <v>1024</v>
      </c>
      <c r="L93" s="271">
        <v>1222</v>
      </c>
      <c r="M93" s="271">
        <v>2.2330000000000001</v>
      </c>
      <c r="N93" s="271">
        <v>5000</v>
      </c>
    </row>
    <row r="94" spans="2:14" ht="50.1" customHeight="1" x14ac:dyDescent="0.3">
      <c r="B94" s="267">
        <v>7768</v>
      </c>
      <c r="C94" s="268" t="s">
        <v>196</v>
      </c>
      <c r="D94" s="268" t="s">
        <v>1931</v>
      </c>
      <c r="E94" s="269">
        <v>4</v>
      </c>
      <c r="F94" s="268" t="s">
        <v>1935</v>
      </c>
      <c r="G94" s="267" t="s">
        <v>1747</v>
      </c>
      <c r="H94" s="267" t="s">
        <v>45</v>
      </c>
      <c r="I94" s="270">
        <v>4300</v>
      </c>
      <c r="J94" s="271">
        <v>897</v>
      </c>
      <c r="K94" s="271">
        <v>17</v>
      </c>
      <c r="L94" s="271">
        <v>22</v>
      </c>
      <c r="M94" s="271">
        <v>22</v>
      </c>
      <c r="N94" s="271">
        <v>897</v>
      </c>
    </row>
    <row r="95" spans="2:14" ht="72.75" x14ac:dyDescent="0.3">
      <c r="B95" s="274">
        <v>7770</v>
      </c>
      <c r="C95" s="275" t="s">
        <v>204</v>
      </c>
      <c r="D95" s="275" t="s">
        <v>1936</v>
      </c>
      <c r="E95" s="276">
        <v>1</v>
      </c>
      <c r="F95" s="275" t="s">
        <v>1937</v>
      </c>
      <c r="G95" s="274" t="s">
        <v>1938</v>
      </c>
      <c r="H95" s="274" t="s">
        <v>60</v>
      </c>
      <c r="I95" s="290">
        <v>92500</v>
      </c>
      <c r="J95" s="271">
        <v>89843</v>
      </c>
      <c r="K95" s="271">
        <v>89838</v>
      </c>
      <c r="L95" s="271">
        <v>89840</v>
      </c>
      <c r="M95" s="271">
        <v>89841</v>
      </c>
      <c r="N95" s="271">
        <v>89843</v>
      </c>
    </row>
    <row r="96" spans="2:14" ht="72.75" x14ac:dyDescent="0.3">
      <c r="B96" s="267">
        <v>7770</v>
      </c>
      <c r="C96" s="268" t="s">
        <v>204</v>
      </c>
      <c r="D96" s="268" t="s">
        <v>1936</v>
      </c>
      <c r="E96" s="269">
        <v>2</v>
      </c>
      <c r="F96" s="268" t="s">
        <v>1939</v>
      </c>
      <c r="G96" s="267" t="s">
        <v>1856</v>
      </c>
      <c r="H96" s="267" t="s">
        <v>60</v>
      </c>
      <c r="I96" s="321">
        <v>38300</v>
      </c>
      <c r="J96" s="271">
        <v>36898</v>
      </c>
      <c r="K96" s="271">
        <v>25092</v>
      </c>
      <c r="L96" s="271">
        <v>27482</v>
      </c>
      <c r="M96" s="271">
        <v>35091</v>
      </c>
      <c r="N96" s="271">
        <v>36898</v>
      </c>
    </row>
    <row r="97" spans="2:14" ht="72.75" x14ac:dyDescent="0.3">
      <c r="B97" s="274">
        <v>7770</v>
      </c>
      <c r="C97" s="275" t="s">
        <v>204</v>
      </c>
      <c r="D97" s="275" t="s">
        <v>1936</v>
      </c>
      <c r="E97" s="276">
        <v>3</v>
      </c>
      <c r="F97" s="275" t="s">
        <v>1940</v>
      </c>
      <c r="G97" s="274" t="s">
        <v>1938</v>
      </c>
      <c r="H97" s="274" t="s">
        <v>60</v>
      </c>
      <c r="I97" s="282">
        <v>940</v>
      </c>
      <c r="J97" s="271">
        <v>1387</v>
      </c>
      <c r="K97" s="271">
        <v>948</v>
      </c>
      <c r="L97" s="271">
        <v>974</v>
      </c>
      <c r="M97" s="271">
        <v>1257</v>
      </c>
      <c r="N97" s="271">
        <v>1387</v>
      </c>
    </row>
    <row r="98" spans="2:14" ht="72.75" x14ac:dyDescent="0.3">
      <c r="B98" s="267">
        <v>7770</v>
      </c>
      <c r="C98" s="268" t="s">
        <v>204</v>
      </c>
      <c r="D98" s="268" t="s">
        <v>1936</v>
      </c>
      <c r="E98" s="269">
        <v>4</v>
      </c>
      <c r="F98" s="268" t="s">
        <v>1941</v>
      </c>
      <c r="G98" s="267" t="s">
        <v>1856</v>
      </c>
      <c r="H98" s="267" t="s">
        <v>60</v>
      </c>
      <c r="I98" s="321">
        <v>2800</v>
      </c>
      <c r="J98" s="271">
        <v>2718</v>
      </c>
      <c r="K98" s="271">
        <v>2537</v>
      </c>
      <c r="L98" s="271">
        <v>2590</v>
      </c>
      <c r="M98" s="271">
        <v>2.6560000000000001</v>
      </c>
      <c r="N98" s="271">
        <v>2.718</v>
      </c>
    </row>
    <row r="99" spans="2:14" ht="72.75" x14ac:dyDescent="0.3">
      <c r="B99" s="274">
        <v>7770</v>
      </c>
      <c r="C99" s="275" t="s">
        <v>204</v>
      </c>
      <c r="D99" s="275" t="s">
        <v>1936</v>
      </c>
      <c r="E99" s="276">
        <v>5</v>
      </c>
      <c r="F99" s="275" t="s">
        <v>1942</v>
      </c>
      <c r="G99" s="274" t="s">
        <v>1938</v>
      </c>
      <c r="H99" s="274" t="s">
        <v>60</v>
      </c>
      <c r="I99" s="282">
        <v>20</v>
      </c>
      <c r="J99" s="271">
        <v>20</v>
      </c>
      <c r="K99" s="297">
        <v>10</v>
      </c>
      <c r="L99" s="297">
        <v>14</v>
      </c>
      <c r="M99" s="297">
        <v>18</v>
      </c>
      <c r="N99" s="297">
        <v>20</v>
      </c>
    </row>
    <row r="100" spans="2:14" ht="86.25" customHeight="1" x14ac:dyDescent="0.3">
      <c r="B100" s="267">
        <v>7770</v>
      </c>
      <c r="C100" s="268" t="s">
        <v>204</v>
      </c>
      <c r="D100" s="268" t="s">
        <v>1936</v>
      </c>
      <c r="E100" s="269">
        <v>6</v>
      </c>
      <c r="F100" s="268" t="s">
        <v>1943</v>
      </c>
      <c r="G100" s="267" t="s">
        <v>1856</v>
      </c>
      <c r="H100" s="267" t="s">
        <v>30</v>
      </c>
      <c r="I100" s="303">
        <v>1</v>
      </c>
      <c r="J100" s="278">
        <v>1</v>
      </c>
      <c r="K100" s="295">
        <v>1</v>
      </c>
      <c r="L100" s="295">
        <v>1</v>
      </c>
      <c r="M100" s="295">
        <v>1</v>
      </c>
      <c r="N100" s="295">
        <v>1</v>
      </c>
    </row>
    <row r="101" spans="2:14" ht="87.75" customHeight="1" x14ac:dyDescent="0.3">
      <c r="B101" s="274">
        <v>7770</v>
      </c>
      <c r="C101" s="275" t="s">
        <v>204</v>
      </c>
      <c r="D101" s="275" t="s">
        <v>1936</v>
      </c>
      <c r="E101" s="276">
        <v>7</v>
      </c>
      <c r="F101" s="275" t="s">
        <v>1944</v>
      </c>
      <c r="G101" s="274" t="s">
        <v>1756</v>
      </c>
      <c r="H101" s="274" t="s">
        <v>45</v>
      </c>
      <c r="I101" s="282">
        <v>3</v>
      </c>
      <c r="J101" s="271">
        <v>1</v>
      </c>
      <c r="K101" s="297">
        <v>0</v>
      </c>
      <c r="L101" s="297">
        <v>0</v>
      </c>
      <c r="M101" s="297">
        <v>0</v>
      </c>
      <c r="N101" s="297">
        <v>1</v>
      </c>
    </row>
    <row r="102" spans="2:14" ht="89.25" customHeight="1" x14ac:dyDescent="0.3">
      <c r="B102" s="267">
        <v>7771</v>
      </c>
      <c r="C102" s="268" t="s">
        <v>213</v>
      </c>
      <c r="D102" s="268" t="s">
        <v>1945</v>
      </c>
      <c r="E102" s="269">
        <v>1</v>
      </c>
      <c r="F102" s="268" t="s">
        <v>1946</v>
      </c>
      <c r="G102" s="267" t="s">
        <v>1747</v>
      </c>
      <c r="H102" s="267" t="s">
        <v>45</v>
      </c>
      <c r="I102" s="315">
        <v>10000</v>
      </c>
      <c r="J102" s="271">
        <v>5457</v>
      </c>
      <c r="K102" s="271">
        <v>816</v>
      </c>
      <c r="L102" s="271">
        <v>2761</v>
      </c>
      <c r="M102" s="271">
        <v>4071</v>
      </c>
      <c r="N102" s="271">
        <v>5457</v>
      </c>
    </row>
    <row r="103" spans="2:14" ht="75" customHeight="1" x14ac:dyDescent="0.3">
      <c r="B103" s="274">
        <v>7771</v>
      </c>
      <c r="C103" s="275" t="s">
        <v>213</v>
      </c>
      <c r="D103" s="275" t="s">
        <v>1945</v>
      </c>
      <c r="E103" s="276">
        <v>2</v>
      </c>
      <c r="F103" s="275" t="s">
        <v>1947</v>
      </c>
      <c r="G103" s="274" t="s">
        <v>1747</v>
      </c>
      <c r="H103" s="274" t="s">
        <v>60</v>
      </c>
      <c r="I103" s="317">
        <v>3953</v>
      </c>
      <c r="J103" s="271">
        <v>4088</v>
      </c>
      <c r="K103" s="271">
        <v>3712</v>
      </c>
      <c r="L103" s="271">
        <v>3836</v>
      </c>
      <c r="M103" s="271">
        <v>3958</v>
      </c>
      <c r="N103" s="271">
        <v>4088</v>
      </c>
    </row>
    <row r="104" spans="2:14" ht="99" customHeight="1" x14ac:dyDescent="0.3">
      <c r="B104" s="267">
        <v>7771</v>
      </c>
      <c r="C104" s="268" t="s">
        <v>213</v>
      </c>
      <c r="D104" s="268" t="s">
        <v>1945</v>
      </c>
      <c r="E104" s="269">
        <v>3</v>
      </c>
      <c r="F104" s="268" t="s">
        <v>1948</v>
      </c>
      <c r="G104" s="267" t="s">
        <v>1747</v>
      </c>
      <c r="H104" s="267" t="s">
        <v>45</v>
      </c>
      <c r="I104" s="315">
        <v>2.5609999999999999</v>
      </c>
      <c r="J104" s="271">
        <v>692</v>
      </c>
      <c r="K104" s="288">
        <v>86</v>
      </c>
      <c r="L104" s="288">
        <v>291</v>
      </c>
      <c r="M104" s="322">
        <v>554</v>
      </c>
      <c r="N104" s="322">
        <v>692</v>
      </c>
    </row>
    <row r="105" spans="2:14" ht="90" customHeight="1" x14ac:dyDescent="0.3">
      <c r="B105" s="274">
        <v>7771</v>
      </c>
      <c r="C105" s="275" t="s">
        <v>213</v>
      </c>
      <c r="D105" s="275" t="s">
        <v>1945</v>
      </c>
      <c r="E105" s="276">
        <v>4</v>
      </c>
      <c r="F105" s="275" t="s">
        <v>1949</v>
      </c>
      <c r="G105" s="274" t="s">
        <v>1747</v>
      </c>
      <c r="H105" s="274" t="s">
        <v>45</v>
      </c>
      <c r="I105" s="317">
        <v>1</v>
      </c>
      <c r="J105" s="271" t="s">
        <v>1950</v>
      </c>
      <c r="K105" s="288" t="s">
        <v>1951</v>
      </c>
      <c r="L105" s="288" t="s">
        <v>1952</v>
      </c>
      <c r="M105" s="313" t="s">
        <v>1850</v>
      </c>
      <c r="N105" s="313" t="s">
        <v>1950</v>
      </c>
    </row>
    <row r="106" spans="2:14" ht="81" customHeight="1" x14ac:dyDescent="0.3">
      <c r="B106" s="267">
        <v>7771</v>
      </c>
      <c r="C106" s="268" t="s">
        <v>213</v>
      </c>
      <c r="D106" s="268" t="s">
        <v>1945</v>
      </c>
      <c r="E106" s="269">
        <v>5</v>
      </c>
      <c r="F106" s="268" t="s">
        <v>1953</v>
      </c>
      <c r="G106" s="267" t="s">
        <v>1747</v>
      </c>
      <c r="H106" s="267" t="s">
        <v>45</v>
      </c>
      <c r="I106" s="315">
        <v>3200</v>
      </c>
      <c r="J106" s="271">
        <v>785</v>
      </c>
      <c r="K106" s="288">
        <v>154</v>
      </c>
      <c r="L106" s="288">
        <v>337</v>
      </c>
      <c r="M106" s="323">
        <v>615</v>
      </c>
      <c r="N106" s="323">
        <v>785</v>
      </c>
    </row>
    <row r="108" spans="2:14" x14ac:dyDescent="0.3">
      <c r="H108" s="324"/>
    </row>
    <row r="109" spans="2:14" x14ac:dyDescent="0.3">
      <c r="H109" s="326"/>
    </row>
    <row r="110" spans="2:14" x14ac:dyDescent="0.3">
      <c r="H110" s="324"/>
    </row>
    <row r="111" spans="2:14" x14ac:dyDescent="0.3">
      <c r="I111" s="327"/>
    </row>
    <row r="120" spans="8:8" x14ac:dyDescent="0.3">
      <c r="H120" s="328"/>
    </row>
  </sheetData>
  <mergeCells count="2">
    <mergeCell ref="B2:B5"/>
    <mergeCell ref="C2:J5"/>
  </mergeCells>
  <pageMargins left="0.7" right="0.7" top="0.75" bottom="0.75" header="0.3" footer="0.3"/>
  <pageSetup paperSize="9" orientation="portrait"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B8AC1-6CBD-4DFA-BE40-231685EBF45A}">
  <dimension ref="A1:M61"/>
  <sheetViews>
    <sheetView showGridLines="0" topLeftCell="D7" zoomScale="60" zoomScaleNormal="60" workbookViewId="0">
      <pane xSplit="6" ySplit="1" topLeftCell="J8" activePane="bottomRight" state="frozen"/>
      <selection pane="topRight"/>
      <selection pane="bottomLeft"/>
      <selection pane="bottomRight" activeCell="M61" sqref="M61"/>
    </sheetView>
  </sheetViews>
  <sheetFormatPr baseColWidth="10" defaultColWidth="11.42578125" defaultRowHeight="15" x14ac:dyDescent="0.25"/>
  <cols>
    <col min="1" max="1" width="6.42578125" style="325" customWidth="1"/>
    <col min="2" max="2" width="45.140625" style="325" customWidth="1"/>
    <col min="3" max="3" width="59.42578125" style="325" customWidth="1"/>
    <col min="4" max="4" width="21" style="325" customWidth="1"/>
    <col min="5" max="5" width="17" style="325" customWidth="1"/>
    <col min="6" max="6" width="25.7109375" style="325" customWidth="1"/>
    <col min="7" max="7" width="52.140625" style="355" customWidth="1"/>
    <col min="8" max="8" width="11.42578125" style="355" customWidth="1"/>
    <col min="9" max="9" width="23" style="355" customWidth="1"/>
    <col min="10" max="13" width="35" style="325" customWidth="1"/>
    <col min="14" max="16384" width="11.42578125" style="325"/>
  </cols>
  <sheetData>
    <row r="1" spans="1:13" s="261" customFormat="1" ht="39.75" customHeight="1" x14ac:dyDescent="0.3">
      <c r="A1" s="260"/>
      <c r="C1" s="262"/>
      <c r="E1" s="262"/>
    </row>
    <row r="2" spans="1:13" customFormat="1" ht="27" customHeight="1" x14ac:dyDescent="0.3">
      <c r="A2" s="260"/>
      <c r="B2" s="794"/>
      <c r="C2" s="793"/>
      <c r="D2" s="793"/>
      <c r="E2" s="793"/>
      <c r="F2" s="793"/>
      <c r="G2" s="793"/>
      <c r="H2" s="793"/>
      <c r="I2" s="793"/>
    </row>
    <row r="3" spans="1:13" customFormat="1" ht="27" customHeight="1" x14ac:dyDescent="0.3">
      <c r="A3" s="260"/>
      <c r="B3" s="794"/>
      <c r="C3" s="793"/>
      <c r="D3" s="793"/>
      <c r="E3" s="793"/>
      <c r="F3" s="793"/>
      <c r="G3" s="793"/>
      <c r="H3" s="793"/>
      <c r="I3" s="793"/>
    </row>
    <row r="4" spans="1:13" customFormat="1" ht="27" customHeight="1" x14ac:dyDescent="0.3">
      <c r="A4" s="260"/>
      <c r="B4" s="794"/>
      <c r="C4" s="793"/>
      <c r="D4" s="793"/>
      <c r="E4" s="793"/>
      <c r="F4" s="793"/>
      <c r="G4" s="793"/>
      <c r="H4" s="793"/>
      <c r="I4" s="793"/>
    </row>
    <row r="5" spans="1:13" customFormat="1" ht="27" customHeight="1" x14ac:dyDescent="0.3">
      <c r="A5" s="260"/>
      <c r="B5" s="794"/>
      <c r="C5" s="793"/>
      <c r="D5" s="793"/>
      <c r="E5" s="793"/>
      <c r="F5" s="793"/>
      <c r="G5" s="793"/>
      <c r="H5" s="793"/>
      <c r="I5" s="793"/>
    </row>
    <row r="6" spans="1:13" customFormat="1" x14ac:dyDescent="0.25"/>
    <row r="7" spans="1:13" ht="50.25" customHeight="1" x14ac:dyDescent="0.25">
      <c r="B7" s="329" t="s">
        <v>1954</v>
      </c>
      <c r="C7" s="329" t="s">
        <v>1955</v>
      </c>
      <c r="D7" s="330" t="s">
        <v>1956</v>
      </c>
      <c r="E7" s="330" t="s">
        <v>1957</v>
      </c>
      <c r="F7" s="331" t="s">
        <v>1958</v>
      </c>
      <c r="G7" s="330" t="s">
        <v>1959</v>
      </c>
      <c r="H7" s="330" t="s">
        <v>1960</v>
      </c>
      <c r="I7" s="330" t="s">
        <v>1961</v>
      </c>
      <c r="J7" s="332" t="s">
        <v>1962</v>
      </c>
      <c r="K7" s="332" t="s">
        <v>1963</v>
      </c>
      <c r="L7" s="332" t="s">
        <v>1964</v>
      </c>
      <c r="M7" s="332" t="s">
        <v>1965</v>
      </c>
    </row>
    <row r="8" spans="1:13" ht="50.25" customHeight="1" x14ac:dyDescent="0.2">
      <c r="B8" s="275" t="s">
        <v>1966</v>
      </c>
      <c r="C8" s="333" t="s">
        <v>1967</v>
      </c>
      <c r="D8" s="334">
        <v>7757</v>
      </c>
      <c r="E8" s="335">
        <v>13</v>
      </c>
      <c r="F8" s="336" t="s">
        <v>1968</v>
      </c>
      <c r="G8" s="337" t="s">
        <v>1969</v>
      </c>
      <c r="H8" s="290">
        <v>1</v>
      </c>
      <c r="I8" s="338" t="s">
        <v>1871</v>
      </c>
      <c r="J8" s="339" t="s">
        <v>1925</v>
      </c>
      <c r="K8" s="339" t="s">
        <v>1926</v>
      </c>
      <c r="L8" s="339" t="s">
        <v>1465</v>
      </c>
      <c r="M8" s="338" t="s">
        <v>1871</v>
      </c>
    </row>
    <row r="9" spans="1:13" ht="50.25" customHeight="1" x14ac:dyDescent="0.2">
      <c r="B9" s="340" t="s">
        <v>1966</v>
      </c>
      <c r="C9" s="341" t="s">
        <v>1967</v>
      </c>
      <c r="D9" s="334">
        <v>7768</v>
      </c>
      <c r="E9" s="342">
        <v>14</v>
      </c>
      <c r="F9" s="343" t="s">
        <v>1970</v>
      </c>
      <c r="G9" s="337" t="s">
        <v>1971</v>
      </c>
      <c r="H9" s="344">
        <v>1</v>
      </c>
      <c r="I9" s="345" t="s">
        <v>1680</v>
      </c>
      <c r="J9" s="339">
        <v>0</v>
      </c>
      <c r="K9" s="346" t="s">
        <v>1972</v>
      </c>
      <c r="L9" s="346" t="s">
        <v>1973</v>
      </c>
      <c r="M9" s="345" t="s">
        <v>1680</v>
      </c>
    </row>
    <row r="10" spans="1:13" ht="50.25" customHeight="1" x14ac:dyDescent="0.2">
      <c r="B10" s="340" t="s">
        <v>1966</v>
      </c>
      <c r="C10" s="341" t="s">
        <v>1967</v>
      </c>
      <c r="D10" s="334">
        <v>7768</v>
      </c>
      <c r="E10" s="342">
        <v>15</v>
      </c>
      <c r="F10" s="343" t="s">
        <v>1974</v>
      </c>
      <c r="G10" s="337" t="s">
        <v>1975</v>
      </c>
      <c r="H10" s="344">
        <v>1</v>
      </c>
      <c r="I10" s="345" t="s">
        <v>1680</v>
      </c>
      <c r="J10" s="339" t="s">
        <v>1976</v>
      </c>
      <c r="K10" s="346" t="s">
        <v>1977</v>
      </c>
      <c r="L10" s="346" t="s">
        <v>1978</v>
      </c>
      <c r="M10" s="345" t="s">
        <v>1680</v>
      </c>
    </row>
    <row r="11" spans="1:13" ht="50.25" customHeight="1" x14ac:dyDescent="0.2">
      <c r="B11" s="340" t="s">
        <v>1966</v>
      </c>
      <c r="C11" s="341" t="s">
        <v>1967</v>
      </c>
      <c r="D11" s="334">
        <v>7768</v>
      </c>
      <c r="E11" s="342">
        <v>15</v>
      </c>
      <c r="F11" s="343" t="s">
        <v>1974</v>
      </c>
      <c r="G11" s="337" t="s">
        <v>1979</v>
      </c>
      <c r="H11" s="344">
        <v>500000</v>
      </c>
      <c r="I11" s="345">
        <v>30000</v>
      </c>
      <c r="J11" s="339">
        <v>357</v>
      </c>
      <c r="K11" s="346">
        <v>2580</v>
      </c>
      <c r="L11" s="346">
        <v>15482</v>
      </c>
      <c r="M11" s="346">
        <v>30000</v>
      </c>
    </row>
    <row r="12" spans="1:13" ht="50.25" customHeight="1" x14ac:dyDescent="0.2">
      <c r="B12" s="340" t="s">
        <v>1966</v>
      </c>
      <c r="C12" s="341" t="s">
        <v>1967</v>
      </c>
      <c r="D12" s="334">
        <v>7768</v>
      </c>
      <c r="E12" s="342">
        <v>15</v>
      </c>
      <c r="F12" s="343" t="s">
        <v>1974</v>
      </c>
      <c r="G12" s="337" t="s">
        <v>1980</v>
      </c>
      <c r="H12" s="347">
        <v>1</v>
      </c>
      <c r="I12" s="348">
        <v>1</v>
      </c>
      <c r="J12" s="339">
        <v>80</v>
      </c>
      <c r="K12" s="346">
        <v>95</v>
      </c>
      <c r="L12" s="346">
        <v>99</v>
      </c>
      <c r="M12" s="720">
        <v>0.98</v>
      </c>
    </row>
    <row r="13" spans="1:13" ht="50.25" customHeight="1" x14ac:dyDescent="0.2">
      <c r="B13" s="340" t="s">
        <v>1966</v>
      </c>
      <c r="C13" s="341" t="s">
        <v>1967</v>
      </c>
      <c r="D13" s="334">
        <v>7757</v>
      </c>
      <c r="E13" s="342">
        <v>16</v>
      </c>
      <c r="F13" s="343" t="s">
        <v>1981</v>
      </c>
      <c r="G13" s="337" t="s">
        <v>1982</v>
      </c>
      <c r="H13" s="344">
        <v>1</v>
      </c>
      <c r="I13" s="345" t="s">
        <v>1871</v>
      </c>
      <c r="J13" s="339" t="s">
        <v>1925</v>
      </c>
      <c r="K13" s="346" t="s">
        <v>1926</v>
      </c>
      <c r="L13" s="346" t="s">
        <v>1465</v>
      </c>
      <c r="M13" s="345" t="s">
        <v>1871</v>
      </c>
    </row>
    <row r="14" spans="1:13" ht="50.25" customHeight="1" x14ac:dyDescent="0.2">
      <c r="B14" s="340" t="s">
        <v>1966</v>
      </c>
      <c r="C14" s="341" t="s">
        <v>1967</v>
      </c>
      <c r="D14" s="334">
        <v>7757</v>
      </c>
      <c r="E14" s="342">
        <v>16</v>
      </c>
      <c r="F14" s="343" t="s">
        <v>1981</v>
      </c>
      <c r="G14" s="337" t="s">
        <v>1983</v>
      </c>
      <c r="H14" s="344">
        <v>17000</v>
      </c>
      <c r="I14" s="345">
        <v>17000</v>
      </c>
      <c r="J14" s="339">
        <v>6386</v>
      </c>
      <c r="K14" s="346">
        <v>9473</v>
      </c>
      <c r="L14" s="346">
        <v>13345</v>
      </c>
      <c r="M14" s="346">
        <v>19015</v>
      </c>
    </row>
    <row r="15" spans="1:13" ht="50.25" customHeight="1" x14ac:dyDescent="0.2">
      <c r="B15" s="340" t="s">
        <v>1966</v>
      </c>
      <c r="C15" s="341" t="s">
        <v>1967</v>
      </c>
      <c r="D15" s="334">
        <v>7757</v>
      </c>
      <c r="E15" s="342">
        <v>17</v>
      </c>
      <c r="F15" s="343" t="s">
        <v>1984</v>
      </c>
      <c r="G15" s="337" t="s">
        <v>1985</v>
      </c>
      <c r="H15" s="344">
        <v>2987</v>
      </c>
      <c r="I15" s="345">
        <v>2.6619999999999999</v>
      </c>
      <c r="J15" s="339">
        <v>2462</v>
      </c>
      <c r="K15" s="346">
        <v>2487</v>
      </c>
      <c r="L15" s="346">
        <v>2487</v>
      </c>
      <c r="M15" s="346">
        <v>2487</v>
      </c>
    </row>
    <row r="16" spans="1:13" ht="50.25" customHeight="1" x14ac:dyDescent="0.2">
      <c r="A16" s="325" t="s">
        <v>1986</v>
      </c>
      <c r="B16" s="340" t="s">
        <v>1966</v>
      </c>
      <c r="C16" s="343" t="s">
        <v>1987</v>
      </c>
      <c r="D16" s="334">
        <v>7730</v>
      </c>
      <c r="E16" s="342">
        <v>21</v>
      </c>
      <c r="F16" s="343" t="s">
        <v>1988</v>
      </c>
      <c r="G16" s="337" t="s">
        <v>1989</v>
      </c>
      <c r="H16" s="344">
        <v>65.150999999999996</v>
      </c>
      <c r="I16" s="345">
        <v>13.111000000000001</v>
      </c>
      <c r="J16" s="339">
        <v>5716</v>
      </c>
      <c r="K16" s="346">
        <v>7023</v>
      </c>
      <c r="L16" s="346">
        <v>9259</v>
      </c>
      <c r="M16" s="346">
        <v>12270</v>
      </c>
    </row>
    <row r="17" spans="2:13" ht="50.25" customHeight="1" x14ac:dyDescent="0.2">
      <c r="B17" s="340" t="s">
        <v>1966</v>
      </c>
      <c r="C17" s="343" t="s">
        <v>1987</v>
      </c>
      <c r="D17" s="334">
        <v>7756</v>
      </c>
      <c r="E17" s="342">
        <v>25</v>
      </c>
      <c r="F17" s="343" t="s">
        <v>1990</v>
      </c>
      <c r="G17" s="337" t="s">
        <v>1991</v>
      </c>
      <c r="H17" s="344">
        <v>16000</v>
      </c>
      <c r="I17" s="349">
        <v>5611</v>
      </c>
      <c r="J17" s="339">
        <v>1380</v>
      </c>
      <c r="K17" s="346">
        <v>3353</v>
      </c>
      <c r="L17" s="346">
        <v>4469</v>
      </c>
      <c r="M17" s="346">
        <v>5611</v>
      </c>
    </row>
    <row r="18" spans="2:13" ht="50.25" customHeight="1" x14ac:dyDescent="0.2">
      <c r="B18" s="340" t="s">
        <v>1966</v>
      </c>
      <c r="C18" s="343" t="s">
        <v>1987</v>
      </c>
      <c r="D18" s="334">
        <v>7756</v>
      </c>
      <c r="E18" s="342">
        <v>31</v>
      </c>
      <c r="F18" s="343" t="s">
        <v>1992</v>
      </c>
      <c r="G18" s="337" t="s">
        <v>1993</v>
      </c>
      <c r="H18" s="344">
        <v>1</v>
      </c>
      <c r="I18" s="349" t="s">
        <v>1802</v>
      </c>
      <c r="J18" s="339" t="s">
        <v>1913</v>
      </c>
      <c r="K18" s="346" t="s">
        <v>1914</v>
      </c>
      <c r="L18" s="346" t="s">
        <v>1914</v>
      </c>
      <c r="M18" s="349" t="s">
        <v>1802</v>
      </c>
    </row>
    <row r="19" spans="2:13" ht="50.25" customHeight="1" x14ac:dyDescent="0.2">
      <c r="B19" s="340" t="s">
        <v>1966</v>
      </c>
      <c r="C19" s="343" t="s">
        <v>1987</v>
      </c>
      <c r="D19" s="334">
        <v>7744</v>
      </c>
      <c r="E19" s="342">
        <v>41</v>
      </c>
      <c r="F19" s="343" t="s">
        <v>1994</v>
      </c>
      <c r="G19" s="337" t="s">
        <v>1995</v>
      </c>
      <c r="H19" s="344">
        <v>1</v>
      </c>
      <c r="I19" s="345" t="s">
        <v>1843</v>
      </c>
      <c r="J19" s="339" t="s">
        <v>1844</v>
      </c>
      <c r="K19" s="346" t="s">
        <v>1845</v>
      </c>
      <c r="L19" s="346" t="s">
        <v>1846</v>
      </c>
      <c r="M19" s="345" t="s">
        <v>1843</v>
      </c>
    </row>
    <row r="20" spans="2:13" ht="50.25" customHeight="1" x14ac:dyDescent="0.2">
      <c r="B20" s="340" t="s">
        <v>1966</v>
      </c>
      <c r="C20" s="343" t="s">
        <v>1987</v>
      </c>
      <c r="D20" s="334">
        <v>7744</v>
      </c>
      <c r="E20" s="342">
        <v>42</v>
      </c>
      <c r="F20" s="343" t="s">
        <v>1996</v>
      </c>
      <c r="G20" s="337" t="s">
        <v>1997</v>
      </c>
      <c r="H20" s="344">
        <v>71000</v>
      </c>
      <c r="I20" s="345">
        <v>71000</v>
      </c>
      <c r="J20" s="339">
        <v>26401</v>
      </c>
      <c r="K20" s="346">
        <v>62381</v>
      </c>
      <c r="L20" s="346">
        <v>74410</v>
      </c>
      <c r="M20" s="346">
        <v>81365</v>
      </c>
    </row>
    <row r="21" spans="2:13" ht="50.25" customHeight="1" x14ac:dyDescent="0.2">
      <c r="B21" s="340" t="s">
        <v>1966</v>
      </c>
      <c r="C21" s="343" t="s">
        <v>1987</v>
      </c>
      <c r="D21" s="334">
        <v>7744</v>
      </c>
      <c r="E21" s="342">
        <v>43</v>
      </c>
      <c r="F21" s="343" t="s">
        <v>1998</v>
      </c>
      <c r="G21" s="337" t="s">
        <v>1999</v>
      </c>
      <c r="H21" s="344">
        <v>15000</v>
      </c>
      <c r="I21" s="345">
        <v>12300</v>
      </c>
      <c r="J21" s="339">
        <v>10918</v>
      </c>
      <c r="K21" s="346">
        <v>12794</v>
      </c>
      <c r="L21" s="346">
        <v>13592</v>
      </c>
      <c r="M21" s="346">
        <v>14499</v>
      </c>
    </row>
    <row r="22" spans="2:13" ht="50.25" customHeight="1" x14ac:dyDescent="0.2">
      <c r="B22" s="340" t="s">
        <v>1966</v>
      </c>
      <c r="C22" s="343" t="s">
        <v>1987</v>
      </c>
      <c r="D22" s="334">
        <v>7752</v>
      </c>
      <c r="E22" s="342">
        <v>44</v>
      </c>
      <c r="F22" s="343" t="s">
        <v>2000</v>
      </c>
      <c r="G22" s="337" t="s">
        <v>2001</v>
      </c>
      <c r="H22" s="347">
        <v>1</v>
      </c>
      <c r="I22" s="348">
        <v>1</v>
      </c>
      <c r="J22" s="339">
        <v>100</v>
      </c>
      <c r="K22" s="346">
        <v>1</v>
      </c>
      <c r="L22" s="346">
        <v>100</v>
      </c>
      <c r="M22" s="348">
        <v>1</v>
      </c>
    </row>
    <row r="23" spans="2:13" ht="99" customHeight="1" x14ac:dyDescent="0.2">
      <c r="B23" s="340" t="s">
        <v>1966</v>
      </c>
      <c r="C23" s="343" t="s">
        <v>1987</v>
      </c>
      <c r="D23" s="334">
        <v>7745</v>
      </c>
      <c r="E23" s="342">
        <v>45</v>
      </c>
      <c r="F23" s="343" t="s">
        <v>2002</v>
      </c>
      <c r="G23" s="337" t="s">
        <v>2003</v>
      </c>
      <c r="H23" s="344">
        <v>15000</v>
      </c>
      <c r="I23" s="345">
        <v>15000</v>
      </c>
      <c r="J23" s="339">
        <v>11138</v>
      </c>
      <c r="K23" s="346">
        <v>15737</v>
      </c>
      <c r="L23" s="346">
        <v>18282</v>
      </c>
      <c r="M23" s="346">
        <v>19339</v>
      </c>
    </row>
    <row r="24" spans="2:13" ht="50.25" customHeight="1" x14ac:dyDescent="0.2">
      <c r="B24" s="340" t="s">
        <v>1966</v>
      </c>
      <c r="C24" s="343" t="s">
        <v>1987</v>
      </c>
      <c r="D24" s="334">
        <v>7745</v>
      </c>
      <c r="E24" s="342">
        <v>46</v>
      </c>
      <c r="F24" s="343" t="s">
        <v>2004</v>
      </c>
      <c r="G24" s="337" t="s">
        <v>2005</v>
      </c>
      <c r="H24" s="344">
        <v>4500</v>
      </c>
      <c r="I24" s="345">
        <v>1500</v>
      </c>
      <c r="J24" s="339">
        <v>22</v>
      </c>
      <c r="K24" s="346">
        <v>22</v>
      </c>
      <c r="L24" s="346">
        <v>27</v>
      </c>
      <c r="M24" s="346">
        <v>26</v>
      </c>
    </row>
    <row r="25" spans="2:13" ht="50.25" customHeight="1" x14ac:dyDescent="0.2">
      <c r="B25" s="340" t="s">
        <v>1966</v>
      </c>
      <c r="C25" s="343" t="s">
        <v>1987</v>
      </c>
      <c r="D25" s="334">
        <v>7744</v>
      </c>
      <c r="E25" s="342">
        <v>47</v>
      </c>
      <c r="F25" s="343" t="s">
        <v>2006</v>
      </c>
      <c r="G25" s="337" t="s">
        <v>2007</v>
      </c>
      <c r="H25" s="344">
        <v>8300</v>
      </c>
      <c r="I25" s="345">
        <v>4500</v>
      </c>
      <c r="J25" s="339">
        <v>3248</v>
      </c>
      <c r="K25" s="346">
        <v>3966</v>
      </c>
      <c r="L25" s="346">
        <v>4440</v>
      </c>
      <c r="M25" s="346">
        <v>4596</v>
      </c>
    </row>
    <row r="26" spans="2:13" ht="50.25" customHeight="1" x14ac:dyDescent="0.2">
      <c r="B26" s="340" t="s">
        <v>1966</v>
      </c>
      <c r="C26" s="343" t="s">
        <v>1987</v>
      </c>
      <c r="D26" s="334">
        <v>7770</v>
      </c>
      <c r="E26" s="342">
        <v>49</v>
      </c>
      <c r="F26" s="343" t="s">
        <v>2008</v>
      </c>
      <c r="G26" s="337" t="s">
        <v>2009</v>
      </c>
      <c r="H26" s="344">
        <v>20</v>
      </c>
      <c r="I26" s="345">
        <v>20</v>
      </c>
      <c r="J26" s="339">
        <v>10</v>
      </c>
      <c r="K26" s="346">
        <v>14</v>
      </c>
      <c r="L26" s="346">
        <v>18</v>
      </c>
      <c r="M26" s="346">
        <v>20</v>
      </c>
    </row>
    <row r="27" spans="2:13" ht="50.25" customHeight="1" x14ac:dyDescent="0.2">
      <c r="B27" s="340" t="s">
        <v>1966</v>
      </c>
      <c r="C27" s="343" t="s">
        <v>1987</v>
      </c>
      <c r="D27" s="334">
        <v>7745</v>
      </c>
      <c r="E27" s="342">
        <v>50</v>
      </c>
      <c r="F27" s="343" t="s">
        <v>2010</v>
      </c>
      <c r="G27" s="337" t="s">
        <v>2011</v>
      </c>
      <c r="H27" s="347">
        <v>1</v>
      </c>
      <c r="I27" s="348">
        <v>1</v>
      </c>
      <c r="J27" s="339" t="s">
        <v>2012</v>
      </c>
      <c r="K27" s="346" t="s">
        <v>2013</v>
      </c>
      <c r="L27" s="346" t="s">
        <v>2013</v>
      </c>
      <c r="M27" s="348" t="s">
        <v>2014</v>
      </c>
    </row>
    <row r="28" spans="2:13" ht="50.25" customHeight="1" x14ac:dyDescent="0.2">
      <c r="B28" s="340" t="s">
        <v>1966</v>
      </c>
      <c r="C28" s="343" t="s">
        <v>1987</v>
      </c>
      <c r="D28" s="334">
        <v>7745</v>
      </c>
      <c r="E28" s="342">
        <v>51</v>
      </c>
      <c r="F28" s="343" t="s">
        <v>2015</v>
      </c>
      <c r="G28" s="337" t="s">
        <v>2016</v>
      </c>
      <c r="H28" s="347">
        <v>1</v>
      </c>
      <c r="I28" s="348">
        <v>1</v>
      </c>
      <c r="J28" s="339" t="s">
        <v>2017</v>
      </c>
      <c r="K28" s="346">
        <v>97</v>
      </c>
      <c r="L28" s="346" t="s">
        <v>2018</v>
      </c>
      <c r="M28" s="348" t="s">
        <v>2014</v>
      </c>
    </row>
    <row r="29" spans="2:13" ht="50.25" customHeight="1" x14ac:dyDescent="0.2">
      <c r="B29" s="340" t="s">
        <v>1966</v>
      </c>
      <c r="C29" s="343" t="s">
        <v>1987</v>
      </c>
      <c r="D29" s="334">
        <v>7745</v>
      </c>
      <c r="E29" s="342">
        <v>54</v>
      </c>
      <c r="F29" s="343" t="s">
        <v>2019</v>
      </c>
      <c r="G29" s="337" t="s">
        <v>2020</v>
      </c>
      <c r="H29" s="344">
        <v>1</v>
      </c>
      <c r="I29" s="345" t="s">
        <v>1871</v>
      </c>
      <c r="J29" s="339" t="s">
        <v>1844</v>
      </c>
      <c r="K29" s="346" t="s">
        <v>2021</v>
      </c>
      <c r="L29" s="346" t="s">
        <v>1870</v>
      </c>
      <c r="M29" s="345" t="s">
        <v>1871</v>
      </c>
    </row>
    <row r="30" spans="2:13" ht="50.25" customHeight="1" x14ac:dyDescent="0.2">
      <c r="B30" s="340" t="s">
        <v>1966</v>
      </c>
      <c r="C30" s="343" t="s">
        <v>1987</v>
      </c>
      <c r="D30" s="334">
        <v>7752</v>
      </c>
      <c r="E30" s="342">
        <v>55</v>
      </c>
      <c r="F30" s="343" t="s">
        <v>2022</v>
      </c>
      <c r="G30" s="337" t="s">
        <v>2023</v>
      </c>
      <c r="H30" s="344">
        <v>1</v>
      </c>
      <c r="I30" s="345" t="s">
        <v>1387</v>
      </c>
      <c r="J30" s="339" t="s">
        <v>2024</v>
      </c>
      <c r="K30" s="346" t="s">
        <v>2025</v>
      </c>
      <c r="L30" s="346" t="s">
        <v>1844</v>
      </c>
      <c r="M30" s="345" t="s">
        <v>1387</v>
      </c>
    </row>
    <row r="31" spans="2:13" ht="50.25" customHeight="1" x14ac:dyDescent="0.2">
      <c r="B31" s="340" t="s">
        <v>1966</v>
      </c>
      <c r="C31" s="343" t="s">
        <v>1987</v>
      </c>
      <c r="D31" s="334">
        <v>7771</v>
      </c>
      <c r="E31" s="342">
        <v>57</v>
      </c>
      <c r="F31" s="343" t="s">
        <v>2026</v>
      </c>
      <c r="G31" s="337" t="s">
        <v>2027</v>
      </c>
      <c r="H31" s="344">
        <v>1</v>
      </c>
      <c r="I31" s="345" t="s">
        <v>1825</v>
      </c>
      <c r="J31" s="339" t="s">
        <v>2028</v>
      </c>
      <c r="K31" s="346" t="s">
        <v>2029</v>
      </c>
      <c r="L31" s="346" t="s">
        <v>2030</v>
      </c>
      <c r="M31" s="345" t="s">
        <v>1825</v>
      </c>
    </row>
    <row r="32" spans="2:13" ht="50.25" customHeight="1" x14ac:dyDescent="0.2">
      <c r="B32" s="340" t="s">
        <v>1966</v>
      </c>
      <c r="C32" s="343" t="s">
        <v>1987</v>
      </c>
      <c r="D32" s="334">
        <v>7771</v>
      </c>
      <c r="E32" s="342">
        <v>58</v>
      </c>
      <c r="F32" s="343" t="s">
        <v>2031</v>
      </c>
      <c r="G32" s="337" t="s">
        <v>2032</v>
      </c>
      <c r="H32" s="347">
        <v>0.3</v>
      </c>
      <c r="I32" s="348" t="s">
        <v>2033</v>
      </c>
      <c r="J32" s="339" t="s">
        <v>2034</v>
      </c>
      <c r="K32" s="346" t="s">
        <v>2035</v>
      </c>
      <c r="L32" s="346" t="s">
        <v>2036</v>
      </c>
      <c r="M32" s="348" t="s">
        <v>2033</v>
      </c>
    </row>
    <row r="33" spans="2:13" ht="50.25" customHeight="1" x14ac:dyDescent="0.2">
      <c r="B33" s="340" t="s">
        <v>1966</v>
      </c>
      <c r="C33" s="343" t="s">
        <v>1987</v>
      </c>
      <c r="D33" s="334">
        <v>7771</v>
      </c>
      <c r="E33" s="342">
        <v>58</v>
      </c>
      <c r="F33" s="343" t="s">
        <v>2031</v>
      </c>
      <c r="G33" s="337" t="s">
        <v>2037</v>
      </c>
      <c r="H33" s="344">
        <v>4.258</v>
      </c>
      <c r="I33" s="345">
        <v>4088</v>
      </c>
      <c r="J33" s="339">
        <v>3712</v>
      </c>
      <c r="K33" s="346">
        <v>3836</v>
      </c>
      <c r="L33" s="346">
        <v>3958</v>
      </c>
      <c r="M33" s="345">
        <v>4088</v>
      </c>
    </row>
    <row r="34" spans="2:13" ht="50.25" customHeight="1" x14ac:dyDescent="0.2">
      <c r="B34" s="340" t="s">
        <v>1966</v>
      </c>
      <c r="C34" s="343" t="s">
        <v>1987</v>
      </c>
      <c r="D34" s="334">
        <v>7771</v>
      </c>
      <c r="E34" s="342">
        <v>59</v>
      </c>
      <c r="F34" s="343" t="s">
        <v>2038</v>
      </c>
      <c r="G34" s="337" t="s">
        <v>2039</v>
      </c>
      <c r="H34" s="347">
        <v>0.4</v>
      </c>
      <c r="I34" s="345" t="s">
        <v>2040</v>
      </c>
      <c r="J34" s="339" t="s">
        <v>2041</v>
      </c>
      <c r="K34" s="346" t="s">
        <v>2042</v>
      </c>
      <c r="L34" s="346" t="s">
        <v>2043</v>
      </c>
      <c r="M34" s="345" t="s">
        <v>2040</v>
      </c>
    </row>
    <row r="35" spans="2:13" ht="50.25" customHeight="1" x14ac:dyDescent="0.2">
      <c r="B35" s="340" t="s">
        <v>1966</v>
      </c>
      <c r="C35" s="343" t="s">
        <v>1987</v>
      </c>
      <c r="D35" s="334">
        <v>7771</v>
      </c>
      <c r="E35" s="342">
        <v>59</v>
      </c>
      <c r="F35" s="343" t="s">
        <v>2038</v>
      </c>
      <c r="G35" s="337" t="s">
        <v>2044</v>
      </c>
      <c r="H35" s="344">
        <v>2.5609999999999999</v>
      </c>
      <c r="I35" s="345">
        <v>692</v>
      </c>
      <c r="J35" s="339">
        <v>86</v>
      </c>
      <c r="K35" s="346">
        <v>291</v>
      </c>
      <c r="L35" s="346">
        <v>554</v>
      </c>
      <c r="M35" s="345">
        <v>692</v>
      </c>
    </row>
    <row r="36" spans="2:13" ht="50.25" customHeight="1" x14ac:dyDescent="0.2">
      <c r="B36" s="340" t="s">
        <v>1966</v>
      </c>
      <c r="C36" s="343" t="s">
        <v>1987</v>
      </c>
      <c r="D36" s="334">
        <v>7770</v>
      </c>
      <c r="E36" s="342">
        <v>60</v>
      </c>
      <c r="F36" s="343" t="s">
        <v>2045</v>
      </c>
      <c r="G36" s="337" t="s">
        <v>2046</v>
      </c>
      <c r="H36" s="347">
        <v>0.56999999999999995</v>
      </c>
      <c r="I36" s="345" t="s">
        <v>2047</v>
      </c>
      <c r="J36" s="339">
        <v>39</v>
      </c>
      <c r="K36" s="346" t="s">
        <v>2048</v>
      </c>
      <c r="L36" s="346" t="s">
        <v>2049</v>
      </c>
      <c r="M36" s="345" t="s">
        <v>2050</v>
      </c>
    </row>
    <row r="37" spans="2:13" ht="50.25" customHeight="1" x14ac:dyDescent="0.2">
      <c r="B37" s="340" t="s">
        <v>1966</v>
      </c>
      <c r="C37" s="343" t="s">
        <v>1987</v>
      </c>
      <c r="D37" s="334">
        <v>7770</v>
      </c>
      <c r="E37" s="342">
        <v>60</v>
      </c>
      <c r="F37" s="343" t="s">
        <v>2045</v>
      </c>
      <c r="G37" s="337" t="s">
        <v>2051</v>
      </c>
      <c r="H37" s="344">
        <v>40820</v>
      </c>
      <c r="I37" s="345">
        <v>34.103999999999999</v>
      </c>
      <c r="J37" s="339">
        <v>28577</v>
      </c>
      <c r="K37" s="346">
        <v>31046</v>
      </c>
      <c r="L37" s="346">
        <v>39004</v>
      </c>
      <c r="M37" s="345">
        <v>41003</v>
      </c>
    </row>
    <row r="38" spans="2:13" ht="50.25" customHeight="1" x14ac:dyDescent="0.2">
      <c r="B38" s="340" t="s">
        <v>1966</v>
      </c>
      <c r="C38" s="341" t="s">
        <v>1967</v>
      </c>
      <c r="D38" s="334">
        <v>7770</v>
      </c>
      <c r="E38" s="342">
        <v>61</v>
      </c>
      <c r="F38" s="343" t="s">
        <v>2052</v>
      </c>
      <c r="G38" s="337" t="s">
        <v>2053</v>
      </c>
      <c r="H38" s="721">
        <v>200000</v>
      </c>
      <c r="I38" s="722">
        <v>135000</v>
      </c>
      <c r="J38" s="339">
        <v>130000</v>
      </c>
      <c r="K38" s="346">
        <v>130000</v>
      </c>
      <c r="L38" s="346">
        <v>130000</v>
      </c>
      <c r="M38" s="722">
        <v>130000</v>
      </c>
    </row>
    <row r="39" spans="2:13" ht="50.25" customHeight="1" x14ac:dyDescent="0.2">
      <c r="B39" s="340" t="s">
        <v>1966</v>
      </c>
      <c r="C39" s="341" t="s">
        <v>1967</v>
      </c>
      <c r="D39" s="334">
        <v>7770</v>
      </c>
      <c r="E39" s="342">
        <v>61</v>
      </c>
      <c r="F39" s="343" t="s">
        <v>2052</v>
      </c>
      <c r="G39" s="337" t="s">
        <v>2054</v>
      </c>
      <c r="H39" s="344">
        <v>92500</v>
      </c>
      <c r="I39" s="345">
        <v>89.837999999999994</v>
      </c>
      <c r="J39" s="339">
        <v>89838</v>
      </c>
      <c r="K39" s="346">
        <v>89840</v>
      </c>
      <c r="L39" s="346">
        <v>89841</v>
      </c>
      <c r="M39" s="345">
        <v>89843</v>
      </c>
    </row>
    <row r="40" spans="2:13" ht="50.25" customHeight="1" x14ac:dyDescent="0.2">
      <c r="B40" s="340" t="s">
        <v>1966</v>
      </c>
      <c r="C40" s="343" t="s">
        <v>1987</v>
      </c>
      <c r="D40" s="334">
        <v>7565</v>
      </c>
      <c r="E40" s="342">
        <v>62</v>
      </c>
      <c r="F40" s="343" t="s">
        <v>2055</v>
      </c>
      <c r="G40" s="337" t="s">
        <v>2056</v>
      </c>
      <c r="H40" s="347">
        <v>1</v>
      </c>
      <c r="I40" s="348">
        <v>0.2</v>
      </c>
      <c r="J40" s="339" t="s">
        <v>2057</v>
      </c>
      <c r="K40" s="346" t="s">
        <v>2058</v>
      </c>
      <c r="L40" s="346" t="s">
        <v>2059</v>
      </c>
      <c r="M40" s="345" t="s">
        <v>2060</v>
      </c>
    </row>
    <row r="41" spans="2:13" ht="50.25" customHeight="1" x14ac:dyDescent="0.2">
      <c r="B41" s="340" t="s">
        <v>1966</v>
      </c>
      <c r="C41" s="343" t="s">
        <v>1987</v>
      </c>
      <c r="D41" s="334">
        <v>7565</v>
      </c>
      <c r="E41" s="342">
        <v>62</v>
      </c>
      <c r="F41" s="343" t="s">
        <v>2055</v>
      </c>
      <c r="G41" s="337" t="s">
        <v>2061</v>
      </c>
      <c r="H41" s="344">
        <v>6</v>
      </c>
      <c r="I41" s="345">
        <v>1</v>
      </c>
      <c r="J41" s="339">
        <v>0</v>
      </c>
      <c r="K41" s="346">
        <v>0</v>
      </c>
      <c r="L41" s="346">
        <v>1</v>
      </c>
      <c r="M41" s="345">
        <v>1</v>
      </c>
    </row>
    <row r="42" spans="2:13" ht="50.25" customHeight="1" x14ac:dyDescent="0.2">
      <c r="B42" s="340" t="s">
        <v>1966</v>
      </c>
      <c r="C42" s="343" t="s">
        <v>1987</v>
      </c>
      <c r="D42" s="334">
        <v>7565</v>
      </c>
      <c r="E42" s="342">
        <v>62</v>
      </c>
      <c r="F42" s="343" t="s">
        <v>2055</v>
      </c>
      <c r="G42" s="337" t="s">
        <v>2062</v>
      </c>
      <c r="H42" s="347">
        <v>0.6</v>
      </c>
      <c r="I42" s="348">
        <v>0.6</v>
      </c>
      <c r="J42" s="339">
        <v>37</v>
      </c>
      <c r="K42" s="346" t="s">
        <v>2063</v>
      </c>
      <c r="L42" s="346" t="s">
        <v>2064</v>
      </c>
      <c r="M42" s="345" t="s">
        <v>2065</v>
      </c>
    </row>
    <row r="43" spans="2:13" ht="50.25" customHeight="1" x14ac:dyDescent="0.2">
      <c r="B43" s="340" t="s">
        <v>1966</v>
      </c>
      <c r="C43" s="343" t="s">
        <v>1987</v>
      </c>
      <c r="D43" s="334">
        <v>7565</v>
      </c>
      <c r="E43" s="342">
        <v>62</v>
      </c>
      <c r="F43" s="343" t="s">
        <v>2055</v>
      </c>
      <c r="G43" s="337" t="s">
        <v>2066</v>
      </c>
      <c r="H43" s="344">
        <v>6</v>
      </c>
      <c r="I43" s="345">
        <v>1</v>
      </c>
      <c r="J43" s="339">
        <v>0</v>
      </c>
      <c r="K43" s="346">
        <v>0</v>
      </c>
      <c r="L43" s="346">
        <v>0</v>
      </c>
      <c r="M43" s="345" t="s">
        <v>1770</v>
      </c>
    </row>
    <row r="44" spans="2:13" ht="50.25" customHeight="1" x14ac:dyDescent="0.2">
      <c r="B44" s="340" t="s">
        <v>1966</v>
      </c>
      <c r="C44" s="343" t="s">
        <v>1987</v>
      </c>
      <c r="D44" s="334">
        <v>7749</v>
      </c>
      <c r="E44" s="342">
        <v>63</v>
      </c>
      <c r="F44" s="343" t="s">
        <v>2067</v>
      </c>
      <c r="G44" s="337" t="s">
        <v>2068</v>
      </c>
      <c r="H44" s="344" t="s">
        <v>2069</v>
      </c>
      <c r="I44" s="345" t="s">
        <v>2069</v>
      </c>
      <c r="J44" s="339" t="s">
        <v>2070</v>
      </c>
      <c r="K44" s="346" t="s">
        <v>1913</v>
      </c>
      <c r="L44" s="346" t="s">
        <v>1681</v>
      </c>
      <c r="M44" s="345" t="s">
        <v>2069</v>
      </c>
    </row>
    <row r="45" spans="2:13" ht="50.25" customHeight="1" x14ac:dyDescent="0.2">
      <c r="B45" s="340" t="s">
        <v>1966</v>
      </c>
      <c r="C45" s="343" t="s">
        <v>1987</v>
      </c>
      <c r="D45" s="334">
        <v>7749</v>
      </c>
      <c r="E45" s="342">
        <v>63</v>
      </c>
      <c r="F45" s="343" t="s">
        <v>2067</v>
      </c>
      <c r="G45" s="337" t="s">
        <v>2071</v>
      </c>
      <c r="H45" s="344">
        <v>151418</v>
      </c>
      <c r="I45" s="349">
        <v>43300</v>
      </c>
      <c r="J45" s="339">
        <v>19815</v>
      </c>
      <c r="K45" s="346">
        <v>32096</v>
      </c>
      <c r="L45" s="346">
        <v>38112</v>
      </c>
      <c r="M45" s="346">
        <v>56802</v>
      </c>
    </row>
    <row r="46" spans="2:13" ht="50.25" customHeight="1" x14ac:dyDescent="0.2">
      <c r="B46" s="340" t="s">
        <v>1966</v>
      </c>
      <c r="C46" s="343" t="s">
        <v>1987</v>
      </c>
      <c r="D46" s="334">
        <v>7745</v>
      </c>
      <c r="E46" s="342">
        <v>64</v>
      </c>
      <c r="F46" s="343" t="s">
        <v>2072</v>
      </c>
      <c r="G46" s="337" t="s">
        <v>2073</v>
      </c>
      <c r="H46" s="347">
        <v>1</v>
      </c>
      <c r="I46" s="348">
        <v>1</v>
      </c>
      <c r="J46" s="339">
        <v>100</v>
      </c>
      <c r="K46" s="346">
        <v>1</v>
      </c>
      <c r="L46" s="346">
        <v>100</v>
      </c>
      <c r="M46" s="348">
        <v>1</v>
      </c>
    </row>
    <row r="47" spans="2:13" ht="50.25" customHeight="1" x14ac:dyDescent="0.2">
      <c r="B47" s="340" t="s">
        <v>1966</v>
      </c>
      <c r="C47" s="343" t="s">
        <v>1987</v>
      </c>
      <c r="D47" s="334">
        <v>7753</v>
      </c>
      <c r="E47" s="342">
        <v>73</v>
      </c>
      <c r="F47" s="343" t="s">
        <v>2074</v>
      </c>
      <c r="G47" s="337" t="s">
        <v>2075</v>
      </c>
      <c r="H47" s="344">
        <v>70046</v>
      </c>
      <c r="I47" s="349">
        <v>19.254999999999999</v>
      </c>
      <c r="J47" s="339">
        <v>3553</v>
      </c>
      <c r="K47" s="346">
        <v>11940</v>
      </c>
      <c r="L47" s="346">
        <v>17553</v>
      </c>
      <c r="M47" s="349">
        <v>19259</v>
      </c>
    </row>
    <row r="48" spans="2:13" ht="50.25" customHeight="1" x14ac:dyDescent="0.2">
      <c r="B48" s="340" t="s">
        <v>1966</v>
      </c>
      <c r="C48" s="341" t="s">
        <v>2076</v>
      </c>
      <c r="D48" s="334">
        <v>7740</v>
      </c>
      <c r="E48" s="342">
        <v>110</v>
      </c>
      <c r="F48" s="343" t="s">
        <v>2077</v>
      </c>
      <c r="G48" s="337" t="s">
        <v>2078</v>
      </c>
      <c r="H48" s="344">
        <v>2.4540000000000002</v>
      </c>
      <c r="I48" s="345">
        <v>660</v>
      </c>
      <c r="J48" s="339">
        <v>462</v>
      </c>
      <c r="K48" s="346">
        <v>506</v>
      </c>
      <c r="L48" s="346">
        <v>592</v>
      </c>
      <c r="M48" s="346">
        <v>633</v>
      </c>
    </row>
    <row r="49" spans="2:13" ht="50.25" customHeight="1" x14ac:dyDescent="0.2">
      <c r="B49" s="340" t="s">
        <v>1966</v>
      </c>
      <c r="C49" s="341" t="s">
        <v>2076</v>
      </c>
      <c r="D49" s="334">
        <v>7740</v>
      </c>
      <c r="E49" s="342">
        <v>113</v>
      </c>
      <c r="F49" s="343" t="s">
        <v>2079</v>
      </c>
      <c r="G49" s="337" t="s">
        <v>2080</v>
      </c>
      <c r="H49" s="344">
        <v>19720</v>
      </c>
      <c r="I49" s="344">
        <v>15.917999999999999</v>
      </c>
      <c r="J49" s="339">
        <v>4035</v>
      </c>
      <c r="K49" s="346">
        <v>8998</v>
      </c>
      <c r="L49" s="346">
        <v>13910</v>
      </c>
      <c r="M49" s="344">
        <v>15.917999999999999</v>
      </c>
    </row>
    <row r="50" spans="2:13" ht="50.25" customHeight="1" x14ac:dyDescent="0.2">
      <c r="B50" s="340" t="s">
        <v>1966</v>
      </c>
      <c r="C50" s="341" t="s">
        <v>2076</v>
      </c>
      <c r="D50" s="334">
        <v>7740</v>
      </c>
      <c r="E50" s="342">
        <v>114</v>
      </c>
      <c r="F50" s="343" t="s">
        <v>2081</v>
      </c>
      <c r="G50" s="337" t="s">
        <v>2082</v>
      </c>
      <c r="H50" s="347">
        <v>1</v>
      </c>
      <c r="I50" s="348" t="s">
        <v>1811</v>
      </c>
      <c r="J50" s="339" t="s">
        <v>2083</v>
      </c>
      <c r="K50" s="346" t="s">
        <v>2084</v>
      </c>
      <c r="L50" s="346" t="s">
        <v>2085</v>
      </c>
      <c r="M50" s="348" t="s">
        <v>1811</v>
      </c>
    </row>
    <row r="51" spans="2:13" ht="50.25" customHeight="1" x14ac:dyDescent="0.2">
      <c r="B51" s="340" t="s">
        <v>1966</v>
      </c>
      <c r="C51" s="341" t="s">
        <v>2076</v>
      </c>
      <c r="D51" s="334">
        <v>7740</v>
      </c>
      <c r="E51" s="342">
        <v>114</v>
      </c>
      <c r="F51" s="343" t="s">
        <v>2081</v>
      </c>
      <c r="G51" s="337" t="s">
        <v>2086</v>
      </c>
      <c r="H51" s="344">
        <v>216940</v>
      </c>
      <c r="I51" s="344">
        <v>67.149000000000001</v>
      </c>
      <c r="J51" s="339">
        <v>9460</v>
      </c>
      <c r="K51" s="346">
        <v>34633</v>
      </c>
      <c r="L51" s="346">
        <v>48123</v>
      </c>
      <c r="M51" s="344">
        <v>67.149000000000001</v>
      </c>
    </row>
    <row r="52" spans="2:13" ht="50.25" customHeight="1" x14ac:dyDescent="0.2">
      <c r="B52" s="340" t="s">
        <v>1966</v>
      </c>
      <c r="C52" s="341" t="s">
        <v>2076</v>
      </c>
      <c r="D52" s="334">
        <v>7740</v>
      </c>
      <c r="E52" s="342">
        <v>114</v>
      </c>
      <c r="F52" s="343" t="s">
        <v>2081</v>
      </c>
      <c r="G52" s="337" t="s">
        <v>2087</v>
      </c>
      <c r="H52" s="344">
        <v>50000</v>
      </c>
      <c r="I52" s="345">
        <v>28698</v>
      </c>
      <c r="J52" s="339">
        <v>3410</v>
      </c>
      <c r="K52" s="346">
        <v>13936</v>
      </c>
      <c r="L52" s="346">
        <v>17590</v>
      </c>
      <c r="M52" s="346">
        <v>32093</v>
      </c>
    </row>
    <row r="53" spans="2:13" ht="50.25" customHeight="1" x14ac:dyDescent="0.2">
      <c r="B53" s="340" t="s">
        <v>2088</v>
      </c>
      <c r="C53" s="341" t="s">
        <v>2089</v>
      </c>
      <c r="D53" s="334">
        <v>7564</v>
      </c>
      <c r="E53" s="342">
        <v>364</v>
      </c>
      <c r="F53" s="343" t="s">
        <v>2090</v>
      </c>
      <c r="G53" s="337" t="s">
        <v>2091</v>
      </c>
      <c r="H53" s="347">
        <v>1</v>
      </c>
      <c r="I53" s="345" t="s">
        <v>2092</v>
      </c>
      <c r="J53" s="339">
        <v>13</v>
      </c>
      <c r="K53" s="346">
        <v>23</v>
      </c>
      <c r="L53" s="346">
        <v>24</v>
      </c>
      <c r="M53" s="345" t="s">
        <v>2092</v>
      </c>
    </row>
    <row r="54" spans="2:13" ht="50.25" customHeight="1" x14ac:dyDescent="0.2">
      <c r="B54" s="340" t="s">
        <v>2093</v>
      </c>
      <c r="C54" s="341" t="s">
        <v>2094</v>
      </c>
      <c r="D54" s="334">
        <v>7741</v>
      </c>
      <c r="E54" s="342">
        <v>411</v>
      </c>
      <c r="F54" s="343" t="s">
        <v>2095</v>
      </c>
      <c r="G54" s="337" t="s">
        <v>2096</v>
      </c>
      <c r="H54" s="347">
        <v>1</v>
      </c>
      <c r="I54" s="345" t="s">
        <v>2097</v>
      </c>
      <c r="J54" s="339" t="s">
        <v>2098</v>
      </c>
      <c r="K54" s="346" t="s">
        <v>2099</v>
      </c>
      <c r="L54" s="346" t="s">
        <v>2100</v>
      </c>
      <c r="M54" s="345" t="s">
        <v>2097</v>
      </c>
    </row>
    <row r="55" spans="2:13" ht="50.25" customHeight="1" x14ac:dyDescent="0.2">
      <c r="B55" s="340" t="s">
        <v>2093</v>
      </c>
      <c r="C55" s="341" t="s">
        <v>2094</v>
      </c>
      <c r="D55" s="334">
        <v>7741</v>
      </c>
      <c r="E55" s="342">
        <v>412</v>
      </c>
      <c r="F55" s="343" t="s">
        <v>2101</v>
      </c>
      <c r="G55" s="337" t="s">
        <v>2102</v>
      </c>
      <c r="H55" s="347">
        <v>1</v>
      </c>
      <c r="I55" s="345" t="s">
        <v>2103</v>
      </c>
      <c r="J55" s="339" t="s">
        <v>2104</v>
      </c>
      <c r="K55" s="346" t="s">
        <v>2104</v>
      </c>
      <c r="L55" s="346">
        <v>95</v>
      </c>
      <c r="M55" s="345" t="s">
        <v>2103</v>
      </c>
    </row>
    <row r="56" spans="2:13" ht="50.25" customHeight="1" x14ac:dyDescent="0.2">
      <c r="B56" s="340" t="s">
        <v>2093</v>
      </c>
      <c r="C56" s="341" t="s">
        <v>2094</v>
      </c>
      <c r="D56" s="334">
        <v>7733</v>
      </c>
      <c r="E56" s="342">
        <v>481</v>
      </c>
      <c r="F56" s="343" t="s">
        <v>2105</v>
      </c>
      <c r="G56" s="337" t="s">
        <v>2106</v>
      </c>
      <c r="H56" s="344">
        <v>92</v>
      </c>
      <c r="I56" s="345">
        <v>92</v>
      </c>
      <c r="J56" s="339">
        <v>0</v>
      </c>
      <c r="K56" s="346">
        <v>0</v>
      </c>
      <c r="L56" s="346">
        <v>0</v>
      </c>
      <c r="M56" s="346" t="s">
        <v>2107</v>
      </c>
    </row>
    <row r="57" spans="2:13" ht="50.25" customHeight="1" x14ac:dyDescent="0.2">
      <c r="B57" s="340" t="s">
        <v>2093</v>
      </c>
      <c r="C57" s="341" t="s">
        <v>2094</v>
      </c>
      <c r="D57" s="334">
        <v>7733</v>
      </c>
      <c r="E57" s="342">
        <v>484</v>
      </c>
      <c r="F57" s="343" t="s">
        <v>2108</v>
      </c>
      <c r="G57" s="337" t="s">
        <v>2109</v>
      </c>
      <c r="H57" s="344">
        <v>43</v>
      </c>
      <c r="I57" s="345" t="s">
        <v>2110</v>
      </c>
      <c r="J57" s="339" t="s">
        <v>2111</v>
      </c>
      <c r="K57" s="346" t="s">
        <v>2112</v>
      </c>
      <c r="L57" s="346" t="s">
        <v>2113</v>
      </c>
      <c r="M57" s="720">
        <v>0.25</v>
      </c>
    </row>
    <row r="58" spans="2:13" ht="50.25" customHeight="1" x14ac:dyDescent="0.2">
      <c r="B58" s="340" t="s">
        <v>2093</v>
      </c>
      <c r="C58" s="341" t="s">
        <v>2094</v>
      </c>
      <c r="D58" s="334">
        <v>7748</v>
      </c>
      <c r="E58" s="342">
        <v>513</v>
      </c>
      <c r="F58" s="343" t="s">
        <v>2114</v>
      </c>
      <c r="G58" s="337" t="s">
        <v>2115</v>
      </c>
      <c r="H58" s="347">
        <v>1</v>
      </c>
      <c r="I58" s="348">
        <v>1</v>
      </c>
      <c r="J58" s="339" t="s">
        <v>2116</v>
      </c>
      <c r="K58" s="346" t="s">
        <v>2117</v>
      </c>
      <c r="L58" s="346" t="s">
        <v>2118</v>
      </c>
      <c r="M58" s="348">
        <v>1</v>
      </c>
    </row>
    <row r="59" spans="2:13" ht="50.25" customHeight="1" x14ac:dyDescent="0.2">
      <c r="B59" s="340" t="s">
        <v>2093</v>
      </c>
      <c r="C59" s="341" t="s">
        <v>2094</v>
      </c>
      <c r="D59" s="334">
        <v>7748</v>
      </c>
      <c r="E59" s="342">
        <v>519</v>
      </c>
      <c r="F59" s="343" t="s">
        <v>2119</v>
      </c>
      <c r="G59" s="337" t="s">
        <v>2120</v>
      </c>
      <c r="H59" s="347">
        <v>1</v>
      </c>
      <c r="I59" s="348">
        <v>1</v>
      </c>
      <c r="J59" s="339" t="s">
        <v>2121</v>
      </c>
      <c r="K59" s="346" t="s">
        <v>2122</v>
      </c>
      <c r="L59" s="346" t="s">
        <v>2123</v>
      </c>
      <c r="M59" s="348">
        <v>1</v>
      </c>
    </row>
    <row r="60" spans="2:13" ht="50.25" customHeight="1" x14ac:dyDescent="0.2">
      <c r="B60" s="340" t="s">
        <v>2093</v>
      </c>
      <c r="C60" s="341" t="s">
        <v>2094</v>
      </c>
      <c r="D60" s="334">
        <v>7735</v>
      </c>
      <c r="E60" s="342">
        <v>545</v>
      </c>
      <c r="F60" s="343" t="s">
        <v>2124</v>
      </c>
      <c r="G60" s="337" t="s">
        <v>2125</v>
      </c>
      <c r="H60" s="344">
        <v>20</v>
      </c>
      <c r="I60" s="345">
        <v>20</v>
      </c>
      <c r="J60" s="339">
        <v>20</v>
      </c>
      <c r="K60" s="346">
        <v>20</v>
      </c>
      <c r="L60" s="346">
        <v>20</v>
      </c>
      <c r="M60" s="345">
        <v>20</v>
      </c>
    </row>
    <row r="61" spans="2:13" ht="50.25" customHeight="1" x14ac:dyDescent="0.2">
      <c r="B61" s="340" t="s">
        <v>2093</v>
      </c>
      <c r="C61" s="341" t="s">
        <v>2094</v>
      </c>
      <c r="D61" s="350">
        <v>7735</v>
      </c>
      <c r="E61" s="351">
        <v>546</v>
      </c>
      <c r="F61" s="352" t="s">
        <v>2126</v>
      </c>
      <c r="G61" s="337" t="s">
        <v>2127</v>
      </c>
      <c r="H61" s="723">
        <v>1</v>
      </c>
      <c r="I61" s="353" t="s">
        <v>1680</v>
      </c>
      <c r="J61" s="354" t="s">
        <v>2128</v>
      </c>
      <c r="K61" s="346" t="s">
        <v>2129</v>
      </c>
      <c r="L61" s="346" t="s">
        <v>2130</v>
      </c>
      <c r="M61" s="346" t="s">
        <v>1680</v>
      </c>
    </row>
  </sheetData>
  <mergeCells count="2">
    <mergeCell ref="B2:B5"/>
    <mergeCell ref="C2:I5"/>
  </mergeCells>
  <pageMargins left="0.7" right="0.7" top="0.75" bottom="0.75" header="0.3" footer="0.3"/>
  <pageSetup paperSize="9"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F92A9-EC61-4F7E-8333-6F1491FD3660}">
  <dimension ref="A1:Q99"/>
  <sheetViews>
    <sheetView zoomScale="70" zoomScaleNormal="70" workbookViewId="0">
      <selection activeCell="Q1" sqref="Q1"/>
    </sheetView>
  </sheetViews>
  <sheetFormatPr baseColWidth="10" defaultColWidth="11.42578125" defaultRowHeight="15" x14ac:dyDescent="0.25"/>
  <cols>
    <col min="1" max="1" width="12" style="627" customWidth="1"/>
    <col min="2" max="2" width="26" style="263" bestFit="1" customWidth="1"/>
    <col min="3" max="3" width="93.42578125" customWidth="1"/>
    <col min="4" max="4" width="42.140625" style="647" bestFit="1" customWidth="1"/>
    <col min="5" max="5" width="28.7109375" style="647" bestFit="1" customWidth="1"/>
    <col min="6" max="7" width="28.7109375" style="647" customWidth="1"/>
    <col min="8" max="8" width="15.42578125" style="647" bestFit="1" customWidth="1"/>
    <col min="9" max="9" width="25.28515625" customWidth="1"/>
    <col min="10" max="10" width="25.42578125" customWidth="1"/>
    <col min="11" max="11" width="16.42578125" customWidth="1"/>
    <col min="12" max="12" width="20.42578125" bestFit="1" customWidth="1"/>
    <col min="13" max="13" width="18.42578125" customWidth="1"/>
    <col min="14" max="14" width="11" bestFit="1" customWidth="1"/>
    <col min="15" max="15" width="24.140625" customWidth="1"/>
    <col min="16" max="16" width="24.28515625" customWidth="1"/>
    <col min="17" max="17" width="11" bestFit="1" customWidth="1"/>
  </cols>
  <sheetData>
    <row r="1" spans="1:17" s="357" customFormat="1" ht="36" customHeight="1" x14ac:dyDescent="0.25">
      <c r="C1" s="356"/>
      <c r="D1" s="356"/>
    </row>
    <row r="2" spans="1:17" ht="18" customHeight="1" x14ac:dyDescent="0.25">
      <c r="B2" s="794"/>
      <c r="C2" s="800" t="s">
        <v>2131</v>
      </c>
      <c r="D2" s="801"/>
      <c r="E2" s="801"/>
      <c r="F2" s="628"/>
      <c r="G2" s="628"/>
      <c r="H2" s="628"/>
    </row>
    <row r="3" spans="1:17" ht="18" customHeight="1" x14ac:dyDescent="0.25">
      <c r="B3" s="794"/>
      <c r="C3" s="801"/>
      <c r="D3" s="801"/>
      <c r="E3" s="801"/>
      <c r="F3" s="628"/>
      <c r="G3" s="628"/>
      <c r="H3" s="628"/>
    </row>
    <row r="4" spans="1:17" ht="18" customHeight="1" x14ac:dyDescent="0.25">
      <c r="B4" s="794"/>
      <c r="C4" s="801"/>
      <c r="D4" s="801"/>
      <c r="E4" s="801"/>
      <c r="F4" s="628"/>
      <c r="G4" s="628"/>
      <c r="H4" s="628"/>
    </row>
    <row r="5" spans="1:17" ht="18" customHeight="1" x14ac:dyDescent="0.25">
      <c r="B5" s="794"/>
      <c r="C5" s="801"/>
      <c r="D5" s="801"/>
      <c r="E5" s="801"/>
      <c r="F5" s="628"/>
      <c r="G5" s="628"/>
      <c r="H5" s="628"/>
    </row>
    <row r="6" spans="1:17" ht="18" customHeight="1" x14ac:dyDescent="0.25">
      <c r="C6" s="628"/>
      <c r="D6" s="628"/>
      <c r="E6" s="628"/>
      <c r="F6" s="628"/>
      <c r="G6" s="628"/>
      <c r="H6" s="628"/>
    </row>
    <row r="7" spans="1:17" x14ac:dyDescent="0.25">
      <c r="B7" s="629" t="s">
        <v>2132</v>
      </c>
      <c r="C7" s="629"/>
      <c r="D7" s="630"/>
      <c r="E7" s="630"/>
      <c r="F7" s="795" t="s">
        <v>2133</v>
      </c>
      <c r="G7" s="795"/>
      <c r="H7" s="795"/>
      <c r="I7" s="795" t="s">
        <v>2134</v>
      </c>
      <c r="J7" s="795"/>
      <c r="K7" s="795"/>
      <c r="L7" s="795" t="s">
        <v>2135</v>
      </c>
      <c r="M7" s="795"/>
      <c r="N7" s="795"/>
      <c r="O7" s="795" t="s">
        <v>2136</v>
      </c>
      <c r="P7" s="795"/>
      <c r="Q7" s="795"/>
    </row>
    <row r="8" spans="1:17" x14ac:dyDescent="0.25">
      <c r="B8" s="631" t="s">
        <v>2137</v>
      </c>
      <c r="C8" s="631" t="s">
        <v>2138</v>
      </c>
      <c r="D8" s="632" t="s">
        <v>2139</v>
      </c>
      <c r="E8" s="633" t="s">
        <v>2140</v>
      </c>
      <c r="F8" s="634" t="s">
        <v>2141</v>
      </c>
      <c r="G8" s="634" t="s">
        <v>2142</v>
      </c>
      <c r="H8" s="635" t="s">
        <v>2143</v>
      </c>
      <c r="I8" s="634" t="s">
        <v>2141</v>
      </c>
      <c r="J8" s="634" t="s">
        <v>2142</v>
      </c>
      <c r="K8" s="635" t="s">
        <v>2143</v>
      </c>
      <c r="L8" s="634" t="s">
        <v>2141</v>
      </c>
      <c r="M8" s="634" t="s">
        <v>2142</v>
      </c>
      <c r="N8" s="635" t="s">
        <v>2143</v>
      </c>
      <c r="O8" s="634" t="s">
        <v>2141</v>
      </c>
      <c r="P8" s="634" t="s">
        <v>2142</v>
      </c>
      <c r="Q8" s="635" t="s">
        <v>2143</v>
      </c>
    </row>
    <row r="9" spans="1:17" x14ac:dyDescent="0.25">
      <c r="B9" s="796" t="s">
        <v>40</v>
      </c>
      <c r="C9" s="797"/>
      <c r="D9" s="636" t="s">
        <v>2144</v>
      </c>
      <c r="E9" s="637">
        <v>29485902000</v>
      </c>
      <c r="F9" s="637">
        <v>29485902000</v>
      </c>
      <c r="G9" s="637">
        <v>4680380453</v>
      </c>
      <c r="H9" s="638">
        <f>+G9/F9</f>
        <v>0.15873282265538291</v>
      </c>
      <c r="I9" s="637">
        <v>29485902000</v>
      </c>
      <c r="J9" s="637">
        <v>11836315609</v>
      </c>
      <c r="K9" s="638">
        <f>+J9/I9</f>
        <v>0.40142287690571582</v>
      </c>
      <c r="L9" s="637">
        <v>29482102000</v>
      </c>
      <c r="M9" s="637">
        <v>19211229929</v>
      </c>
      <c r="N9" s="638">
        <f>+M9/L9</f>
        <v>0.6516234808834187</v>
      </c>
      <c r="O9" s="637">
        <v>29469416600</v>
      </c>
      <c r="P9" s="637">
        <v>29236837792</v>
      </c>
      <c r="Q9" s="638">
        <f>IFERROR((P9/O9),"")</f>
        <v>0.99210779055598952</v>
      </c>
    </row>
    <row r="10" spans="1:17" x14ac:dyDescent="0.25">
      <c r="B10" s="798"/>
      <c r="C10" s="799"/>
      <c r="D10" s="639" t="s">
        <v>2145</v>
      </c>
      <c r="E10" s="637"/>
      <c r="F10" s="637"/>
      <c r="G10" s="637"/>
      <c r="H10" s="638"/>
      <c r="I10" s="637"/>
      <c r="J10" s="637"/>
      <c r="K10" s="638"/>
      <c r="L10" s="637">
        <v>3800000</v>
      </c>
      <c r="M10" s="637">
        <v>3800000</v>
      </c>
      <c r="N10" s="638">
        <f t="shared" ref="N10:N13" si="0">+M10/L10</f>
        <v>1</v>
      </c>
      <c r="O10" s="637">
        <v>16485400</v>
      </c>
      <c r="P10" s="637">
        <v>16485400</v>
      </c>
      <c r="Q10" s="638">
        <f t="shared" ref="Q10:Q77" si="1">IFERROR((P10/O10),"")</f>
        <v>1</v>
      </c>
    </row>
    <row r="11" spans="1:17" x14ac:dyDescent="0.25">
      <c r="A11" s="627" t="str">
        <f>+CONCATENATE(B11,D11)</f>
        <v>77571-100-F001  VA-Recursos distrito</v>
      </c>
      <c r="B11" s="640">
        <v>7757</v>
      </c>
      <c r="C11" s="641" t="s">
        <v>2146</v>
      </c>
      <c r="D11" s="636" t="s">
        <v>2144</v>
      </c>
      <c r="E11" s="637">
        <v>22320122000</v>
      </c>
      <c r="F11" s="637">
        <v>22320122000</v>
      </c>
      <c r="G11" s="637">
        <v>22158357359</v>
      </c>
      <c r="H11" s="638">
        <f t="shared" ref="H11:H92" si="2">+G11/F11</f>
        <v>0.99275251985629831</v>
      </c>
      <c r="I11" s="637">
        <v>22320122000</v>
      </c>
      <c r="J11" s="637">
        <v>22177761081</v>
      </c>
      <c r="K11" s="638">
        <f t="shared" ref="K11:K92" si="3">+J11/I11</f>
        <v>0.99362185748805498</v>
      </c>
      <c r="L11" s="637">
        <v>23720122000</v>
      </c>
      <c r="M11" s="637">
        <v>22574043110</v>
      </c>
      <c r="N11" s="638">
        <f t="shared" si="0"/>
        <v>0.95168326326483477</v>
      </c>
      <c r="O11" s="637">
        <f>+VLOOKUP(A11,[14]Hoja1!$A$4:$E$92,4,0)</f>
        <v>23705929461</v>
      </c>
      <c r="P11" s="637">
        <f>+VLOOKUP($A11,[14]Hoja1!$A$4:$E$92,5,0)</f>
        <v>23310593831</v>
      </c>
      <c r="Q11" s="638">
        <f t="shared" si="1"/>
        <v>0.98332334403296062</v>
      </c>
    </row>
    <row r="12" spans="1:17" x14ac:dyDescent="0.25">
      <c r="A12" s="627" t="str">
        <f t="shared" ref="A12:A83" si="4">+CONCATENATE(B12,D12)</f>
        <v>77571-100-I008  VA-Fondo de pobres y espectáculos</v>
      </c>
      <c r="B12" s="640">
        <v>7757</v>
      </c>
      <c r="C12" s="641" t="s">
        <v>2146</v>
      </c>
      <c r="D12" s="636" t="s">
        <v>2147</v>
      </c>
      <c r="E12" s="637">
        <v>9114541000</v>
      </c>
      <c r="F12" s="637">
        <v>9114541000</v>
      </c>
      <c r="G12" s="637">
        <v>1979721760</v>
      </c>
      <c r="H12" s="638">
        <f t="shared" si="2"/>
        <v>0.21720476763448648</v>
      </c>
      <c r="I12" s="637">
        <v>9114541000</v>
      </c>
      <c r="J12" s="637">
        <v>5018243181</v>
      </c>
      <c r="K12" s="638">
        <f t="shared" si="3"/>
        <v>0.55057552333134496</v>
      </c>
      <c r="L12" s="637">
        <v>9114541000</v>
      </c>
      <c r="M12" s="637">
        <v>8442126893</v>
      </c>
      <c r="N12" s="638">
        <f t="shared" si="0"/>
        <v>0.92622622389871301</v>
      </c>
      <c r="O12" s="637">
        <f>+VLOOKUP(A12,[14]Hoja1!$A$4:$E$92,4,0)</f>
        <v>9114541000</v>
      </c>
      <c r="P12" s="637">
        <f>+VLOOKUP($A12,[14]Hoja1!$A$4:$E$92,5,0)</f>
        <v>8929749641</v>
      </c>
      <c r="Q12" s="638">
        <f t="shared" si="1"/>
        <v>0.97972565387549415</v>
      </c>
    </row>
    <row r="13" spans="1:17" x14ac:dyDescent="0.25">
      <c r="A13" s="627" t="str">
        <f t="shared" si="4"/>
        <v>77571-601-I008  PAS-Fondo pobres y espectáculos p</v>
      </c>
      <c r="B13" s="640">
        <v>7757</v>
      </c>
      <c r="C13" s="641" t="s">
        <v>2146</v>
      </c>
      <c r="D13" s="636" t="s">
        <v>2148</v>
      </c>
      <c r="E13" s="637">
        <v>6415000</v>
      </c>
      <c r="F13" s="637">
        <v>6415000</v>
      </c>
      <c r="G13" s="637">
        <v>0</v>
      </c>
      <c r="H13" s="638">
        <f t="shared" si="2"/>
        <v>0</v>
      </c>
      <c r="I13" s="637">
        <v>6415000</v>
      </c>
      <c r="J13" s="637">
        <v>3375633</v>
      </c>
      <c r="K13" s="638">
        <f t="shared" si="3"/>
        <v>0.52620935307872174</v>
      </c>
      <c r="L13" s="637">
        <v>6415000</v>
      </c>
      <c r="M13" s="637">
        <v>3375633</v>
      </c>
      <c r="N13" s="638">
        <f t="shared" si="0"/>
        <v>0.52620935307872174</v>
      </c>
      <c r="O13" s="637">
        <f>+VLOOKUP(A13,[14]Hoja1!$A$4:$E$92,4,0)</f>
        <v>11783433</v>
      </c>
      <c r="P13" s="637">
        <f>+VLOOKUP($A13,[14]Hoja1!$A$4:$E$92,5,0)</f>
        <v>9047691</v>
      </c>
      <c r="Q13" s="638">
        <f t="shared" si="1"/>
        <v>0.76783149698394348</v>
      </c>
    </row>
    <row r="14" spans="1:17" x14ac:dyDescent="0.25">
      <c r="A14" s="627" t="str">
        <f t="shared" si="4"/>
        <v>77571-601-I052  PAS-SGP propósito general</v>
      </c>
      <c r="B14" s="640">
        <v>7757</v>
      </c>
      <c r="C14" s="641" t="s">
        <v>2146</v>
      </c>
      <c r="D14" s="636" t="s">
        <v>2149</v>
      </c>
      <c r="E14" s="637">
        <v>1256000</v>
      </c>
      <c r="F14" s="637">
        <v>1256000</v>
      </c>
      <c r="G14" s="637">
        <v>0</v>
      </c>
      <c r="H14" s="638">
        <f t="shared" si="2"/>
        <v>0</v>
      </c>
      <c r="I14" s="637">
        <v>1256000</v>
      </c>
      <c r="J14" s="637">
        <v>647733</v>
      </c>
      <c r="K14" s="638">
        <f>+J14/I14</f>
        <v>0.5157109872611465</v>
      </c>
      <c r="L14" s="637">
        <v>1256000</v>
      </c>
      <c r="M14" s="637">
        <v>647733</v>
      </c>
      <c r="N14" s="638">
        <f>+M14/L14</f>
        <v>0.5157109872611465</v>
      </c>
      <c r="O14" s="637">
        <f>+VLOOKUP(A14,[14]Hoja1!$A$4:$E$92,4,0)</f>
        <v>1256000</v>
      </c>
      <c r="P14" s="637">
        <f>+VLOOKUP($A14,[14]Hoja1!$A$4:$E$92,5,0)</f>
        <v>647733</v>
      </c>
      <c r="Q14" s="638">
        <f t="shared" si="1"/>
        <v>0.5157109872611465</v>
      </c>
    </row>
    <row r="15" spans="1:17" x14ac:dyDescent="0.25">
      <c r="A15" s="627" t="str">
        <f t="shared" si="4"/>
        <v>77571-602-I008  PAS-RB-Fondo pobres y espectáculo</v>
      </c>
      <c r="B15" s="640">
        <v>7757</v>
      </c>
      <c r="C15" s="641" t="s">
        <v>2146</v>
      </c>
      <c r="D15" s="636" t="s">
        <v>2150</v>
      </c>
      <c r="E15" s="637">
        <v>729000</v>
      </c>
      <c r="F15" s="637">
        <v>729000</v>
      </c>
      <c r="G15" s="637">
        <v>0</v>
      </c>
      <c r="H15" s="638">
        <f t="shared" si="2"/>
        <v>0</v>
      </c>
      <c r="I15" s="637">
        <v>729000</v>
      </c>
      <c r="J15" s="637">
        <v>0</v>
      </c>
      <c r="K15" s="638">
        <f>+J15/I15</f>
        <v>0</v>
      </c>
      <c r="L15" s="637">
        <v>729000</v>
      </c>
      <c r="M15" s="637">
        <v>0</v>
      </c>
      <c r="N15" s="638">
        <f>+M15/L15</f>
        <v>0</v>
      </c>
      <c r="O15" s="637">
        <f>+VLOOKUP(A15,[14]Hoja1!$A$4:$E$92,4,0)</f>
        <v>3017600</v>
      </c>
      <c r="P15" s="637">
        <f>+VLOOKUP($A15,[14]Hoja1!$A$4:$E$92,5,0)</f>
        <v>2288600</v>
      </c>
      <c r="Q15" s="638">
        <f t="shared" si="1"/>
        <v>0.75841728525980912</v>
      </c>
    </row>
    <row r="16" spans="1:17" x14ac:dyDescent="0.25">
      <c r="A16" s="627" t="str">
        <f t="shared" si="4"/>
        <v>77571-602-I049  PAS-RB-SGP propósito general</v>
      </c>
      <c r="B16" s="640">
        <v>7757</v>
      </c>
      <c r="C16" s="641" t="s">
        <v>2146</v>
      </c>
      <c r="D16" s="636" t="s">
        <v>2151</v>
      </c>
      <c r="E16" s="637">
        <v>28135000</v>
      </c>
      <c r="F16" s="637">
        <v>28135000</v>
      </c>
      <c r="G16" s="637">
        <v>28100770</v>
      </c>
      <c r="H16" s="638">
        <f t="shared" si="2"/>
        <v>0.99878336591434158</v>
      </c>
      <c r="I16" s="637">
        <v>28135000</v>
      </c>
      <c r="J16" s="637">
        <v>28100770</v>
      </c>
      <c r="K16" s="638">
        <f>+J16/I16</f>
        <v>0.99878336591434158</v>
      </c>
      <c r="L16" s="637">
        <v>28135000</v>
      </c>
      <c r="M16" s="637">
        <v>28100770</v>
      </c>
      <c r="N16" s="638">
        <f>+M16/L16</f>
        <v>0.99878336591434158</v>
      </c>
      <c r="O16" s="637">
        <f>+VLOOKUP(A16,[14]Hoja1!$A$4:$E$92,4,0)</f>
        <v>28135000</v>
      </c>
      <c r="P16" s="637">
        <f>+VLOOKUP($A16,[14]Hoja1!$A$4:$E$92,5,0)</f>
        <v>28100770</v>
      </c>
      <c r="Q16" s="638">
        <f t="shared" si="1"/>
        <v>0.99878336591434158</v>
      </c>
    </row>
    <row r="17" spans="1:17" x14ac:dyDescent="0.25">
      <c r="A17" s="627" t="str">
        <f t="shared" si="4"/>
        <v>77572-100-I009  VA-SGP propósito general</v>
      </c>
      <c r="B17" s="640">
        <v>7757</v>
      </c>
      <c r="C17" s="641" t="s">
        <v>2146</v>
      </c>
      <c r="D17" s="636" t="s">
        <v>2152</v>
      </c>
      <c r="E17" s="637">
        <v>10772754000</v>
      </c>
      <c r="F17" s="637">
        <v>10772754000</v>
      </c>
      <c r="G17" s="637">
        <v>3315346700</v>
      </c>
      <c r="H17" s="638">
        <f t="shared" si="2"/>
        <v>0.30775293857076846</v>
      </c>
      <c r="I17" s="637">
        <v>10772754000</v>
      </c>
      <c r="J17" s="637">
        <v>4905976773</v>
      </c>
      <c r="K17" s="638">
        <f t="shared" si="3"/>
        <v>0.4554059967395524</v>
      </c>
      <c r="L17" s="637">
        <v>10772754000</v>
      </c>
      <c r="M17" s="637">
        <v>10113950789</v>
      </c>
      <c r="N17" s="638">
        <f t="shared" ref="N17" si="5">+M17/L17</f>
        <v>0.93884542327802156</v>
      </c>
      <c r="O17" s="637">
        <f>+VLOOKUP(A17,[14]Hoja1!$A$4:$E$92,4,0)</f>
        <v>10772754000</v>
      </c>
      <c r="P17" s="637">
        <f>+VLOOKUP($A17,[14]Hoja1!$A$4:$E$92,5,0)</f>
        <v>10629664318</v>
      </c>
      <c r="Q17" s="638">
        <f t="shared" si="1"/>
        <v>0.98671744643941561</v>
      </c>
    </row>
    <row r="18" spans="1:17" x14ac:dyDescent="0.25">
      <c r="A18" s="627" t="str">
        <f t="shared" ref="A18" si="6">+CONCATENATE(B18,D18)</f>
        <v>7757</v>
      </c>
      <c r="B18" s="640">
        <v>7757</v>
      </c>
      <c r="C18" s="641" t="s">
        <v>2146</v>
      </c>
      <c r="D18" s="636"/>
      <c r="E18" s="637"/>
      <c r="F18" s="637"/>
      <c r="G18" s="637"/>
      <c r="H18" s="638"/>
      <c r="I18" s="637"/>
      <c r="J18" s="637"/>
      <c r="K18" s="638"/>
      <c r="L18" s="637"/>
      <c r="M18" s="637"/>
      <c r="N18" s="638"/>
      <c r="O18" s="648">
        <v>6535506</v>
      </c>
      <c r="P18" s="648">
        <v>6535506</v>
      </c>
      <c r="Q18" s="638">
        <f t="shared" si="1"/>
        <v>1</v>
      </c>
    </row>
    <row r="19" spans="1:17" x14ac:dyDescent="0.25">
      <c r="A19" s="627" t="str">
        <f t="shared" si="4"/>
        <v>77681-100-F001  VA-Recursos distrito</v>
      </c>
      <c r="B19" s="640">
        <v>7768</v>
      </c>
      <c r="C19" s="641" t="s">
        <v>2153</v>
      </c>
      <c r="D19" s="636" t="s">
        <v>2144</v>
      </c>
      <c r="E19" s="637">
        <v>5870191000</v>
      </c>
      <c r="F19" s="637">
        <v>5870191000</v>
      </c>
      <c r="G19" s="637">
        <v>1205403230</v>
      </c>
      <c r="H19" s="638">
        <f t="shared" si="2"/>
        <v>0.20534310212393431</v>
      </c>
      <c r="I19" s="637">
        <v>5820191000</v>
      </c>
      <c r="J19" s="637">
        <v>1283800517</v>
      </c>
      <c r="K19" s="638">
        <f>+J19/I19</f>
        <v>0.22057704240290396</v>
      </c>
      <c r="L19" s="637">
        <v>5820191000</v>
      </c>
      <c r="M19" s="637">
        <v>3396607961</v>
      </c>
      <c r="N19" s="638">
        <f>+M19/L19</f>
        <v>0.58359046309648599</v>
      </c>
      <c r="O19" s="637">
        <f>+VLOOKUP(A19,[14]Hoja1!$A$4:$E$92,4,0)</f>
        <v>5397306698</v>
      </c>
      <c r="P19" s="637">
        <f>+VLOOKUP($A19,[14]Hoja1!$A$4:$E$92,5,0)</f>
        <v>5276263994</v>
      </c>
      <c r="Q19" s="638">
        <f t="shared" si="1"/>
        <v>0.97757349901111734</v>
      </c>
    </row>
    <row r="20" spans="1:17" x14ac:dyDescent="0.25">
      <c r="A20" s="627" t="str">
        <f t="shared" si="4"/>
        <v>77682-100-I009  VA-SGP propósito general</v>
      </c>
      <c r="B20" s="640">
        <v>7768</v>
      </c>
      <c r="C20" s="641" t="s">
        <v>2153</v>
      </c>
      <c r="D20" s="636" t="s">
        <v>2152</v>
      </c>
      <c r="E20" s="637">
        <v>1500000000</v>
      </c>
      <c r="F20" s="637">
        <v>1500000000</v>
      </c>
      <c r="G20" s="637">
        <v>0</v>
      </c>
      <c r="H20" s="638">
        <f t="shared" si="2"/>
        <v>0</v>
      </c>
      <c r="I20" s="637">
        <v>1500000000</v>
      </c>
      <c r="J20" s="637">
        <v>0</v>
      </c>
      <c r="K20" s="638">
        <f>+J20/I20</f>
        <v>0</v>
      </c>
      <c r="L20" s="637">
        <v>500000000</v>
      </c>
      <c r="M20" s="637">
        <v>0</v>
      </c>
      <c r="N20" s="638">
        <f>+M20/L20</f>
        <v>0</v>
      </c>
      <c r="O20" s="637">
        <f>+VLOOKUP(A20,[14]Hoja1!$A$4:$E$92,4,0)</f>
        <v>0</v>
      </c>
      <c r="P20" s="637">
        <f>+VLOOKUP($A20,[14]Hoja1!$A$4:$E$92,5,0)</f>
        <v>0</v>
      </c>
      <c r="Q20" s="638" t="str">
        <f t="shared" si="1"/>
        <v/>
      </c>
    </row>
    <row r="21" spans="1:17" x14ac:dyDescent="0.25">
      <c r="A21" s="627" t="str">
        <f t="shared" si="4"/>
        <v>77681-100-F039  VA-Crédito</v>
      </c>
      <c r="B21" s="640">
        <v>7768</v>
      </c>
      <c r="C21" s="641" t="s">
        <v>2153</v>
      </c>
      <c r="D21" s="639" t="s">
        <v>2154</v>
      </c>
      <c r="E21" s="637"/>
      <c r="F21" s="637"/>
      <c r="G21" s="637"/>
      <c r="H21" s="638"/>
      <c r="I21" s="637"/>
      <c r="J21" s="637"/>
      <c r="K21" s="638"/>
      <c r="L21" s="642">
        <v>1000000000</v>
      </c>
      <c r="M21" s="637">
        <v>1000000000</v>
      </c>
      <c r="N21" s="638">
        <f>+M21/L21</f>
        <v>1</v>
      </c>
      <c r="O21" s="637">
        <f>+VLOOKUP(A21,[14]Hoja1!$A$4:$E$92,4,0)</f>
        <v>1000000000</v>
      </c>
      <c r="P21" s="637">
        <f>+VLOOKUP($A21,[14]Hoja1!$A$4:$E$92,5,0)</f>
        <v>1000000000</v>
      </c>
      <c r="Q21" s="638">
        <f t="shared" si="1"/>
        <v>1</v>
      </c>
    </row>
    <row r="22" spans="1:17" x14ac:dyDescent="0.25">
      <c r="A22" s="627" t="str">
        <f t="shared" si="4"/>
        <v>77301-100-F001  VA-Recursos distrito</v>
      </c>
      <c r="B22" s="640">
        <v>7730</v>
      </c>
      <c r="C22" s="641" t="s">
        <v>2155</v>
      </c>
      <c r="D22" s="636" t="s">
        <v>2144</v>
      </c>
      <c r="E22" s="637">
        <v>2111601000</v>
      </c>
      <c r="F22" s="637">
        <v>2111601000</v>
      </c>
      <c r="G22" s="637">
        <v>349429000</v>
      </c>
      <c r="H22" s="638">
        <f t="shared" si="2"/>
        <v>0.16548059979134316</v>
      </c>
      <c r="I22" s="637">
        <v>1391601000</v>
      </c>
      <c r="J22" s="637">
        <v>435923000</v>
      </c>
      <c r="K22" s="638">
        <f t="shared" si="3"/>
        <v>0.3132528648657194</v>
      </c>
      <c r="L22" s="637">
        <v>1391601000</v>
      </c>
      <c r="M22" s="637">
        <v>853337500</v>
      </c>
      <c r="N22" s="638">
        <f t="shared" ref="N22:N98" si="7">+M22/L22</f>
        <v>0.61320558119748403</v>
      </c>
      <c r="O22" s="637">
        <f>+VLOOKUP(A22,[14]Hoja1!$A$4:$E$92,4,0)</f>
        <v>1391601000</v>
      </c>
      <c r="P22" s="637">
        <f>+VLOOKUP($A22,[14]Hoja1!$A$4:$E$92,5,0)</f>
        <v>1214701588</v>
      </c>
      <c r="Q22" s="638">
        <f t="shared" si="1"/>
        <v>0.8728806518535126</v>
      </c>
    </row>
    <row r="23" spans="1:17" x14ac:dyDescent="0.25">
      <c r="A23" s="627" t="str">
        <f t="shared" si="4"/>
        <v>77302-100-I009  VA-SGP propósito general</v>
      </c>
      <c r="B23" s="640">
        <v>7730</v>
      </c>
      <c r="C23" s="641" t="s">
        <v>2155</v>
      </c>
      <c r="D23" s="636" t="s">
        <v>2152</v>
      </c>
      <c r="E23" s="637">
        <v>1500000000</v>
      </c>
      <c r="F23" s="637">
        <v>1500000000</v>
      </c>
      <c r="G23" s="637">
        <v>0</v>
      </c>
      <c r="H23" s="638">
        <f t="shared" si="2"/>
        <v>0</v>
      </c>
      <c r="I23" s="637">
        <v>1500000000</v>
      </c>
      <c r="J23" s="637">
        <v>0</v>
      </c>
      <c r="K23" s="638">
        <f t="shared" si="3"/>
        <v>0</v>
      </c>
      <c r="L23" s="637">
        <v>1500000000</v>
      </c>
      <c r="M23" s="637">
        <v>0</v>
      </c>
      <c r="N23" s="638">
        <f t="shared" si="7"/>
        <v>0</v>
      </c>
      <c r="O23" s="637">
        <f>+VLOOKUP(A23,[14]Hoja1!$A$4:$E$92,4,0)</f>
        <v>766108444</v>
      </c>
      <c r="P23" s="637">
        <f>+VLOOKUP($A23,[14]Hoja1!$A$4:$E$92,5,0)</f>
        <v>0</v>
      </c>
      <c r="Q23" s="638">
        <f t="shared" si="1"/>
        <v>0</v>
      </c>
    </row>
    <row r="24" spans="1:17" x14ac:dyDescent="0.25">
      <c r="A24" s="627" t="str">
        <f t="shared" si="4"/>
        <v>77561-100-F001  VA-Recursos distrito</v>
      </c>
      <c r="B24" s="640">
        <v>7756</v>
      </c>
      <c r="C24" s="641" t="s">
        <v>2156</v>
      </c>
      <c r="D24" s="636" t="s">
        <v>2144</v>
      </c>
      <c r="E24" s="637">
        <v>2994709000</v>
      </c>
      <c r="F24" s="637">
        <v>2994709000</v>
      </c>
      <c r="G24" s="637">
        <v>1645211960</v>
      </c>
      <c r="H24" s="638">
        <f t="shared" si="2"/>
        <v>0.54937289733326344</v>
      </c>
      <c r="I24" s="637">
        <v>2994709000</v>
      </c>
      <c r="J24" s="637">
        <v>1863993324</v>
      </c>
      <c r="K24" s="638">
        <f t="shared" si="3"/>
        <v>0.62242886504164507</v>
      </c>
      <c r="L24" s="637">
        <v>3746809967</v>
      </c>
      <c r="M24" s="637">
        <v>2514293122</v>
      </c>
      <c r="N24" s="638">
        <f t="shared" si="7"/>
        <v>0.67104901079708268</v>
      </c>
      <c r="O24" s="637">
        <f>+VLOOKUP(A24,[14]Hoja1!$A$4:$E$92,4,0)</f>
        <v>3226809260</v>
      </c>
      <c r="P24" s="637">
        <f>+VLOOKUP($A24,[14]Hoja1!$A$4:$E$92,5,0)</f>
        <v>3046509915</v>
      </c>
      <c r="Q24" s="638">
        <f t="shared" si="1"/>
        <v>0.94412457307749265</v>
      </c>
    </row>
    <row r="25" spans="1:17" x14ac:dyDescent="0.25">
      <c r="A25" s="627" t="str">
        <f t="shared" si="4"/>
        <v>77561-100-F039  VA-Crédito</v>
      </c>
      <c r="B25" s="640">
        <v>7756</v>
      </c>
      <c r="C25" s="641" t="s">
        <v>2156</v>
      </c>
      <c r="D25" s="636" t="s">
        <v>2154</v>
      </c>
      <c r="E25" s="637">
        <v>1239000000</v>
      </c>
      <c r="F25" s="637">
        <v>1239000000</v>
      </c>
      <c r="G25" s="637">
        <v>0</v>
      </c>
      <c r="H25" s="638">
        <f t="shared" si="2"/>
        <v>0</v>
      </c>
      <c r="I25" s="637">
        <v>1239000000</v>
      </c>
      <c r="J25" s="637">
        <v>1080000000</v>
      </c>
      <c r="K25" s="638">
        <f t="shared" si="3"/>
        <v>0.87167070217917675</v>
      </c>
      <c r="L25" s="637">
        <v>1518450440</v>
      </c>
      <c r="M25" s="637">
        <v>1080000000</v>
      </c>
      <c r="N25" s="638">
        <f t="shared" si="7"/>
        <v>0.71125139915662972</v>
      </c>
      <c r="O25" s="637">
        <f>+VLOOKUP(A25,[14]Hoja1!$A$4:$E$92,4,0)</f>
        <v>1518450440</v>
      </c>
      <c r="P25" s="637">
        <f>+VLOOKUP($A25,[14]Hoja1!$A$4:$E$92,5,0)</f>
        <v>1235540160</v>
      </c>
      <c r="Q25" s="638">
        <f t="shared" si="1"/>
        <v>0.81368487732796868</v>
      </c>
    </row>
    <row r="26" spans="1:17" x14ac:dyDescent="0.25">
      <c r="A26" s="627" t="str">
        <f t="shared" si="4"/>
        <v>77562-100-I009  VA-SGP propósito general</v>
      </c>
      <c r="B26" s="640">
        <v>7756</v>
      </c>
      <c r="C26" s="641" t="s">
        <v>2156</v>
      </c>
      <c r="D26" s="636" t="s">
        <v>2152</v>
      </c>
      <c r="E26" s="637">
        <v>337778000</v>
      </c>
      <c r="F26" s="637">
        <v>337778000</v>
      </c>
      <c r="G26" s="637">
        <v>0</v>
      </c>
      <c r="H26" s="638">
        <f t="shared" si="2"/>
        <v>0</v>
      </c>
      <c r="I26" s="637">
        <v>337778000</v>
      </c>
      <c r="J26" s="637">
        <v>0</v>
      </c>
      <c r="K26" s="638">
        <f t="shared" si="3"/>
        <v>0</v>
      </c>
      <c r="L26" s="637">
        <v>337778000</v>
      </c>
      <c r="M26" s="637">
        <v>0</v>
      </c>
      <c r="N26" s="638">
        <f t="shared" si="7"/>
        <v>0</v>
      </c>
      <c r="O26" s="637">
        <f>+VLOOKUP(A26,[14]Hoja1!$A$4:$E$92,4,0)</f>
        <v>58327560</v>
      </c>
      <c r="P26" s="637">
        <f>+VLOOKUP($A26,[14]Hoja1!$A$4:$E$92,5,0)</f>
        <v>19442520</v>
      </c>
      <c r="Q26" s="638">
        <f t="shared" si="1"/>
        <v>0.33333333333333331</v>
      </c>
    </row>
    <row r="27" spans="1:17" x14ac:dyDescent="0.25">
      <c r="A27" s="627" t="str">
        <f t="shared" si="4"/>
        <v>77561-601-F001  PAS-Otros distrito</v>
      </c>
      <c r="B27" s="640">
        <v>7756</v>
      </c>
      <c r="C27" s="641" t="s">
        <v>2156</v>
      </c>
      <c r="D27" s="639" t="s">
        <v>2145</v>
      </c>
      <c r="E27" s="637"/>
      <c r="F27" s="637"/>
      <c r="G27" s="637"/>
      <c r="H27" s="638"/>
      <c r="I27" s="637"/>
      <c r="J27" s="637"/>
      <c r="K27" s="638"/>
      <c r="L27" s="642">
        <v>2899033</v>
      </c>
      <c r="M27" s="637">
        <v>2899033</v>
      </c>
      <c r="N27" s="638">
        <f t="shared" si="7"/>
        <v>1</v>
      </c>
      <c r="O27" s="637">
        <f>+VLOOKUP(A27,[14]Hoja1!$A$4:$E$92,4,0)</f>
        <v>2899740</v>
      </c>
      <c r="P27" s="637">
        <f>+VLOOKUP($A27,[14]Hoja1!$A$4:$E$92,5,0)</f>
        <v>2899740</v>
      </c>
      <c r="Q27" s="638">
        <f t="shared" si="1"/>
        <v>1</v>
      </c>
    </row>
    <row r="28" spans="1:17" x14ac:dyDescent="0.25">
      <c r="A28" s="627" t="str">
        <f t="shared" si="4"/>
        <v>75651-100-F001  VA-Recursos distrito</v>
      </c>
      <c r="B28" s="640">
        <v>7565</v>
      </c>
      <c r="C28" s="641" t="s">
        <v>2157</v>
      </c>
      <c r="D28" s="636" t="s">
        <v>2144</v>
      </c>
      <c r="E28" s="637">
        <v>18849724000</v>
      </c>
      <c r="F28" s="637">
        <v>18849724000</v>
      </c>
      <c r="G28" s="637">
        <v>6222935919</v>
      </c>
      <c r="H28" s="638">
        <f t="shared" si="2"/>
        <v>0.33013406026528558</v>
      </c>
      <c r="I28" s="637">
        <v>18101089854</v>
      </c>
      <c r="J28" s="637">
        <v>8588309162</v>
      </c>
      <c r="K28" s="638">
        <f t="shared" si="3"/>
        <v>0.47446365004934471</v>
      </c>
      <c r="L28" s="637">
        <v>25149664524</v>
      </c>
      <c r="M28" s="637">
        <v>15329881810</v>
      </c>
      <c r="N28" s="638">
        <f t="shared" si="7"/>
        <v>0.60954617487525098</v>
      </c>
      <c r="O28" s="637">
        <f>+VLOOKUP(A28,[14]Hoja1!$A$4:$E$92,4,0)</f>
        <v>17885705465</v>
      </c>
      <c r="P28" s="637">
        <f>+VLOOKUP($A28,[14]Hoja1!$A$4:$E$92,5,0)</f>
        <v>17324004693</v>
      </c>
      <c r="Q28" s="638">
        <f t="shared" si="1"/>
        <v>0.96859498927234511</v>
      </c>
    </row>
    <row r="29" spans="1:17" x14ac:dyDescent="0.25">
      <c r="A29" s="627" t="str">
        <f t="shared" si="4"/>
        <v>75651-100-F039  VA-Crédito</v>
      </c>
      <c r="B29" s="640">
        <v>7565</v>
      </c>
      <c r="C29" s="641" t="s">
        <v>2157</v>
      </c>
      <c r="D29" s="636" t="s">
        <v>2154</v>
      </c>
      <c r="E29" s="637">
        <v>77477000000</v>
      </c>
      <c r="F29" s="637">
        <v>77477000000</v>
      </c>
      <c r="G29" s="637">
        <v>44431838450</v>
      </c>
      <c r="H29" s="638">
        <f t="shared" si="2"/>
        <v>0.57348423983891994</v>
      </c>
      <c r="I29" s="637">
        <v>77477000000</v>
      </c>
      <c r="J29" s="637">
        <v>44431838450</v>
      </c>
      <c r="K29" s="638">
        <f t="shared" si="3"/>
        <v>0.57348423983891994</v>
      </c>
      <c r="L29" s="637">
        <v>70592893211</v>
      </c>
      <c r="M29" s="637">
        <v>44431838450</v>
      </c>
      <c r="N29" s="638">
        <f t="shared" si="7"/>
        <v>0.62940951176479754</v>
      </c>
      <c r="O29" s="637">
        <f>+VLOOKUP(A29,[14]Hoja1!$A$4:$E$92,4,0)</f>
        <v>68492893211</v>
      </c>
      <c r="P29" s="637">
        <f>+VLOOKUP($A29,[14]Hoja1!$A$4:$E$92,5,0)</f>
        <v>67271600971</v>
      </c>
      <c r="Q29" s="638">
        <f t="shared" si="1"/>
        <v>0.98216906626739109</v>
      </c>
    </row>
    <row r="30" spans="1:17" x14ac:dyDescent="0.25">
      <c r="A30" s="627" t="str">
        <f t="shared" si="4"/>
        <v>75651-100-I012  VA-Estampilla propersonas mayores</v>
      </c>
      <c r="B30" s="640">
        <v>7565</v>
      </c>
      <c r="C30" s="641" t="s">
        <v>2157</v>
      </c>
      <c r="D30" s="636" t="s">
        <v>2158</v>
      </c>
      <c r="E30" s="637">
        <v>535332000</v>
      </c>
      <c r="F30" s="637">
        <v>535332000</v>
      </c>
      <c r="G30" s="637">
        <v>212637383</v>
      </c>
      <c r="H30" s="638">
        <f t="shared" si="2"/>
        <v>0.39720656153564515</v>
      </c>
      <c r="I30" s="637">
        <v>535332000</v>
      </c>
      <c r="J30" s="637">
        <v>306388887</v>
      </c>
      <c r="K30" s="638">
        <f t="shared" si="3"/>
        <v>0.57233434018515617</v>
      </c>
      <c r="L30" s="637">
        <v>535332000</v>
      </c>
      <c r="M30" s="637">
        <v>425480601</v>
      </c>
      <c r="N30" s="638">
        <f t="shared" si="7"/>
        <v>0.79479762278361843</v>
      </c>
      <c r="O30" s="637">
        <f>+VLOOKUP(A30,[14]Hoja1!$A$4:$E$92,4,0)</f>
        <v>535332000</v>
      </c>
      <c r="P30" s="637">
        <f>+VLOOKUP($A30,[14]Hoja1!$A$4:$E$92,5,0)</f>
        <v>492453097</v>
      </c>
      <c r="Q30" s="638">
        <f t="shared" si="1"/>
        <v>0.9199022232932087</v>
      </c>
    </row>
    <row r="31" spans="1:17" x14ac:dyDescent="0.25">
      <c r="A31" s="627" t="str">
        <f t="shared" si="4"/>
        <v>75651-601-I012  PAS-Estampilla propersonas mayore</v>
      </c>
      <c r="B31" s="640">
        <v>7565</v>
      </c>
      <c r="C31" s="641" t="s">
        <v>2157</v>
      </c>
      <c r="D31" s="636" t="s">
        <v>2159</v>
      </c>
      <c r="E31" s="637">
        <v>1365605000</v>
      </c>
      <c r="F31" s="637">
        <v>1365605000</v>
      </c>
      <c r="G31" s="637">
        <v>0</v>
      </c>
      <c r="H31" s="638">
        <f t="shared" si="2"/>
        <v>0</v>
      </c>
      <c r="I31" s="637">
        <v>1365605000</v>
      </c>
      <c r="J31" s="637">
        <v>221274791</v>
      </c>
      <c r="K31" s="638">
        <f t="shared" si="3"/>
        <v>0.16203425661153847</v>
      </c>
      <c r="L31" s="637">
        <v>1365605000</v>
      </c>
      <c r="M31" s="637">
        <v>257390462</v>
      </c>
      <c r="N31" s="638">
        <f t="shared" si="7"/>
        <v>0.18848090187133176</v>
      </c>
      <c r="O31" s="637">
        <f>+VLOOKUP(A31,[14]Hoja1!$A$4:$E$92,4,0)</f>
        <v>1365605000</v>
      </c>
      <c r="P31" s="637">
        <f>+VLOOKUP($A31,[14]Hoja1!$A$4:$E$92,5,0)</f>
        <v>678842536</v>
      </c>
      <c r="Q31" s="638">
        <f t="shared" si="1"/>
        <v>0.49710021272622756</v>
      </c>
    </row>
    <row r="32" spans="1:17" x14ac:dyDescent="0.25">
      <c r="A32" s="627" t="str">
        <f t="shared" si="4"/>
        <v>75651-300-I010  REAF-Estampilla propersonas mayor</v>
      </c>
      <c r="B32" s="640">
        <v>7565</v>
      </c>
      <c r="C32" s="641" t="s">
        <v>2157</v>
      </c>
      <c r="D32" s="643" t="s">
        <v>2160</v>
      </c>
      <c r="E32" s="637"/>
      <c r="F32" s="637"/>
      <c r="G32" s="637"/>
      <c r="H32" s="638"/>
      <c r="I32" s="637">
        <v>114166000</v>
      </c>
      <c r="J32" s="637">
        <v>0</v>
      </c>
      <c r="K32" s="638">
        <f t="shared" si="3"/>
        <v>0</v>
      </c>
      <c r="L32" s="637">
        <v>114166000</v>
      </c>
      <c r="M32" s="637">
        <v>41152754</v>
      </c>
      <c r="N32" s="638">
        <f t="shared" si="7"/>
        <v>0.36046418373245975</v>
      </c>
      <c r="O32" s="637">
        <f>+VLOOKUP(A32,[14]Hoja1!$A$4:$E$92,4,0)</f>
        <v>114166000</v>
      </c>
      <c r="P32" s="637">
        <f>+VLOOKUP($A32,[14]Hoja1!$A$4:$E$92,5,0)</f>
        <v>58314082</v>
      </c>
      <c r="Q32" s="638">
        <f t="shared" si="1"/>
        <v>0.51078326296795895</v>
      </c>
    </row>
    <row r="33" spans="1:17" x14ac:dyDescent="0.25">
      <c r="A33" s="627" t="str">
        <f t="shared" si="4"/>
        <v>75651-601-I037  PAS-Crédito</v>
      </c>
      <c r="B33" s="640">
        <v>7565</v>
      </c>
      <c r="C33" s="641" t="s">
        <v>2157</v>
      </c>
      <c r="D33" s="643" t="s">
        <v>2161</v>
      </c>
      <c r="E33" s="637"/>
      <c r="F33" s="637"/>
      <c r="G33" s="637"/>
      <c r="H33" s="638"/>
      <c r="I33" s="637">
        <v>46845648</v>
      </c>
      <c r="J33" s="637">
        <v>0</v>
      </c>
      <c r="K33" s="638">
        <f t="shared" si="3"/>
        <v>0</v>
      </c>
      <c r="L33" s="637">
        <v>46845648</v>
      </c>
      <c r="M33" s="637">
        <v>46845648</v>
      </c>
      <c r="N33" s="638">
        <f t="shared" si="7"/>
        <v>1</v>
      </c>
      <c r="O33" s="637">
        <f>+VLOOKUP(A33,[14]Hoja1!$A$4:$E$92,4,0)</f>
        <v>46845648</v>
      </c>
      <c r="P33" s="637">
        <f>+VLOOKUP($A33,[14]Hoja1!$A$4:$E$92,5,0)</f>
        <v>46845648</v>
      </c>
      <c r="Q33" s="638">
        <f t="shared" si="1"/>
        <v>1</v>
      </c>
    </row>
    <row r="34" spans="1:17" x14ac:dyDescent="0.25">
      <c r="A34" s="627" t="str">
        <f t="shared" si="4"/>
        <v>75651-601-F001  PAS-Otros distrito</v>
      </c>
      <c r="B34" s="640">
        <v>7565</v>
      </c>
      <c r="C34" s="641" t="s">
        <v>2157</v>
      </c>
      <c r="D34" s="643" t="s">
        <v>2145</v>
      </c>
      <c r="E34" s="637"/>
      <c r="F34" s="637"/>
      <c r="G34" s="637"/>
      <c r="H34" s="638"/>
      <c r="I34" s="637">
        <v>301788498</v>
      </c>
      <c r="J34" s="637">
        <v>112294223</v>
      </c>
      <c r="K34" s="638">
        <f t="shared" si="3"/>
        <v>0.37209576820916479</v>
      </c>
      <c r="L34" s="637">
        <v>312320617</v>
      </c>
      <c r="M34" s="637">
        <v>311865751</v>
      </c>
      <c r="N34" s="638">
        <f t="shared" si="7"/>
        <v>0.99854359278497451</v>
      </c>
      <c r="O34" s="637">
        <f>+VLOOKUP(A34,[14]Hoja1!$A$4:$E$92,4,0)</f>
        <v>492172887</v>
      </c>
      <c r="P34" s="637">
        <f>+VLOOKUP($A34,[14]Hoja1!$A$4:$E$92,5,0)</f>
        <v>492172887</v>
      </c>
      <c r="Q34" s="638">
        <f t="shared" si="1"/>
        <v>1</v>
      </c>
    </row>
    <row r="35" spans="1:17" x14ac:dyDescent="0.25">
      <c r="A35" s="627" t="str">
        <f t="shared" si="4"/>
        <v>77441-100-F001  VA-Recursos distrito</v>
      </c>
      <c r="B35" s="640">
        <v>7744</v>
      </c>
      <c r="C35" s="641" t="s">
        <v>2162</v>
      </c>
      <c r="D35" s="636" t="s">
        <v>2144</v>
      </c>
      <c r="E35" s="637">
        <v>50245414000</v>
      </c>
      <c r="F35" s="637">
        <v>50245414000</v>
      </c>
      <c r="G35" s="637">
        <v>19527287603</v>
      </c>
      <c r="H35" s="638">
        <f t="shared" si="2"/>
        <v>0.38863820692173023</v>
      </c>
      <c r="I35" s="637">
        <v>32726890935</v>
      </c>
      <c r="J35" s="637">
        <v>28010678203</v>
      </c>
      <c r="K35" s="638">
        <f t="shared" si="3"/>
        <v>0.85589181870752618</v>
      </c>
      <c r="L35" s="637">
        <v>60472970592</v>
      </c>
      <c r="M35" s="637">
        <v>49136984915</v>
      </c>
      <c r="N35" s="638">
        <f t="shared" si="7"/>
        <v>0.81254458701091747</v>
      </c>
      <c r="O35" s="637">
        <f>+VLOOKUP(A35,[14]Hoja1!$A$4:$E$92,4,0)</f>
        <v>57389926287</v>
      </c>
      <c r="P35" s="637">
        <f>+VLOOKUP($A35,[14]Hoja1!$A$4:$E$92,5,0)</f>
        <v>56654900532</v>
      </c>
      <c r="Q35" s="638">
        <f t="shared" si="1"/>
        <v>0.98719242552561881</v>
      </c>
    </row>
    <row r="36" spans="1:17" x14ac:dyDescent="0.25">
      <c r="A36" s="627" t="str">
        <f t="shared" si="4"/>
        <v>77441-200-I049  RB-SGP propósito general</v>
      </c>
      <c r="B36" s="640">
        <v>7744</v>
      </c>
      <c r="C36" s="641" t="s">
        <v>2162</v>
      </c>
      <c r="D36" s="636" t="s">
        <v>2163</v>
      </c>
      <c r="E36" s="637">
        <v>7721615000</v>
      </c>
      <c r="F36" s="637">
        <v>7721615000</v>
      </c>
      <c r="G36" s="637">
        <v>0</v>
      </c>
      <c r="H36" s="638">
        <f t="shared" si="2"/>
        <v>0</v>
      </c>
      <c r="I36" s="637">
        <v>7721615000</v>
      </c>
      <c r="J36" s="637">
        <v>2245284360</v>
      </c>
      <c r="K36" s="638">
        <f t="shared" si="3"/>
        <v>0.29077911291873526</v>
      </c>
      <c r="L36" s="637">
        <v>7721615000</v>
      </c>
      <c r="M36" s="637">
        <v>7719259482</v>
      </c>
      <c r="N36" s="638">
        <f t="shared" si="7"/>
        <v>0.99969494490466049</v>
      </c>
      <c r="O36" s="637">
        <f>+VLOOKUP(A36,[14]Hoja1!$A$4:$E$92,4,0)</f>
        <v>7721615000</v>
      </c>
      <c r="P36" s="637">
        <f>+VLOOKUP($A36,[14]Hoja1!$A$4:$E$92,5,0)</f>
        <v>7719259482</v>
      </c>
      <c r="Q36" s="638">
        <f t="shared" si="1"/>
        <v>0.99969494490466049</v>
      </c>
    </row>
    <row r="37" spans="1:17" x14ac:dyDescent="0.25">
      <c r="A37" s="627" t="str">
        <f t="shared" si="4"/>
        <v>77441-601-I039  PAS-Otras nación</v>
      </c>
      <c r="B37" s="640">
        <v>7744</v>
      </c>
      <c r="C37" s="641" t="s">
        <v>2162</v>
      </c>
      <c r="D37" s="636" t="s">
        <v>2164</v>
      </c>
      <c r="E37" s="637">
        <v>61549000</v>
      </c>
      <c r="F37" s="637">
        <v>61549000</v>
      </c>
      <c r="G37" s="637">
        <v>9999889</v>
      </c>
      <c r="H37" s="638">
        <f t="shared" si="2"/>
        <v>0.16247037319858973</v>
      </c>
      <c r="I37" s="637">
        <v>61549000</v>
      </c>
      <c r="J37" s="637">
        <v>15258555</v>
      </c>
      <c r="K37" s="638">
        <f t="shared" si="3"/>
        <v>0.24790906432273474</v>
      </c>
      <c r="L37" s="637">
        <v>61549000</v>
      </c>
      <c r="M37" s="637">
        <v>19077315</v>
      </c>
      <c r="N37" s="638">
        <f t="shared" si="7"/>
        <v>0.30995328924921606</v>
      </c>
      <c r="O37" s="637">
        <f>+VLOOKUP(A37,[14]Hoja1!$A$4:$E$92,4,0)</f>
        <v>61549000</v>
      </c>
      <c r="P37" s="637">
        <f>+VLOOKUP($A37,[14]Hoja1!$A$4:$E$92,5,0)</f>
        <v>23775882</v>
      </c>
      <c r="Q37" s="638">
        <f t="shared" si="1"/>
        <v>0.38629193000698631</v>
      </c>
    </row>
    <row r="38" spans="1:17" x14ac:dyDescent="0.25">
      <c r="A38" s="627" t="str">
        <f t="shared" si="4"/>
        <v>77441-601-I052  PAS-SGP propósito general</v>
      </c>
      <c r="B38" s="640">
        <v>7744</v>
      </c>
      <c r="C38" s="641" t="s">
        <v>2162</v>
      </c>
      <c r="D38" s="636" t="s">
        <v>2149</v>
      </c>
      <c r="E38" s="637">
        <v>153433000</v>
      </c>
      <c r="F38" s="637">
        <v>153433000</v>
      </c>
      <c r="G38" s="637">
        <v>1297686</v>
      </c>
      <c r="H38" s="638">
        <f t="shared" si="2"/>
        <v>8.4576720783664534E-3</v>
      </c>
      <c r="I38" s="637">
        <v>153433000</v>
      </c>
      <c r="J38" s="637">
        <v>8047694</v>
      </c>
      <c r="K38" s="638">
        <f t="shared" si="3"/>
        <v>5.2450867805491651E-2</v>
      </c>
      <c r="L38" s="637">
        <v>153433000</v>
      </c>
      <c r="M38" s="637">
        <v>97209934</v>
      </c>
      <c r="N38" s="638">
        <f t="shared" si="7"/>
        <v>0.63356601252664024</v>
      </c>
      <c r="O38" s="637">
        <f>+VLOOKUP(A38,[14]Hoja1!$A$4:$E$92,4,0)</f>
        <v>153433000</v>
      </c>
      <c r="P38" s="637">
        <f>+VLOOKUP($A38,[14]Hoja1!$A$4:$E$92,5,0)</f>
        <v>100090345</v>
      </c>
      <c r="Q38" s="638">
        <f t="shared" si="1"/>
        <v>0.65233909915076937</v>
      </c>
    </row>
    <row r="39" spans="1:17" x14ac:dyDescent="0.25">
      <c r="A39" s="627" t="str">
        <f t="shared" si="4"/>
        <v>77442-100-I009  VA-SGP propósito general</v>
      </c>
      <c r="B39" s="640">
        <v>7744</v>
      </c>
      <c r="C39" s="641" t="s">
        <v>2162</v>
      </c>
      <c r="D39" s="636" t="s">
        <v>2152</v>
      </c>
      <c r="E39" s="637">
        <v>104584779000</v>
      </c>
      <c r="F39" s="637">
        <v>89584779000</v>
      </c>
      <c r="G39" s="637">
        <v>37835238867</v>
      </c>
      <c r="H39" s="638">
        <f t="shared" si="2"/>
        <v>0.42234003688282806</v>
      </c>
      <c r="I39" s="637">
        <v>89584779000</v>
      </c>
      <c r="J39" s="637">
        <v>50064297675</v>
      </c>
      <c r="K39" s="638">
        <f t="shared" si="3"/>
        <v>0.55884825786085823</v>
      </c>
      <c r="L39" s="637">
        <v>89584779000</v>
      </c>
      <c r="M39" s="637">
        <v>86119563074</v>
      </c>
      <c r="N39" s="638">
        <f t="shared" si="7"/>
        <v>0.96131914411487251</v>
      </c>
      <c r="O39" s="637">
        <f>+VLOOKUP(A39,[14]Hoja1!$A$4:$E$92,4,0)</f>
        <v>89156448556</v>
      </c>
      <c r="P39" s="637">
        <f>+VLOOKUP($A39,[14]Hoja1!$A$4:$E$92,5,0)</f>
        <v>88795582928</v>
      </c>
      <c r="Q39" s="638">
        <f t="shared" si="1"/>
        <v>0.99595244501273128</v>
      </c>
    </row>
    <row r="40" spans="1:17" x14ac:dyDescent="0.25">
      <c r="A40" s="627" t="str">
        <f t="shared" si="4"/>
        <v>77442-100-I016  VA-Otras transferencias nación</v>
      </c>
      <c r="B40" s="640">
        <v>7744</v>
      </c>
      <c r="C40" s="641" t="s">
        <v>2162</v>
      </c>
      <c r="D40" s="636" t="s">
        <v>2165</v>
      </c>
      <c r="E40" s="637">
        <v>50640000000</v>
      </c>
      <c r="F40" s="637">
        <v>50640000000</v>
      </c>
      <c r="G40" s="637">
        <v>13124902102</v>
      </c>
      <c r="H40" s="638">
        <f t="shared" si="2"/>
        <v>0.25918053124012636</v>
      </c>
      <c r="I40" s="637">
        <v>50640000000</v>
      </c>
      <c r="J40" s="637">
        <v>21606548147</v>
      </c>
      <c r="K40" s="638">
        <f t="shared" si="3"/>
        <v>0.42666959216034755</v>
      </c>
      <c r="L40" s="637">
        <v>50640000000</v>
      </c>
      <c r="M40" s="637">
        <v>25697255514</v>
      </c>
      <c r="N40" s="638">
        <f t="shared" si="7"/>
        <v>0.50744975343601895</v>
      </c>
      <c r="O40" s="637">
        <f>+VLOOKUP(A40,[14]Hoja1!$A$4:$E$92,4,0)</f>
        <v>26051239470</v>
      </c>
      <c r="P40" s="637">
        <f>+VLOOKUP($A40,[14]Hoja1!$A$4:$E$92,5,0)</f>
        <v>25983449002</v>
      </c>
      <c r="Q40" s="638">
        <f t="shared" si="1"/>
        <v>0.99739780258524491</v>
      </c>
    </row>
    <row r="41" spans="1:17" x14ac:dyDescent="0.25">
      <c r="A41" s="627" t="str">
        <f t="shared" si="4"/>
        <v>77441-601-F001  PAS-Otros distrito</v>
      </c>
      <c r="B41" s="640">
        <v>7744</v>
      </c>
      <c r="C41" s="641" t="s">
        <v>2162</v>
      </c>
      <c r="D41" s="643" t="s">
        <v>2145</v>
      </c>
      <c r="E41" s="637"/>
      <c r="F41" s="637"/>
      <c r="G41" s="637"/>
      <c r="H41" s="638"/>
      <c r="I41" s="637">
        <v>26323065</v>
      </c>
      <c r="J41" s="637">
        <v>379767</v>
      </c>
      <c r="K41" s="638">
        <f t="shared" si="3"/>
        <v>1.4427157323814685E-2</v>
      </c>
      <c r="L41" s="637">
        <v>27286665</v>
      </c>
      <c r="M41" s="637">
        <v>21949706</v>
      </c>
      <c r="N41" s="638">
        <f t="shared" si="7"/>
        <v>0.80441145885728427</v>
      </c>
      <c r="O41" s="637">
        <f>+VLOOKUP(A41,[14]Hoja1!$A$4:$E$92,4,0)</f>
        <v>27690005</v>
      </c>
      <c r="P41" s="637">
        <f>+VLOOKUP($A41,[14]Hoja1!$A$4:$E$92,5,0)</f>
        <v>27690005</v>
      </c>
      <c r="Q41" s="638">
        <f t="shared" si="1"/>
        <v>1</v>
      </c>
    </row>
    <row r="42" spans="1:17" x14ac:dyDescent="0.25">
      <c r="A42" s="627" t="str">
        <f t="shared" si="4"/>
        <v>77441-100-F039  VA-Crédito</v>
      </c>
      <c r="B42" s="640">
        <v>7744</v>
      </c>
      <c r="C42" s="641" t="s">
        <v>2162</v>
      </c>
      <c r="D42" s="639" t="s">
        <v>2154</v>
      </c>
      <c r="E42" s="637"/>
      <c r="F42" s="637"/>
      <c r="G42" s="637"/>
      <c r="H42" s="638"/>
      <c r="I42" s="637"/>
      <c r="J42" s="637"/>
      <c r="K42" s="638"/>
      <c r="L42" s="642">
        <v>17787000000</v>
      </c>
      <c r="M42" s="637">
        <v>6077492929</v>
      </c>
      <c r="N42" s="638">
        <f t="shared" si="7"/>
        <v>0.34168172985888573</v>
      </c>
      <c r="O42" s="637">
        <f>+VLOOKUP(A42,[14]Hoja1!$A$4:$E$92,4,0)</f>
        <v>14712496000</v>
      </c>
      <c r="P42" s="637">
        <f>+VLOOKUP($A42,[14]Hoja1!$A$4:$E$92,5,0)</f>
        <v>12734982483</v>
      </c>
      <c r="Q42" s="638">
        <f t="shared" si="1"/>
        <v>0.86558952899630359</v>
      </c>
    </row>
    <row r="43" spans="1:17" x14ac:dyDescent="0.25">
      <c r="A43" s="627" t="str">
        <f t="shared" si="4"/>
        <v>77451-100-F001  VA-Recursos distrito</v>
      </c>
      <c r="B43" s="640">
        <v>7745</v>
      </c>
      <c r="C43" s="641" t="s">
        <v>2166</v>
      </c>
      <c r="D43" s="636" t="s">
        <v>2144</v>
      </c>
      <c r="E43" s="637">
        <v>145776206000</v>
      </c>
      <c r="F43" s="637">
        <v>145776206000</v>
      </c>
      <c r="G43" s="637">
        <v>39434955430</v>
      </c>
      <c r="H43" s="638">
        <f t="shared" si="2"/>
        <v>0.27051709268658014</v>
      </c>
      <c r="I43" s="637">
        <v>137149105659</v>
      </c>
      <c r="J43" s="637">
        <v>72511048411</v>
      </c>
      <c r="K43" s="638">
        <f t="shared" si="3"/>
        <v>0.52870230587786327</v>
      </c>
      <c r="L43" s="637">
        <v>185862781005</v>
      </c>
      <c r="M43" s="637">
        <v>130828044713</v>
      </c>
      <c r="N43" s="638">
        <f t="shared" si="7"/>
        <v>0.70389587417978272</v>
      </c>
      <c r="O43" s="637">
        <f>+VLOOKUP(A43,[14]Hoja1!$A$4:$E$92,4,0)</f>
        <v>174711812402</v>
      </c>
      <c r="P43" s="637">
        <f>+VLOOKUP($A43,[14]Hoja1!$A$4:$E$92,5,0)</f>
        <v>173135736121</v>
      </c>
      <c r="Q43" s="638">
        <f t="shared" si="1"/>
        <v>0.99097899415425006</v>
      </c>
    </row>
    <row r="44" spans="1:17" x14ac:dyDescent="0.25">
      <c r="A44" s="627" t="str">
        <f t="shared" si="4"/>
        <v>77451-100-F039  VA-Crédito</v>
      </c>
      <c r="B44" s="640">
        <v>7745</v>
      </c>
      <c r="C44" s="641" t="s">
        <v>2166</v>
      </c>
      <c r="D44" s="636" t="s">
        <v>2154</v>
      </c>
      <c r="E44" s="637">
        <v>15060000000</v>
      </c>
      <c r="F44" s="637">
        <v>15060000000</v>
      </c>
      <c r="G44" s="637">
        <v>351601830</v>
      </c>
      <c r="H44" s="638">
        <f t="shared" si="2"/>
        <v>2.3346735059760957E-2</v>
      </c>
      <c r="I44" s="637">
        <v>15060000000</v>
      </c>
      <c r="J44" s="637">
        <v>2759401830</v>
      </c>
      <c r="K44" s="638">
        <f t="shared" si="3"/>
        <v>0.18322721314741036</v>
      </c>
      <c r="L44" s="637">
        <v>2877656349</v>
      </c>
      <c r="M44" s="637">
        <v>2821162830</v>
      </c>
      <c r="N44" s="638">
        <f t="shared" si="7"/>
        <v>0.98036821908229876</v>
      </c>
      <c r="O44" s="637">
        <f>+VLOOKUP(A44,[14]Hoja1!$A$4:$E$92,4,0)</f>
        <v>3114455978</v>
      </c>
      <c r="P44" s="637">
        <f>+VLOOKUP($A44,[14]Hoja1!$A$4:$E$92,5,0)</f>
        <v>2469561000</v>
      </c>
      <c r="Q44" s="638">
        <f t="shared" si="1"/>
        <v>0.79293495154356619</v>
      </c>
    </row>
    <row r="45" spans="1:17" x14ac:dyDescent="0.25">
      <c r="A45" s="627" t="str">
        <f t="shared" si="4"/>
        <v>77451-100-I012  VA-Estampilla propersonas mayores</v>
      </c>
      <c r="B45" s="640">
        <v>7745</v>
      </c>
      <c r="C45" s="641" t="s">
        <v>2166</v>
      </c>
      <c r="D45" s="636" t="s">
        <v>2158</v>
      </c>
      <c r="E45" s="637">
        <v>1225793000</v>
      </c>
      <c r="F45" s="637">
        <v>25928832000</v>
      </c>
      <c r="G45" s="637">
        <v>8278040000</v>
      </c>
      <c r="H45" s="638">
        <f t="shared" si="2"/>
        <v>0.31926004225720617</v>
      </c>
      <c r="I45" s="637">
        <v>25928832000</v>
      </c>
      <c r="J45" s="637">
        <v>8416136405</v>
      </c>
      <c r="K45" s="638">
        <f t="shared" si="3"/>
        <v>0.32458602088208216</v>
      </c>
      <c r="L45" s="637">
        <v>25928832000</v>
      </c>
      <c r="M45" s="637">
        <v>8781442805</v>
      </c>
      <c r="N45" s="638">
        <f t="shared" si="7"/>
        <v>0.33867483136147436</v>
      </c>
      <c r="O45" s="637">
        <f>+VLOOKUP(A45,[14]Hoja1!$A$4:$E$92,4,0)</f>
        <v>25558832000</v>
      </c>
      <c r="P45" s="637">
        <f>+VLOOKUP($A45,[14]Hoja1!$A$4:$E$92,5,0)</f>
        <v>10844432924</v>
      </c>
      <c r="Q45" s="638">
        <f t="shared" si="1"/>
        <v>0.42429297723777049</v>
      </c>
    </row>
    <row r="46" spans="1:17" x14ac:dyDescent="0.25">
      <c r="A46" s="627" t="str">
        <f t="shared" si="4"/>
        <v>77451-200-F001  RB-Otros distrito</v>
      </c>
      <c r="B46" s="640">
        <v>7745</v>
      </c>
      <c r="C46" s="641" t="s">
        <v>2166</v>
      </c>
      <c r="D46" s="636" t="s">
        <v>2167</v>
      </c>
      <c r="E46" s="637">
        <v>17500000000</v>
      </c>
      <c r="F46" s="637">
        <v>17500000000</v>
      </c>
      <c r="G46" s="637">
        <v>14133948816</v>
      </c>
      <c r="H46" s="638">
        <f t="shared" si="2"/>
        <v>0.80765421805714288</v>
      </c>
      <c r="I46" s="637">
        <v>17500000000</v>
      </c>
      <c r="J46" s="637">
        <v>17413715685</v>
      </c>
      <c r="K46" s="638">
        <f t="shared" si="3"/>
        <v>0.99506946771428573</v>
      </c>
      <c r="L46" s="637">
        <v>17500000000</v>
      </c>
      <c r="M46" s="637">
        <v>17413715685</v>
      </c>
      <c r="N46" s="638">
        <f t="shared" si="7"/>
        <v>0.99506946771428573</v>
      </c>
      <c r="O46" s="637">
        <f>+VLOOKUP(A46,[14]Hoja1!$A$4:$E$92,4,0)</f>
        <v>17500000000</v>
      </c>
      <c r="P46" s="637">
        <f>+VLOOKUP($A46,[14]Hoja1!$A$4:$E$92,5,0)</f>
        <v>17499999998</v>
      </c>
      <c r="Q46" s="638">
        <f t="shared" si="1"/>
        <v>0.99999999988571431</v>
      </c>
    </row>
    <row r="47" spans="1:17" x14ac:dyDescent="0.25">
      <c r="A47" s="627" t="str">
        <f t="shared" si="4"/>
        <v>77451-601-I004  PAS-1% ingresos corrientes-Ley 99</v>
      </c>
      <c r="B47" s="640">
        <v>7745</v>
      </c>
      <c r="C47" s="641" t="s">
        <v>2166</v>
      </c>
      <c r="D47" s="636" t="s">
        <v>2168</v>
      </c>
      <c r="E47" s="637">
        <v>46000</v>
      </c>
      <c r="F47" s="637">
        <v>46000</v>
      </c>
      <c r="G47" s="637">
        <v>0</v>
      </c>
      <c r="H47" s="638">
        <f t="shared" si="2"/>
        <v>0</v>
      </c>
      <c r="I47" s="637">
        <v>46000</v>
      </c>
      <c r="J47" s="637">
        <v>0</v>
      </c>
      <c r="K47" s="638">
        <f t="shared" si="3"/>
        <v>0</v>
      </c>
      <c r="L47" s="637">
        <v>46000</v>
      </c>
      <c r="M47" s="637">
        <v>0</v>
      </c>
      <c r="N47" s="638">
        <f t="shared" si="7"/>
        <v>0</v>
      </c>
      <c r="O47" s="637">
        <f>+VLOOKUP(A47,[14]Hoja1!$A$4:$E$92,4,0)</f>
        <v>46000</v>
      </c>
      <c r="P47" s="637">
        <f>+VLOOKUP($A47,[14]Hoja1!$A$4:$E$92,5,0)</f>
        <v>0</v>
      </c>
      <c r="Q47" s="638">
        <f t="shared" si="1"/>
        <v>0</v>
      </c>
    </row>
    <row r="48" spans="1:17" x14ac:dyDescent="0.25">
      <c r="A48" s="627" t="str">
        <f t="shared" si="4"/>
        <v>77451-601-I012  PAS-Estampilla propersonas mayore</v>
      </c>
      <c r="B48" s="640">
        <v>7745</v>
      </c>
      <c r="C48" s="641" t="s">
        <v>2166</v>
      </c>
      <c r="D48" s="636" t="s">
        <v>2159</v>
      </c>
      <c r="E48" s="637">
        <v>740742000</v>
      </c>
      <c r="F48" s="637">
        <v>740742000</v>
      </c>
      <c r="G48" s="637">
        <v>0</v>
      </c>
      <c r="H48" s="638">
        <f t="shared" si="2"/>
        <v>0</v>
      </c>
      <c r="I48" s="637">
        <v>740742000</v>
      </c>
      <c r="J48" s="637">
        <v>0</v>
      </c>
      <c r="K48" s="638">
        <f t="shared" si="3"/>
        <v>0</v>
      </c>
      <c r="L48" s="637">
        <v>740742000</v>
      </c>
      <c r="M48" s="637">
        <v>0</v>
      </c>
      <c r="N48" s="638">
        <f t="shared" si="7"/>
        <v>0</v>
      </c>
      <c r="O48" s="637">
        <f>+VLOOKUP(A48,[14]Hoja1!$A$4:$E$92,4,0)</f>
        <v>740742000</v>
      </c>
      <c r="P48" s="637">
        <f>+VLOOKUP($A48,[14]Hoja1!$A$4:$E$92,5,0)</f>
        <v>0</v>
      </c>
      <c r="Q48" s="638">
        <f t="shared" si="1"/>
        <v>0</v>
      </c>
    </row>
    <row r="49" spans="1:17" x14ac:dyDescent="0.25">
      <c r="A49" s="627" t="str">
        <f t="shared" si="4"/>
        <v>77451-601-I015  PAS-Multas de tránsito</v>
      </c>
      <c r="B49" s="640">
        <v>7745</v>
      </c>
      <c r="C49" s="641" t="s">
        <v>2166</v>
      </c>
      <c r="D49" s="636" t="s">
        <v>2169</v>
      </c>
      <c r="E49" s="637">
        <v>39118000</v>
      </c>
      <c r="F49" s="637">
        <v>39118000</v>
      </c>
      <c r="G49" s="637">
        <v>5168162</v>
      </c>
      <c r="H49" s="638">
        <f t="shared" si="2"/>
        <v>0.13211723503246586</v>
      </c>
      <c r="I49" s="637">
        <v>39118000</v>
      </c>
      <c r="J49" s="637">
        <v>5168162</v>
      </c>
      <c r="K49" s="638">
        <f t="shared" si="3"/>
        <v>0.13211723503246586</v>
      </c>
      <c r="L49" s="637">
        <v>39118000</v>
      </c>
      <c r="M49" s="637">
        <v>5168162</v>
      </c>
      <c r="N49" s="638">
        <f t="shared" si="7"/>
        <v>0.13211723503246586</v>
      </c>
      <c r="O49" s="637">
        <f>+VLOOKUP(A49,[14]Hoja1!$A$4:$E$92,4,0)</f>
        <v>39118000</v>
      </c>
      <c r="P49" s="637">
        <f>+VLOOKUP($A49,[14]Hoja1!$A$4:$E$92,5,0)</f>
        <v>5168162</v>
      </c>
      <c r="Q49" s="638">
        <f t="shared" si="1"/>
        <v>0.13211723503246586</v>
      </c>
    </row>
    <row r="50" spans="1:17" x14ac:dyDescent="0.25">
      <c r="A50" s="627" t="str">
        <f t="shared" si="4"/>
        <v>77451-601-I025  PAS-Derechos de tránsito</v>
      </c>
      <c r="B50" s="640">
        <v>7745</v>
      </c>
      <c r="C50" s="641" t="s">
        <v>2166</v>
      </c>
      <c r="D50" s="636" t="s">
        <v>2170</v>
      </c>
      <c r="E50" s="637">
        <v>68676000</v>
      </c>
      <c r="F50" s="637">
        <v>68676000</v>
      </c>
      <c r="G50" s="637">
        <v>68676000</v>
      </c>
      <c r="H50" s="638">
        <f t="shared" si="2"/>
        <v>1</v>
      </c>
      <c r="I50" s="637">
        <v>68676000</v>
      </c>
      <c r="J50" s="637">
        <v>68676000</v>
      </c>
      <c r="K50" s="638">
        <f t="shared" si="3"/>
        <v>1</v>
      </c>
      <c r="L50" s="637">
        <v>68676000</v>
      </c>
      <c r="M50" s="637">
        <v>68676000</v>
      </c>
      <c r="N50" s="638">
        <f t="shared" si="7"/>
        <v>1</v>
      </c>
      <c r="O50" s="637">
        <f>+VLOOKUP(A50,[14]Hoja1!$A$4:$E$92,4,0)</f>
        <v>68676000</v>
      </c>
      <c r="P50" s="637">
        <f>+VLOOKUP($A50,[14]Hoja1!$A$4:$E$92,5,0)</f>
        <v>68676000</v>
      </c>
      <c r="Q50" s="638">
        <f t="shared" si="1"/>
        <v>1</v>
      </c>
    </row>
    <row r="51" spans="1:17" x14ac:dyDescent="0.25">
      <c r="A51" s="627" t="str">
        <f t="shared" si="4"/>
        <v>77451-601-I052  PAS-SGP propósito general</v>
      </c>
      <c r="B51" s="640">
        <v>7745</v>
      </c>
      <c r="C51" s="641" t="s">
        <v>2166</v>
      </c>
      <c r="D51" s="636" t="s">
        <v>2149</v>
      </c>
      <c r="E51" s="637">
        <v>2721977000</v>
      </c>
      <c r="F51" s="637">
        <v>2721977000</v>
      </c>
      <c r="G51" s="637">
        <v>31181176</v>
      </c>
      <c r="H51" s="638">
        <f t="shared" si="2"/>
        <v>1.1455341466882343E-2</v>
      </c>
      <c r="I51" s="637">
        <v>2721977000</v>
      </c>
      <c r="J51" s="637">
        <v>150850110</v>
      </c>
      <c r="K51" s="638">
        <f t="shared" si="3"/>
        <v>5.5419318385129632E-2</v>
      </c>
      <c r="L51" s="637">
        <v>2721977000</v>
      </c>
      <c r="M51" s="637">
        <v>232660752</v>
      </c>
      <c r="N51" s="638">
        <f t="shared" si="7"/>
        <v>8.5474914740278851E-2</v>
      </c>
      <c r="O51" s="637">
        <f>+VLOOKUP(A51,[14]Hoja1!$A$4:$E$92,4,0)</f>
        <v>2721977000</v>
      </c>
      <c r="P51" s="637">
        <f>+VLOOKUP($A51,[14]Hoja1!$A$4:$E$92,5,0)</f>
        <v>375504903</v>
      </c>
      <c r="Q51" s="638">
        <f t="shared" si="1"/>
        <v>0.13795300364404256</v>
      </c>
    </row>
    <row r="52" spans="1:17" x14ac:dyDescent="0.25">
      <c r="A52" s="627" t="str">
        <f t="shared" si="4"/>
        <v>77451-602-I049  PAS-RB-SGP propósito general</v>
      </c>
      <c r="B52" s="640">
        <v>7745</v>
      </c>
      <c r="C52" s="641" t="s">
        <v>2166</v>
      </c>
      <c r="D52" s="636" t="s">
        <v>2151</v>
      </c>
      <c r="E52" s="637">
        <v>73549000</v>
      </c>
      <c r="F52" s="637">
        <v>73549000</v>
      </c>
      <c r="G52" s="637">
        <v>0</v>
      </c>
      <c r="H52" s="638">
        <f t="shared" si="2"/>
        <v>0</v>
      </c>
      <c r="I52" s="637">
        <v>73549000</v>
      </c>
      <c r="J52" s="637">
        <v>0</v>
      </c>
      <c r="K52" s="638">
        <f t="shared" si="3"/>
        <v>0</v>
      </c>
      <c r="L52" s="637">
        <v>73549000</v>
      </c>
      <c r="M52" s="637">
        <v>0</v>
      </c>
      <c r="N52" s="638">
        <f t="shared" si="7"/>
        <v>0</v>
      </c>
      <c r="O52" s="637">
        <f>+VLOOKUP(A52,[14]Hoja1!$A$4:$E$92,4,0)</f>
        <v>73549000</v>
      </c>
      <c r="P52" s="637">
        <f>+VLOOKUP($A52,[14]Hoja1!$A$4:$E$92,5,0)</f>
        <v>0</v>
      </c>
      <c r="Q52" s="638">
        <f t="shared" si="1"/>
        <v>0</v>
      </c>
    </row>
    <row r="53" spans="1:17" x14ac:dyDescent="0.25">
      <c r="A53" s="627" t="str">
        <f t="shared" si="4"/>
        <v>77452-100-I009  VA-SGP propósito general</v>
      </c>
      <c r="B53" s="640">
        <v>7745</v>
      </c>
      <c r="C53" s="641" t="s">
        <v>2166</v>
      </c>
      <c r="D53" s="636" t="s">
        <v>2152</v>
      </c>
      <c r="E53" s="637">
        <v>13747027000</v>
      </c>
      <c r="F53" s="637">
        <v>28747027000</v>
      </c>
      <c r="G53" s="637">
        <v>6168733439</v>
      </c>
      <c r="H53" s="638">
        <f t="shared" si="2"/>
        <v>0.21458683150087138</v>
      </c>
      <c r="I53" s="637">
        <v>28747027000</v>
      </c>
      <c r="J53" s="637">
        <v>28147027000</v>
      </c>
      <c r="K53" s="638">
        <f t="shared" si="3"/>
        <v>0.97912827646490197</v>
      </c>
      <c r="L53" s="637">
        <v>29747027000</v>
      </c>
      <c r="M53" s="637">
        <v>28147027000</v>
      </c>
      <c r="N53" s="638">
        <f t="shared" si="7"/>
        <v>0.94621311232211547</v>
      </c>
      <c r="O53" s="637">
        <f>+VLOOKUP(A53,[14]Hoja1!$A$4:$E$92,4,0)</f>
        <v>28747027000</v>
      </c>
      <c r="P53" s="637">
        <f>+VLOOKUP($A53,[14]Hoja1!$A$4:$E$92,5,0)</f>
        <v>28292822809</v>
      </c>
      <c r="Q53" s="638">
        <f t="shared" si="1"/>
        <v>0.98419995949494188</v>
      </c>
    </row>
    <row r="54" spans="1:17" x14ac:dyDescent="0.25">
      <c r="A54" s="627" t="str">
        <f t="shared" si="4"/>
        <v>77451-200-I012  RB-Estampilla propersonas mayores</v>
      </c>
      <c r="B54" s="640">
        <v>7745</v>
      </c>
      <c r="C54" s="641" t="s">
        <v>2166</v>
      </c>
      <c r="D54" t="s">
        <v>2171</v>
      </c>
      <c r="E54" s="637"/>
      <c r="F54" s="637">
        <v>3308993000</v>
      </c>
      <c r="G54" s="637">
        <v>0</v>
      </c>
      <c r="H54" s="638">
        <f t="shared" si="2"/>
        <v>0</v>
      </c>
      <c r="I54" s="637">
        <v>3308993000</v>
      </c>
      <c r="J54" s="637">
        <v>0</v>
      </c>
      <c r="K54" s="638">
        <f t="shared" si="3"/>
        <v>0</v>
      </c>
      <c r="L54" s="637">
        <v>3308993000</v>
      </c>
      <c r="M54" s="637">
        <v>3265215305</v>
      </c>
      <c r="N54" s="638">
        <f t="shared" si="7"/>
        <v>0.98677008534016242</v>
      </c>
      <c r="O54" s="637">
        <f>+VLOOKUP(A54,[14]Hoja1!$A$4:$E$92,4,0)</f>
        <v>3308993000</v>
      </c>
      <c r="P54" s="637">
        <f>+VLOOKUP($A54,[14]Hoja1!$A$4:$E$92,5,0)</f>
        <v>3308993000</v>
      </c>
      <c r="Q54" s="638">
        <f t="shared" si="1"/>
        <v>1</v>
      </c>
    </row>
    <row r="55" spans="1:17" x14ac:dyDescent="0.25">
      <c r="A55" s="627" t="str">
        <f t="shared" si="4"/>
        <v>77451-601-F001  PAS-Otros distrito</v>
      </c>
      <c r="B55" s="640">
        <v>7745</v>
      </c>
      <c r="C55" s="641" t="s">
        <v>2166</v>
      </c>
      <c r="D55" s="643" t="s">
        <v>2145</v>
      </c>
      <c r="E55" s="637"/>
      <c r="F55" s="637"/>
      <c r="G55" s="637"/>
      <c r="H55" s="638"/>
      <c r="I55" s="637">
        <v>401247341</v>
      </c>
      <c r="J55" s="637">
        <v>0</v>
      </c>
      <c r="K55" s="638">
        <f t="shared" si="3"/>
        <v>0</v>
      </c>
      <c r="L55" s="637">
        <v>777492206</v>
      </c>
      <c r="M55" s="637">
        <v>422445618</v>
      </c>
      <c r="N55" s="638">
        <f t="shared" si="7"/>
        <v>0.54334386215056152</v>
      </c>
      <c r="O55" s="637">
        <f>+VLOOKUP(A55,[14]Hoja1!$A$4:$E$92,4,0)</f>
        <v>788767969</v>
      </c>
      <c r="P55" s="637">
        <f>+VLOOKUP($A55,[14]Hoja1!$A$4:$E$92,5,0)</f>
        <v>788767969</v>
      </c>
      <c r="Q55" s="638">
        <f t="shared" si="1"/>
        <v>1</v>
      </c>
    </row>
    <row r="56" spans="1:17" x14ac:dyDescent="0.25">
      <c r="A56" s="627" t="str">
        <f t="shared" si="4"/>
        <v>77491-100-F001  VA-Recursos distrito</v>
      </c>
      <c r="B56" s="640">
        <v>7749</v>
      </c>
      <c r="C56" s="641" t="s">
        <v>2172</v>
      </c>
      <c r="D56" s="636" t="s">
        <v>2144</v>
      </c>
      <c r="E56" s="637">
        <v>6958238000</v>
      </c>
      <c r="F56" s="637">
        <v>6958238000</v>
      </c>
      <c r="G56" s="637">
        <v>1274117015</v>
      </c>
      <c r="H56" s="638">
        <f t="shared" si="2"/>
        <v>0.18310914559116834</v>
      </c>
      <c r="I56" s="637">
        <v>6918238000</v>
      </c>
      <c r="J56" s="637">
        <v>2478323525</v>
      </c>
      <c r="K56" s="638">
        <f t="shared" si="3"/>
        <v>0.35823045188673763</v>
      </c>
      <c r="L56" s="637">
        <v>6918238000</v>
      </c>
      <c r="M56" s="637">
        <v>3512631721</v>
      </c>
      <c r="N56" s="638">
        <f t="shared" si="7"/>
        <v>0.50773502169193951</v>
      </c>
      <c r="O56" s="637">
        <f>+VLOOKUP(A56,[14]Hoja1!$A$4:$E$92,4,0)</f>
        <v>5108304417</v>
      </c>
      <c r="P56" s="637">
        <f>+VLOOKUP($A56,[14]Hoja1!$A$4:$E$92,5,0)</f>
        <v>5024851193</v>
      </c>
      <c r="Q56" s="638">
        <f t="shared" si="1"/>
        <v>0.98366322419582619</v>
      </c>
    </row>
    <row r="57" spans="1:17" x14ac:dyDescent="0.25">
      <c r="A57" s="627" t="str">
        <f t="shared" si="4"/>
        <v>77492-100-I009  VA-SGP propósito general</v>
      </c>
      <c r="B57" s="640">
        <v>7749</v>
      </c>
      <c r="C57" s="641" t="s">
        <v>2172</v>
      </c>
      <c r="D57" s="636" t="s">
        <v>2152</v>
      </c>
      <c r="E57" s="637">
        <v>448101000</v>
      </c>
      <c r="F57" s="637">
        <v>448101000</v>
      </c>
      <c r="G57" s="637">
        <v>0</v>
      </c>
      <c r="H57" s="638">
        <f t="shared" si="2"/>
        <v>0</v>
      </c>
      <c r="I57" s="637">
        <v>448101000</v>
      </c>
      <c r="J57" s="637">
        <v>0</v>
      </c>
      <c r="K57" s="638">
        <f t="shared" si="3"/>
        <v>0</v>
      </c>
      <c r="L57" s="637">
        <v>448101000</v>
      </c>
      <c r="M57" s="637">
        <v>0</v>
      </c>
      <c r="N57" s="638">
        <f t="shared" si="7"/>
        <v>0</v>
      </c>
      <c r="O57" s="637">
        <f>+VLOOKUP(A57,[14]Hoja1!$A$4:$E$92,4,0)</f>
        <v>448101000</v>
      </c>
      <c r="P57" s="637">
        <f>+VLOOKUP($A57,[14]Hoja1!$A$4:$E$92,5,0)</f>
        <v>448101000</v>
      </c>
      <c r="Q57" s="638">
        <f t="shared" si="1"/>
        <v>1</v>
      </c>
    </row>
    <row r="58" spans="1:17" x14ac:dyDescent="0.25">
      <c r="A58" s="627" t="str">
        <f t="shared" ref="A58" si="8">+CONCATENATE(B58,D58)</f>
        <v>77491-601-F001  PAS-Otros distrito</v>
      </c>
      <c r="B58" s="640">
        <v>7749</v>
      </c>
      <c r="C58" s="641" t="s">
        <v>2172</v>
      </c>
      <c r="D58" t="s">
        <v>2145</v>
      </c>
      <c r="E58" s="637"/>
      <c r="F58" s="637"/>
      <c r="G58" s="637"/>
      <c r="H58" s="638"/>
      <c r="I58" s="637"/>
      <c r="J58" s="637"/>
      <c r="K58" s="638"/>
      <c r="L58" s="637"/>
      <c r="M58" s="637"/>
      <c r="N58" s="638"/>
      <c r="O58" s="648">
        <v>9251</v>
      </c>
      <c r="P58" s="648">
        <v>9251</v>
      </c>
      <c r="Q58" s="638">
        <f t="shared" si="1"/>
        <v>1</v>
      </c>
    </row>
    <row r="59" spans="1:17" x14ac:dyDescent="0.25">
      <c r="A59" s="627" t="str">
        <f t="shared" si="4"/>
        <v>77521-100-F001  VA-Recursos distrito</v>
      </c>
      <c r="B59" s="640">
        <v>7752</v>
      </c>
      <c r="C59" s="641" t="s">
        <v>2173</v>
      </c>
      <c r="D59" s="636" t="s">
        <v>2144</v>
      </c>
      <c r="E59" s="637">
        <v>111353000</v>
      </c>
      <c r="F59" s="637">
        <v>111353000</v>
      </c>
      <c r="G59" s="637">
        <v>0</v>
      </c>
      <c r="H59" s="638">
        <f t="shared" si="2"/>
        <v>0</v>
      </c>
      <c r="I59" s="637">
        <v>111353000</v>
      </c>
      <c r="J59" s="637">
        <v>74846497</v>
      </c>
      <c r="K59" s="638">
        <f t="shared" si="3"/>
        <v>0.6721551911488689</v>
      </c>
      <c r="L59" s="637">
        <v>111353000</v>
      </c>
      <c r="M59" s="637">
        <v>109811011</v>
      </c>
      <c r="N59" s="638">
        <f t="shared" si="7"/>
        <v>0.98615224556141279</v>
      </c>
      <c r="O59" s="637">
        <f>+VLOOKUP(A59,[14]Hoja1!$A$4:$E$92,4,0)</f>
        <v>111353000</v>
      </c>
      <c r="P59" s="637">
        <f>+VLOOKUP($A59,[14]Hoja1!$A$4:$E$92,5,0)</f>
        <v>109811011</v>
      </c>
      <c r="Q59" s="638">
        <f t="shared" si="1"/>
        <v>0.98615224556141279</v>
      </c>
    </row>
    <row r="60" spans="1:17" x14ac:dyDescent="0.25">
      <c r="A60" s="627" t="str">
        <f t="shared" si="4"/>
        <v>77521-601-I052  PAS-SGP propósito general</v>
      </c>
      <c r="B60" s="640">
        <v>7752</v>
      </c>
      <c r="C60" s="641" t="s">
        <v>2173</v>
      </c>
      <c r="D60" s="636" t="s">
        <v>2149</v>
      </c>
      <c r="E60" s="637">
        <v>1754000</v>
      </c>
      <c r="F60" s="637">
        <v>1754000</v>
      </c>
      <c r="G60" s="637">
        <v>0</v>
      </c>
      <c r="H60" s="638">
        <f t="shared" si="2"/>
        <v>0</v>
      </c>
      <c r="I60" s="637">
        <v>1754000</v>
      </c>
      <c r="J60" s="637">
        <v>0</v>
      </c>
      <c r="K60" s="638">
        <f t="shared" si="3"/>
        <v>0</v>
      </c>
      <c r="L60" s="637">
        <v>1754000</v>
      </c>
      <c r="M60" s="637">
        <v>0</v>
      </c>
      <c r="N60" s="638">
        <f t="shared" si="7"/>
        <v>0</v>
      </c>
      <c r="O60" s="637">
        <f>+VLOOKUP(A60,[14]Hoja1!$A$4:$E$92,4,0)</f>
        <v>1754000</v>
      </c>
      <c r="P60" s="637">
        <f>+VLOOKUP($A60,[14]Hoja1!$A$4:$E$92,5,0)</f>
        <v>0</v>
      </c>
      <c r="Q60" s="638">
        <f t="shared" si="1"/>
        <v>0</v>
      </c>
    </row>
    <row r="61" spans="1:17" x14ac:dyDescent="0.25">
      <c r="A61" s="627" t="str">
        <f t="shared" si="4"/>
        <v>77522-100-I009  VA-SGP propósito general</v>
      </c>
      <c r="B61" s="640">
        <v>7752</v>
      </c>
      <c r="C61" s="641" t="s">
        <v>2173</v>
      </c>
      <c r="D61" s="636" t="s">
        <v>2152</v>
      </c>
      <c r="E61" s="637">
        <v>4789647000</v>
      </c>
      <c r="F61" s="637">
        <v>4789647000</v>
      </c>
      <c r="G61" s="637">
        <v>2969877934</v>
      </c>
      <c r="H61" s="638">
        <f t="shared" si="2"/>
        <v>0.62006196573567951</v>
      </c>
      <c r="I61" s="637">
        <v>4789647000</v>
      </c>
      <c r="J61" s="637">
        <v>3127363634</v>
      </c>
      <c r="K61" s="638">
        <f t="shared" si="3"/>
        <v>0.65294240556767547</v>
      </c>
      <c r="L61" s="637">
        <v>4789647000</v>
      </c>
      <c r="M61" s="637">
        <v>3997850680</v>
      </c>
      <c r="N61" s="638">
        <f t="shared" si="7"/>
        <v>0.83468587142225725</v>
      </c>
      <c r="O61" s="637">
        <f>+VLOOKUP(A61,[14]Hoja1!$A$4:$E$92,4,0)</f>
        <v>4739247000</v>
      </c>
      <c r="P61" s="637">
        <f>+VLOOKUP($A61,[14]Hoja1!$A$4:$E$92,5,0)</f>
        <v>4702070763</v>
      </c>
      <c r="Q61" s="638">
        <f t="shared" si="1"/>
        <v>0.99215566586843862</v>
      </c>
    </row>
    <row r="62" spans="1:17" x14ac:dyDescent="0.25">
      <c r="A62" s="627" t="str">
        <f t="shared" si="4"/>
        <v>77701-100-F001  VA-Recursos distrito</v>
      </c>
      <c r="B62" s="640">
        <v>7770</v>
      </c>
      <c r="C62" s="641" t="s">
        <v>2174</v>
      </c>
      <c r="D62" s="636" t="s">
        <v>2144</v>
      </c>
      <c r="E62" s="637">
        <v>101153770000</v>
      </c>
      <c r="F62" s="637">
        <v>101153770000</v>
      </c>
      <c r="G62" s="637">
        <v>82086644271</v>
      </c>
      <c r="H62" s="638">
        <f t="shared" si="2"/>
        <v>0.81150355810762165</v>
      </c>
      <c r="I62" s="637">
        <v>112153770000</v>
      </c>
      <c r="J62" s="637">
        <v>94709113451</v>
      </c>
      <c r="K62" s="638">
        <f t="shared" si="3"/>
        <v>0.84445768921544051</v>
      </c>
      <c r="L62" s="637">
        <v>122329512498</v>
      </c>
      <c r="M62" s="637">
        <v>119839216104</v>
      </c>
      <c r="N62" s="638">
        <f t="shared" si="7"/>
        <v>0.97964271790880619</v>
      </c>
      <c r="O62" s="637">
        <f>+VLOOKUP(A62,[14]Hoja1!$A$4:$E$92,4,0)</f>
        <v>141916936267</v>
      </c>
      <c r="P62" s="637">
        <f>+VLOOKUP($A62,[14]Hoja1!$A$4:$E$92,5,0)</f>
        <v>141554272935</v>
      </c>
      <c r="Q62" s="638">
        <f t="shared" si="1"/>
        <v>0.9974445380407756</v>
      </c>
    </row>
    <row r="63" spans="1:17" x14ac:dyDescent="0.25">
      <c r="A63" s="627" t="str">
        <f t="shared" si="4"/>
        <v>77701-100-I012  VA-Estampilla propersonas mayores</v>
      </c>
      <c r="B63" s="640">
        <v>7770</v>
      </c>
      <c r="C63" s="641" t="s">
        <v>2174</v>
      </c>
      <c r="D63" s="636" t="s">
        <v>2158</v>
      </c>
      <c r="E63" s="637">
        <v>68134704000</v>
      </c>
      <c r="F63" s="637">
        <v>43431665000</v>
      </c>
      <c r="G63" s="637">
        <v>32037404703</v>
      </c>
      <c r="H63" s="638">
        <f t="shared" si="2"/>
        <v>0.73765085227563809</v>
      </c>
      <c r="I63" s="637">
        <v>43431665000</v>
      </c>
      <c r="J63" s="637">
        <v>33316343469</v>
      </c>
      <c r="K63" s="638">
        <f t="shared" si="3"/>
        <v>0.76709800255182481</v>
      </c>
      <c r="L63" s="637">
        <v>43431665000</v>
      </c>
      <c r="M63" s="637">
        <v>38465342517</v>
      </c>
      <c r="N63" s="638">
        <f t="shared" si="7"/>
        <v>0.88565203560581895</v>
      </c>
      <c r="O63" s="637">
        <f>+VLOOKUP(A63,[14]Hoja1!$A$4:$E$92,4,0)</f>
        <v>43431665000</v>
      </c>
      <c r="P63" s="637">
        <f>+VLOOKUP($A63,[14]Hoja1!$A$4:$E$92,5,0)</f>
        <v>41863773653</v>
      </c>
      <c r="Q63" s="638">
        <f t="shared" si="1"/>
        <v>0.96389981026516025</v>
      </c>
    </row>
    <row r="64" spans="1:17" x14ac:dyDescent="0.25">
      <c r="A64" s="627" t="str">
        <f t="shared" si="4"/>
        <v>77701-200-F001  RB-Otros distrito</v>
      </c>
      <c r="B64" s="640">
        <v>7770</v>
      </c>
      <c r="C64" s="641" t="s">
        <v>2174</v>
      </c>
      <c r="D64" s="636" t="s">
        <v>2167</v>
      </c>
      <c r="E64" s="637">
        <v>11500000000</v>
      </c>
      <c r="F64" s="637">
        <v>11500000000</v>
      </c>
      <c r="G64" s="637">
        <v>968979344</v>
      </c>
      <c r="H64" s="638">
        <f t="shared" si="2"/>
        <v>8.4259073391304354E-2</v>
      </c>
      <c r="I64" s="637">
        <v>11500000000</v>
      </c>
      <c r="J64" s="637">
        <v>2479399425</v>
      </c>
      <c r="K64" s="638">
        <f t="shared" si="3"/>
        <v>0.21559995000000001</v>
      </c>
      <c r="L64" s="637">
        <v>11500000000</v>
      </c>
      <c r="M64" s="637">
        <v>8326459289</v>
      </c>
      <c r="N64" s="638">
        <f t="shared" si="7"/>
        <v>0.72403993817391299</v>
      </c>
      <c r="O64" s="637">
        <f>+VLOOKUP(A64,[14]Hoja1!$A$4:$E$92,4,0)</f>
        <v>12230717171</v>
      </c>
      <c r="P64" s="637">
        <f>+VLOOKUP($A64,[14]Hoja1!$A$4:$E$92,5,0)</f>
        <v>12140150567</v>
      </c>
      <c r="Q64" s="638">
        <f t="shared" si="1"/>
        <v>0.99259515180232105</v>
      </c>
    </row>
    <row r="65" spans="1:17" x14ac:dyDescent="0.25">
      <c r="A65" s="627" t="str">
        <f t="shared" si="4"/>
        <v>77701-200-I012  RB-Estampilla propersonas mayores</v>
      </c>
      <c r="B65" s="640">
        <v>7770</v>
      </c>
      <c r="C65" s="641" t="s">
        <v>2174</v>
      </c>
      <c r="D65" s="636" t="s">
        <v>2171</v>
      </c>
      <c r="E65" s="637">
        <v>7734748000</v>
      </c>
      <c r="F65" s="637">
        <v>4425755000</v>
      </c>
      <c r="G65" s="637">
        <v>0</v>
      </c>
      <c r="H65" s="638">
        <f t="shared" si="2"/>
        <v>0</v>
      </c>
      <c r="I65" s="637">
        <v>4425755000</v>
      </c>
      <c r="J65" s="637">
        <v>2908329670</v>
      </c>
      <c r="K65" s="638">
        <f t="shared" si="3"/>
        <v>0.6571375211687045</v>
      </c>
      <c r="L65" s="637">
        <v>4425755000</v>
      </c>
      <c r="M65" s="637">
        <v>4387866857</v>
      </c>
      <c r="N65" s="638">
        <f t="shared" si="7"/>
        <v>0.99143916845826308</v>
      </c>
      <c r="O65" s="637">
        <f>+VLOOKUP(A65,[14]Hoja1!$A$4:$E$92,4,0)</f>
        <v>4425755000</v>
      </c>
      <c r="P65" s="637">
        <f>+VLOOKUP($A65,[14]Hoja1!$A$4:$E$92,5,0)</f>
        <v>4387866857</v>
      </c>
      <c r="Q65" s="638">
        <f t="shared" si="1"/>
        <v>0.99143916845826308</v>
      </c>
    </row>
    <row r="66" spans="1:17" x14ac:dyDescent="0.25">
      <c r="A66" s="627" t="str">
        <f t="shared" si="4"/>
        <v>77701-300-I010  REAF-Estampilla propersonas mayor</v>
      </c>
      <c r="B66" s="640">
        <v>7770</v>
      </c>
      <c r="C66" s="641" t="s">
        <v>2174</v>
      </c>
      <c r="D66" s="636" t="s">
        <v>2160</v>
      </c>
      <c r="E66" s="637">
        <v>10837104000</v>
      </c>
      <c r="F66" s="637">
        <v>10837104000</v>
      </c>
      <c r="G66" s="637">
        <v>0</v>
      </c>
      <c r="H66" s="638">
        <f t="shared" si="2"/>
        <v>0</v>
      </c>
      <c r="I66" s="637">
        <v>9091149148</v>
      </c>
      <c r="J66" s="637">
        <v>0</v>
      </c>
      <c r="K66" s="638">
        <f t="shared" si="3"/>
        <v>0</v>
      </c>
      <c r="L66" s="637">
        <v>9091149148</v>
      </c>
      <c r="M66" s="637">
        <v>0</v>
      </c>
      <c r="N66" s="638">
        <f t="shared" si="7"/>
        <v>0</v>
      </c>
      <c r="O66" s="637">
        <f>+VLOOKUP(A66,[14]Hoja1!$A$4:$E$92,4,0)</f>
        <v>9091149148</v>
      </c>
      <c r="P66" s="637">
        <f>+VLOOKUP($A66,[14]Hoja1!$A$4:$E$92,5,0)</f>
        <v>7289299655</v>
      </c>
      <c r="Q66" s="638">
        <f t="shared" si="1"/>
        <v>0.8018017894474434</v>
      </c>
    </row>
    <row r="67" spans="1:17" x14ac:dyDescent="0.25">
      <c r="A67" s="627" t="str">
        <f t="shared" si="4"/>
        <v>77701-601-I012  PAS-Estampilla propersonas mayore</v>
      </c>
      <c r="B67" s="640">
        <v>7770</v>
      </c>
      <c r="C67" s="641" t="s">
        <v>2174</v>
      </c>
      <c r="D67" s="636" t="s">
        <v>2159</v>
      </c>
      <c r="E67" s="637">
        <v>1173691000</v>
      </c>
      <c r="F67" s="637">
        <v>1173691000</v>
      </c>
      <c r="G67" s="637">
        <v>0</v>
      </c>
      <c r="H67" s="638">
        <f t="shared" si="2"/>
        <v>0</v>
      </c>
      <c r="I67" s="637">
        <v>1173691000</v>
      </c>
      <c r="J67" s="637">
        <v>0</v>
      </c>
      <c r="K67" s="638">
        <f t="shared" si="3"/>
        <v>0</v>
      </c>
      <c r="L67" s="637">
        <v>1173691000</v>
      </c>
      <c r="M67" s="637">
        <v>2671295</v>
      </c>
      <c r="N67" s="638">
        <f t="shared" si="7"/>
        <v>2.2759780896334726E-3</v>
      </c>
      <c r="O67" s="637">
        <f>+VLOOKUP(A67,[14]Hoja1!$A$4:$E$92,4,0)</f>
        <v>1173700328</v>
      </c>
      <c r="P67" s="637">
        <f>+VLOOKUP($A67,[14]Hoja1!$A$4:$E$92,5,0)</f>
        <v>67584408</v>
      </c>
      <c r="Q67" s="638">
        <f t="shared" si="1"/>
        <v>5.7582337150032727E-2</v>
      </c>
    </row>
    <row r="68" spans="1:17" x14ac:dyDescent="0.25">
      <c r="A68" s="627" t="str">
        <f t="shared" si="4"/>
        <v>77701-601-I052  PAS-SGP propósito general</v>
      </c>
      <c r="B68" s="640">
        <v>7770</v>
      </c>
      <c r="C68" s="641" t="s">
        <v>2174</v>
      </c>
      <c r="D68" s="636" t="s">
        <v>2149</v>
      </c>
      <c r="E68" s="637">
        <v>89961000</v>
      </c>
      <c r="F68" s="637">
        <v>89961000</v>
      </c>
      <c r="G68" s="637">
        <v>0</v>
      </c>
      <c r="H68" s="638">
        <f t="shared" si="2"/>
        <v>0</v>
      </c>
      <c r="I68" s="637">
        <v>89961000</v>
      </c>
      <c r="J68" s="637">
        <v>0</v>
      </c>
      <c r="K68" s="638">
        <f t="shared" si="3"/>
        <v>0</v>
      </c>
      <c r="L68" s="637">
        <v>89961000</v>
      </c>
      <c r="M68" s="637">
        <v>7413867</v>
      </c>
      <c r="N68" s="638">
        <f t="shared" si="7"/>
        <v>8.2412011871811117E-2</v>
      </c>
      <c r="O68" s="637">
        <f>+VLOOKUP(A68,[14]Hoja1!$A$4:$E$92,4,0)</f>
        <v>89961000</v>
      </c>
      <c r="P68" s="637">
        <f>+VLOOKUP($A68,[14]Hoja1!$A$4:$E$92,5,0)</f>
        <v>23529333</v>
      </c>
      <c r="Q68" s="638">
        <f t="shared" si="1"/>
        <v>0.26155037182779206</v>
      </c>
    </row>
    <row r="69" spans="1:17" x14ac:dyDescent="0.25">
      <c r="A69" s="627" t="str">
        <f t="shared" si="4"/>
        <v>77701-601-F001  PAS-Otros distrito</v>
      </c>
      <c r="B69" s="640">
        <v>7770</v>
      </c>
      <c r="C69" s="641" t="s">
        <v>2174</v>
      </c>
      <c r="D69" s="639" t="s">
        <v>2145</v>
      </c>
      <c r="E69" s="637"/>
      <c r="F69" s="637"/>
      <c r="G69" s="637"/>
      <c r="H69" s="638"/>
      <c r="I69" s="637"/>
      <c r="J69" s="637"/>
      <c r="K69" s="638"/>
      <c r="L69" s="642">
        <v>331774502</v>
      </c>
      <c r="M69" s="637">
        <v>331774502</v>
      </c>
      <c r="N69" s="638">
        <f t="shared" si="7"/>
        <v>1</v>
      </c>
      <c r="O69" s="637">
        <f>+VLOOKUP(A69,[14]Hoja1!$A$4:$E$92,4,0)</f>
        <v>398624234</v>
      </c>
      <c r="P69" s="637">
        <f>+VLOOKUP($A69,[14]Hoja1!$A$4:$E$92,5,0)</f>
        <v>398624234</v>
      </c>
      <c r="Q69" s="638">
        <f t="shared" si="1"/>
        <v>1</v>
      </c>
    </row>
    <row r="70" spans="1:17" x14ac:dyDescent="0.25">
      <c r="A70" s="627" t="str">
        <f t="shared" si="4"/>
        <v>77711-100-F001  VA-Recursos distrito</v>
      </c>
      <c r="B70" s="640">
        <v>7771</v>
      </c>
      <c r="C70" s="641" t="s">
        <v>2175</v>
      </c>
      <c r="D70" s="636" t="s">
        <v>2144</v>
      </c>
      <c r="E70" s="637">
        <v>4497855000</v>
      </c>
      <c r="F70" s="637">
        <v>4497855000</v>
      </c>
      <c r="G70" s="637">
        <v>3882420526</v>
      </c>
      <c r="H70" s="638">
        <f t="shared" si="2"/>
        <v>0.86317156200010892</v>
      </c>
      <c r="I70" s="637">
        <v>4497477235</v>
      </c>
      <c r="J70" s="637">
        <v>3882420526</v>
      </c>
      <c r="K70" s="638">
        <f t="shared" si="3"/>
        <v>0.86324406398023712</v>
      </c>
      <c r="L70" s="637">
        <v>4497141335</v>
      </c>
      <c r="M70" s="637">
        <v>4156488603</v>
      </c>
      <c r="N70" s="638">
        <f t="shared" si="7"/>
        <v>0.92425127283663633</v>
      </c>
      <c r="O70" s="637">
        <f>+VLOOKUP(A70,[14]Hoja1!$A$4:$E$92,4,0)</f>
        <v>4733935795</v>
      </c>
      <c r="P70" s="637">
        <f>+VLOOKUP($A70,[14]Hoja1!$A$4:$E$92,5,0)</f>
        <v>4710141708</v>
      </c>
      <c r="Q70" s="638">
        <f t="shared" si="1"/>
        <v>0.99497371995937689</v>
      </c>
    </row>
    <row r="71" spans="1:17" x14ac:dyDescent="0.25">
      <c r="A71" s="627" t="str">
        <f t="shared" si="4"/>
        <v>77711-100-F039  VA-Crédito</v>
      </c>
      <c r="B71" s="640">
        <v>7771</v>
      </c>
      <c r="C71" s="641" t="s">
        <v>2175</v>
      </c>
      <c r="D71" s="636" t="s">
        <v>2154</v>
      </c>
      <c r="E71" s="637">
        <v>2340000000</v>
      </c>
      <c r="F71" s="637">
        <v>2340000000</v>
      </c>
      <c r="G71" s="637">
        <v>0</v>
      </c>
      <c r="H71" s="638">
        <f t="shared" si="2"/>
        <v>0</v>
      </c>
      <c r="I71" s="637">
        <v>2340000000</v>
      </c>
      <c r="J71" s="637">
        <v>0</v>
      </c>
      <c r="K71" s="638">
        <f t="shared" si="3"/>
        <v>0</v>
      </c>
      <c r="L71" s="637">
        <v>2340000000</v>
      </c>
      <c r="M71" s="637">
        <v>0</v>
      </c>
      <c r="N71" s="638">
        <f t="shared" si="7"/>
        <v>0</v>
      </c>
      <c r="O71" s="637">
        <f>+VLOOKUP(A71,[14]Hoja1!$A$4:$E$92,4,0)</f>
        <v>2103200371</v>
      </c>
      <c r="P71" s="637">
        <f>+VLOOKUP($A71,[14]Hoja1!$A$4:$E$92,5,0)</f>
        <v>0</v>
      </c>
      <c r="Q71" s="638">
        <f t="shared" si="1"/>
        <v>0</v>
      </c>
    </row>
    <row r="72" spans="1:17" x14ac:dyDescent="0.25">
      <c r="A72" s="627" t="str">
        <f t="shared" si="4"/>
        <v>77711-604-I023  PAS-RF-SGP propósito general</v>
      </c>
      <c r="B72" s="640">
        <v>7771</v>
      </c>
      <c r="C72" s="641" t="s">
        <v>2175</v>
      </c>
      <c r="D72" s="636" t="s">
        <v>2176</v>
      </c>
      <c r="E72" s="637">
        <v>11807000</v>
      </c>
      <c r="F72" s="637">
        <v>11807000</v>
      </c>
      <c r="G72" s="637">
        <v>2697474</v>
      </c>
      <c r="H72" s="638">
        <f t="shared" si="2"/>
        <v>0.2284639620564072</v>
      </c>
      <c r="I72" s="637">
        <v>11807000</v>
      </c>
      <c r="J72" s="637">
        <v>2697474</v>
      </c>
      <c r="K72" s="638">
        <f t="shared" si="3"/>
        <v>0.2284639620564072</v>
      </c>
      <c r="L72" s="637">
        <v>11807000</v>
      </c>
      <c r="M72" s="637">
        <v>2697474</v>
      </c>
      <c r="N72" s="638">
        <f t="shared" si="7"/>
        <v>0.2284639620564072</v>
      </c>
      <c r="O72" s="637">
        <f>+VLOOKUP(A72,[14]Hoja1!$A$4:$E$92,4,0)</f>
        <v>11807000</v>
      </c>
      <c r="P72" s="637">
        <f>+VLOOKUP($A72,[14]Hoja1!$A$4:$E$92,5,0)</f>
        <v>5822888</v>
      </c>
      <c r="Q72" s="638">
        <f t="shared" si="1"/>
        <v>0.49317252477343948</v>
      </c>
    </row>
    <row r="73" spans="1:17" x14ac:dyDescent="0.25">
      <c r="A73" s="627" t="str">
        <f t="shared" si="4"/>
        <v>77712-100-I009  VA-SGP propósito general</v>
      </c>
      <c r="B73" s="640">
        <v>7771</v>
      </c>
      <c r="C73" s="641" t="s">
        <v>2175</v>
      </c>
      <c r="D73" s="636" t="s">
        <v>2152</v>
      </c>
      <c r="E73" s="637">
        <v>58819436000</v>
      </c>
      <c r="F73" s="637">
        <v>58819436000</v>
      </c>
      <c r="G73" s="637">
        <v>39918813775</v>
      </c>
      <c r="H73" s="638">
        <f t="shared" si="2"/>
        <v>0.67866706125845888</v>
      </c>
      <c r="I73" s="637">
        <v>58819436000</v>
      </c>
      <c r="J73" s="637">
        <v>38936312025</v>
      </c>
      <c r="K73" s="638">
        <f t="shared" si="3"/>
        <v>0.6619633691319311</v>
      </c>
      <c r="L73" s="637">
        <v>60949590809</v>
      </c>
      <c r="M73" s="637">
        <v>49902996083</v>
      </c>
      <c r="N73" s="638">
        <f t="shared" si="7"/>
        <v>0.81875850880415058</v>
      </c>
      <c r="O73" s="637">
        <f>+VLOOKUP(A73,[14]Hoja1!$A$4:$E$92,4,0)</f>
        <v>63891263249</v>
      </c>
      <c r="P73" s="637">
        <f>+VLOOKUP($A73,[14]Hoja1!$A$4:$E$92,5,0)</f>
        <v>63717377297</v>
      </c>
      <c r="Q73" s="638">
        <f t="shared" si="1"/>
        <v>0.99727840798322731</v>
      </c>
    </row>
    <row r="74" spans="1:17" x14ac:dyDescent="0.25">
      <c r="A74" s="627" t="str">
        <f t="shared" si="4"/>
        <v>77711-601-F001  PAS-Otros distrito</v>
      </c>
      <c r="B74" s="640">
        <v>7771</v>
      </c>
      <c r="C74" s="641" t="s">
        <v>2175</v>
      </c>
      <c r="D74" s="636" t="s">
        <v>2145</v>
      </c>
      <c r="E74" s="637"/>
      <c r="F74" s="637"/>
      <c r="G74" s="637"/>
      <c r="H74" s="638"/>
      <c r="I74" s="637">
        <v>377765</v>
      </c>
      <c r="J74" s="637">
        <v>0</v>
      </c>
      <c r="K74" s="638">
        <f t="shared" si="3"/>
        <v>0</v>
      </c>
      <c r="L74" s="637">
        <v>713665</v>
      </c>
      <c r="M74" s="637">
        <v>713665</v>
      </c>
      <c r="N74" s="638">
        <f t="shared" si="7"/>
        <v>1</v>
      </c>
      <c r="O74" s="637">
        <f>+VLOOKUP(A74,[14]Hoja1!$A$4:$E$92,4,0)</f>
        <v>718834</v>
      </c>
      <c r="P74" s="637">
        <f>+VLOOKUP($A74,[14]Hoja1!$A$4:$E$92,5,0)</f>
        <v>718834</v>
      </c>
      <c r="Q74" s="638">
        <f t="shared" si="1"/>
        <v>1</v>
      </c>
    </row>
    <row r="75" spans="1:17" x14ac:dyDescent="0.25">
      <c r="A75" s="627" t="str">
        <f t="shared" si="4"/>
        <v>77531-100-F001  VA-Recursos distrito</v>
      </c>
      <c r="B75" s="640">
        <v>7753</v>
      </c>
      <c r="C75" s="641" t="s">
        <v>2177</v>
      </c>
      <c r="D75" s="636" t="s">
        <v>2144</v>
      </c>
      <c r="E75" s="637">
        <v>1125662000</v>
      </c>
      <c r="F75" s="637">
        <v>1125662000</v>
      </c>
      <c r="G75" s="637">
        <v>238418500</v>
      </c>
      <c r="H75" s="638">
        <f t="shared" si="2"/>
        <v>0.21180292130319758</v>
      </c>
      <c r="I75" s="637">
        <v>1125662000</v>
      </c>
      <c r="J75" s="637">
        <v>238418500</v>
      </c>
      <c r="K75" s="638">
        <f t="shared" si="3"/>
        <v>0.21180292130319758</v>
      </c>
      <c r="L75" s="637">
        <v>1125662000</v>
      </c>
      <c r="M75" s="637">
        <v>744764500</v>
      </c>
      <c r="N75" s="638">
        <f t="shared" si="7"/>
        <v>0.6616235601805871</v>
      </c>
      <c r="O75" s="637">
        <f>+VLOOKUP(A75,[14]Hoja1!$A$4:$E$92,4,0)</f>
        <v>1023213259</v>
      </c>
      <c r="P75" s="637">
        <f>+VLOOKUP($A75,[14]Hoja1!$A$4:$E$92,5,0)</f>
        <v>998922200</v>
      </c>
      <c r="Q75" s="638">
        <f t="shared" si="1"/>
        <v>0.97626002322942929</v>
      </c>
    </row>
    <row r="76" spans="1:17" x14ac:dyDescent="0.25">
      <c r="A76" s="627" t="str">
        <f t="shared" ref="A76" si="9">+CONCATENATE(B76,D76)</f>
        <v>77531-601-F001  PAS-Otros distrito</v>
      </c>
      <c r="B76" s="640">
        <v>7753</v>
      </c>
      <c r="C76" s="641" t="s">
        <v>2177</v>
      </c>
      <c r="D76" t="s">
        <v>2145</v>
      </c>
      <c r="E76" s="637"/>
      <c r="F76" s="637"/>
      <c r="G76" s="637"/>
      <c r="H76" s="638"/>
      <c r="I76" s="637"/>
      <c r="J76" s="637"/>
      <c r="K76" s="638"/>
      <c r="L76" s="637"/>
      <c r="M76" s="637"/>
      <c r="N76" s="638"/>
      <c r="O76" s="648">
        <v>241</v>
      </c>
      <c r="P76" s="648">
        <v>241</v>
      </c>
      <c r="Q76" s="638">
        <f t="shared" si="1"/>
        <v>1</v>
      </c>
    </row>
    <row r="77" spans="1:17" x14ac:dyDescent="0.25">
      <c r="A77" s="627" t="str">
        <f t="shared" si="4"/>
        <v>77401-100-F001  VA-Recursos distrito</v>
      </c>
      <c r="B77" s="640">
        <v>7740</v>
      </c>
      <c r="C77" s="641" t="s">
        <v>2178</v>
      </c>
      <c r="D77" s="636" t="s">
        <v>2144</v>
      </c>
      <c r="E77" s="637">
        <v>7237035000</v>
      </c>
      <c r="F77" s="637">
        <v>7237035000</v>
      </c>
      <c r="G77" s="637">
        <v>5010698590</v>
      </c>
      <c r="H77" s="638">
        <f t="shared" si="2"/>
        <v>0.69236898674664415</v>
      </c>
      <c r="I77" s="637">
        <v>7237035000</v>
      </c>
      <c r="J77" s="637">
        <v>5791199969</v>
      </c>
      <c r="K77" s="638">
        <f t="shared" si="3"/>
        <v>0.80021721174486515</v>
      </c>
      <c r="L77" s="637">
        <v>7235683667</v>
      </c>
      <c r="M77" s="637">
        <v>6894354401</v>
      </c>
      <c r="N77" s="638">
        <f t="shared" si="7"/>
        <v>0.95282695019453234</v>
      </c>
      <c r="O77" s="637">
        <f>+VLOOKUP(A77,[14]Hoja1!$A$4:$E$92,4,0)</f>
        <v>7736893621</v>
      </c>
      <c r="P77" s="637">
        <f>+VLOOKUP($A77,[14]Hoja1!$A$4:$E$92,5,0)</f>
        <v>7664663811</v>
      </c>
      <c r="Q77" s="638">
        <f t="shared" si="1"/>
        <v>0.99066423637983736</v>
      </c>
    </row>
    <row r="78" spans="1:17" x14ac:dyDescent="0.25">
      <c r="A78" s="627" t="str">
        <f t="shared" si="4"/>
        <v>77401-100-F039  VA-Crédito</v>
      </c>
      <c r="B78" s="640">
        <v>7740</v>
      </c>
      <c r="C78" s="641" t="s">
        <v>2178</v>
      </c>
      <c r="D78" s="636" t="s">
        <v>2154</v>
      </c>
      <c r="E78" s="637">
        <v>7429000000</v>
      </c>
      <c r="F78" s="637">
        <v>7429000000</v>
      </c>
      <c r="G78" s="637">
        <v>4800000000</v>
      </c>
      <c r="H78" s="638">
        <f t="shared" si="2"/>
        <v>0.64611657019787316</v>
      </c>
      <c r="I78" s="637">
        <v>7429000000</v>
      </c>
      <c r="J78" s="637">
        <v>4891446000</v>
      </c>
      <c r="K78" s="638">
        <f t="shared" si="3"/>
        <v>0.65842589850585542</v>
      </c>
      <c r="L78" s="637">
        <v>7429000000</v>
      </c>
      <c r="M78" s="637">
        <v>7354214139</v>
      </c>
      <c r="N78" s="638">
        <f t="shared" si="7"/>
        <v>0.98993325333153859</v>
      </c>
      <c r="O78" s="637">
        <f>+VLOOKUP(A78,[14]Hoja1!$A$4:$E$92,4,0)</f>
        <v>7703504000</v>
      </c>
      <c r="P78" s="637">
        <f>+VLOOKUP($A78,[14]Hoja1!$A$4:$E$92,5,0)</f>
        <v>7703340139</v>
      </c>
      <c r="Q78" s="638">
        <f t="shared" ref="Q78:Q98" si="10">IFERROR((P78/O78),"")</f>
        <v>0.99997872903032181</v>
      </c>
    </row>
    <row r="79" spans="1:17" x14ac:dyDescent="0.25">
      <c r="A79" s="627" t="str">
        <f t="shared" si="4"/>
        <v>77402-100-I009  VA-SGP propósito general</v>
      </c>
      <c r="B79" s="640">
        <v>7740</v>
      </c>
      <c r="C79" s="641" t="s">
        <v>2178</v>
      </c>
      <c r="D79" s="636" t="s">
        <v>2152</v>
      </c>
      <c r="E79" s="637">
        <v>1000000000</v>
      </c>
      <c r="F79" s="637">
        <v>1000000000</v>
      </c>
      <c r="G79" s="637">
        <v>738840000</v>
      </c>
      <c r="H79" s="638">
        <f t="shared" si="2"/>
        <v>0.73884000000000005</v>
      </c>
      <c r="I79" s="637">
        <v>1000000000</v>
      </c>
      <c r="J79" s="637">
        <v>738840000</v>
      </c>
      <c r="K79" s="638">
        <f t="shared" si="3"/>
        <v>0.73884000000000005</v>
      </c>
      <c r="L79" s="637">
        <v>1000000000</v>
      </c>
      <c r="M79" s="637">
        <v>890568000</v>
      </c>
      <c r="N79" s="638">
        <f t="shared" si="7"/>
        <v>0.89056800000000003</v>
      </c>
      <c r="O79" s="637">
        <f>+VLOOKUP(A79,[14]Hoja1!$A$4:$E$92,4,0)</f>
        <v>1000000000</v>
      </c>
      <c r="P79" s="637">
        <f>+VLOOKUP($A79,[14]Hoja1!$A$4:$E$92,5,0)</f>
        <v>976420000</v>
      </c>
      <c r="Q79" s="638">
        <f t="shared" si="10"/>
        <v>0.97641999999999995</v>
      </c>
    </row>
    <row r="80" spans="1:17" x14ac:dyDescent="0.25">
      <c r="A80" s="627" t="str">
        <f t="shared" si="4"/>
        <v>77401-601-F001  PAS-Otros distrito</v>
      </c>
      <c r="B80" s="640">
        <v>7740</v>
      </c>
      <c r="C80" s="641" t="s">
        <v>2178</v>
      </c>
      <c r="D80" s="639" t="s">
        <v>2145</v>
      </c>
      <c r="E80" s="637"/>
      <c r="F80" s="637"/>
      <c r="G80" s="637"/>
      <c r="H80" s="638"/>
      <c r="I80" s="637"/>
      <c r="J80" s="637"/>
      <c r="K80" s="638"/>
      <c r="L80" s="642">
        <v>1351333</v>
      </c>
      <c r="M80" s="637">
        <v>0</v>
      </c>
      <c r="N80" s="638">
        <f t="shared" si="7"/>
        <v>0</v>
      </c>
      <c r="O80" s="637">
        <f>+VLOOKUP(A80,[14]Hoja1!$A$4:$E$92,4,0)</f>
        <v>2589879</v>
      </c>
      <c r="P80" s="637">
        <f>+VLOOKUP($A80,[14]Hoja1!$A$4:$E$92,5,0)</f>
        <v>2589879</v>
      </c>
      <c r="Q80" s="638">
        <f t="shared" si="10"/>
        <v>1</v>
      </c>
    </row>
    <row r="81" spans="1:17" x14ac:dyDescent="0.25">
      <c r="A81" s="627" t="str">
        <f t="shared" si="4"/>
        <v>75641-100-F001  VA-Recursos distrito</v>
      </c>
      <c r="B81" s="640">
        <v>7564</v>
      </c>
      <c r="C81" s="641" t="s">
        <v>2179</v>
      </c>
      <c r="D81" s="636" t="s">
        <v>2144</v>
      </c>
      <c r="E81" s="637">
        <v>2441212000</v>
      </c>
      <c r="F81" s="637">
        <v>2441212000</v>
      </c>
      <c r="G81" s="637">
        <v>317315468</v>
      </c>
      <c r="H81" s="638">
        <f t="shared" si="2"/>
        <v>0.12998275774492343</v>
      </c>
      <c r="I81" s="637">
        <v>2101212000</v>
      </c>
      <c r="J81" s="637">
        <v>883811053</v>
      </c>
      <c r="K81" s="638">
        <f t="shared" si="3"/>
        <v>0.42061964856473311</v>
      </c>
      <c r="L81" s="637">
        <v>2101212000</v>
      </c>
      <c r="M81" s="637">
        <v>1996843509</v>
      </c>
      <c r="N81" s="638">
        <f t="shared" si="7"/>
        <v>0.95032938561173264</v>
      </c>
      <c r="O81" s="637">
        <f>+VLOOKUP(A81,[14]Hoja1!$A$4:$E$92,4,0)</f>
        <v>2821202280</v>
      </c>
      <c r="P81" s="637">
        <f>+VLOOKUP($A81,[14]Hoja1!$A$4:$E$92,5,0)</f>
        <v>2662971256</v>
      </c>
      <c r="Q81" s="638">
        <f t="shared" si="10"/>
        <v>0.94391361969266518</v>
      </c>
    </row>
    <row r="82" spans="1:17" x14ac:dyDescent="0.25">
      <c r="A82" s="627" t="str">
        <f t="shared" si="4"/>
        <v>75641-100-F039  VA-Crédito</v>
      </c>
      <c r="B82" s="640">
        <v>7564</v>
      </c>
      <c r="C82" s="641" t="s">
        <v>2179</v>
      </c>
      <c r="D82" s="636" t="s">
        <v>2154</v>
      </c>
      <c r="E82" s="637">
        <v>2467000000</v>
      </c>
      <c r="F82" s="637">
        <v>2467000000</v>
      </c>
      <c r="G82" s="637">
        <v>0</v>
      </c>
      <c r="H82" s="638">
        <f t="shared" si="2"/>
        <v>0</v>
      </c>
      <c r="I82" s="637">
        <v>2467000000</v>
      </c>
      <c r="J82" s="637">
        <v>400000000</v>
      </c>
      <c r="K82" s="638">
        <f t="shared" si="3"/>
        <v>0.16214025131738954</v>
      </c>
      <c r="L82" s="637">
        <v>2467000000</v>
      </c>
      <c r="M82" s="637">
        <v>400000000</v>
      </c>
      <c r="N82" s="638">
        <f t="shared" si="7"/>
        <v>0.16214025131738954</v>
      </c>
      <c r="O82" s="637">
        <f>+VLOOKUP(A82,[14]Hoja1!$A$4:$E$92,4,0)</f>
        <v>2467000000</v>
      </c>
      <c r="P82" s="637">
        <f>+VLOOKUP($A82,[14]Hoja1!$A$4:$E$92,5,0)</f>
        <v>2146066738</v>
      </c>
      <c r="Q82" s="638">
        <f t="shared" si="10"/>
        <v>0.86990950060802597</v>
      </c>
    </row>
    <row r="83" spans="1:17" x14ac:dyDescent="0.25">
      <c r="A83" s="627" t="str">
        <f t="shared" si="4"/>
        <v>75641-601-I052  PAS-SGP propósito general</v>
      </c>
      <c r="B83" s="640">
        <v>7564</v>
      </c>
      <c r="C83" s="641" t="s">
        <v>2179</v>
      </c>
      <c r="D83" s="636" t="s">
        <v>2149</v>
      </c>
      <c r="E83" s="637">
        <v>18981000</v>
      </c>
      <c r="F83" s="637">
        <v>18981000</v>
      </c>
      <c r="G83" s="637">
        <v>0</v>
      </c>
      <c r="H83" s="638">
        <f t="shared" si="2"/>
        <v>0</v>
      </c>
      <c r="I83" s="637">
        <v>18981000</v>
      </c>
      <c r="J83" s="637">
        <v>0</v>
      </c>
      <c r="K83" s="638">
        <f t="shared" si="3"/>
        <v>0</v>
      </c>
      <c r="L83" s="637">
        <v>18981000</v>
      </c>
      <c r="M83" s="637">
        <v>34545</v>
      </c>
      <c r="N83" s="638">
        <f t="shared" si="7"/>
        <v>1.8199778726094515E-3</v>
      </c>
      <c r="O83" s="637">
        <f>+VLOOKUP(A83,[14]Hoja1!$A$4:$E$92,4,0)</f>
        <v>18981000</v>
      </c>
      <c r="P83" s="637">
        <f>+VLOOKUP($A83,[14]Hoja1!$A$4:$E$92,5,0)</f>
        <v>34545</v>
      </c>
      <c r="Q83" s="638">
        <f t="shared" si="10"/>
        <v>1.8199778726094515E-3</v>
      </c>
    </row>
    <row r="84" spans="1:17" x14ac:dyDescent="0.25">
      <c r="A84" s="627" t="str">
        <f t="shared" ref="A84" si="11">+CONCATENATE(B84,D84)</f>
        <v>75641-601-F001  PAS-Otros distrito</v>
      </c>
      <c r="B84" s="640">
        <v>7564</v>
      </c>
      <c r="C84" s="641" t="s">
        <v>2179</v>
      </c>
      <c r="D84" t="s">
        <v>2145</v>
      </c>
      <c r="E84" s="637"/>
      <c r="F84" s="637"/>
      <c r="G84" s="637"/>
      <c r="H84" s="638"/>
      <c r="I84" s="637"/>
      <c r="J84" s="637"/>
      <c r="K84" s="638"/>
      <c r="L84" s="637"/>
      <c r="M84" s="637"/>
      <c r="N84" s="638"/>
      <c r="O84" s="648">
        <v>9720</v>
      </c>
      <c r="P84" s="648">
        <v>9720</v>
      </c>
      <c r="Q84" s="638">
        <f t="shared" si="10"/>
        <v>1</v>
      </c>
    </row>
    <row r="85" spans="1:17" x14ac:dyDescent="0.25">
      <c r="A85" s="627" t="str">
        <f t="shared" ref="A85:A97" si="12">+CONCATENATE(B85,D85)</f>
        <v>75642-100-I009  VA-SGP propósito general</v>
      </c>
      <c r="B85" s="640">
        <v>7564</v>
      </c>
      <c r="C85" s="641" t="s">
        <v>2179</v>
      </c>
      <c r="D85" s="636" t="s">
        <v>2152</v>
      </c>
      <c r="E85" s="637">
        <v>13914788000</v>
      </c>
      <c r="F85" s="637">
        <v>13914788000</v>
      </c>
      <c r="G85" s="637">
        <v>8831259462</v>
      </c>
      <c r="H85" s="638">
        <f t="shared" si="2"/>
        <v>0.63466719449839981</v>
      </c>
      <c r="I85" s="637">
        <v>13914788000</v>
      </c>
      <c r="J85" s="637">
        <v>9842008262</v>
      </c>
      <c r="K85" s="638">
        <f t="shared" si="3"/>
        <v>0.70730565654324018</v>
      </c>
      <c r="L85" s="637">
        <v>13914788000</v>
      </c>
      <c r="M85" s="637">
        <v>12499040595</v>
      </c>
      <c r="N85" s="638">
        <f t="shared" si="7"/>
        <v>0.89825591270237104</v>
      </c>
      <c r="O85" s="637">
        <f>+VLOOKUP(A85,[14]Hoja1!$A$4:$E$92,4,0)</f>
        <v>13965188000</v>
      </c>
      <c r="P85" s="637">
        <f>+VLOOKUP($A85,[14]Hoja1!$A$4:$E$92,5,0)</f>
        <v>13857612092</v>
      </c>
      <c r="Q85" s="638">
        <f t="shared" si="10"/>
        <v>0.99229685214405994</v>
      </c>
    </row>
    <row r="86" spans="1:17" x14ac:dyDescent="0.25">
      <c r="A86" s="627" t="str">
        <f t="shared" si="12"/>
        <v>77411-100-F001  VA-Recursos distrito</v>
      </c>
      <c r="B86" s="640">
        <v>7741</v>
      </c>
      <c r="C86" s="641" t="s">
        <v>2180</v>
      </c>
      <c r="D86" s="636" t="s">
        <v>2144</v>
      </c>
      <c r="E86" s="637">
        <v>18557475000</v>
      </c>
      <c r="F86" s="637">
        <v>18557475000</v>
      </c>
      <c r="G86" s="637">
        <v>10966618730</v>
      </c>
      <c r="H86" s="638">
        <f t="shared" si="2"/>
        <v>0.59095425051091277</v>
      </c>
      <c r="I86" s="637">
        <v>18557475000</v>
      </c>
      <c r="J86" s="637">
        <v>12986012373</v>
      </c>
      <c r="K86" s="638">
        <f t="shared" si="3"/>
        <v>0.69977259152982829</v>
      </c>
      <c r="L86" s="637">
        <v>18550932679</v>
      </c>
      <c r="M86" s="637">
        <v>16008668886</v>
      </c>
      <c r="N86" s="638">
        <f t="shared" si="7"/>
        <v>0.86295762930141573</v>
      </c>
      <c r="O86" s="637">
        <f>+VLOOKUP(A86,[14]Hoja1!$A$4:$E$92,4,0)</f>
        <v>18440931589</v>
      </c>
      <c r="P86" s="637">
        <f>+VLOOKUP($A86,[14]Hoja1!$A$4:$E$92,5,0)</f>
        <v>18428080832</v>
      </c>
      <c r="Q86" s="638">
        <f t="shared" si="10"/>
        <v>0.9993031394895654</v>
      </c>
    </row>
    <row r="87" spans="1:17" x14ac:dyDescent="0.25">
      <c r="A87" s="627" t="str">
        <f t="shared" si="12"/>
        <v>77411-601-F001  PAS-Otros distrito</v>
      </c>
      <c r="B87" s="640">
        <v>7741</v>
      </c>
      <c r="C87" s="641" t="s">
        <v>2180</v>
      </c>
      <c r="D87" s="639" t="s">
        <v>2145</v>
      </c>
      <c r="E87" s="637"/>
      <c r="F87" s="637"/>
      <c r="G87" s="637"/>
      <c r="H87" s="638"/>
      <c r="I87" s="637"/>
      <c r="J87" s="637"/>
      <c r="K87" s="638"/>
      <c r="L87" s="642">
        <v>6542321</v>
      </c>
      <c r="M87" s="637">
        <v>0</v>
      </c>
      <c r="N87" s="638">
        <f t="shared" si="7"/>
        <v>0</v>
      </c>
      <c r="O87" s="637">
        <f>+VLOOKUP(A87,[14]Hoja1!$A$4:$E$92,4,0)</f>
        <v>6543411</v>
      </c>
      <c r="P87" s="637">
        <f>+VLOOKUP($A87,[14]Hoja1!$A$4:$E$92,5,0)</f>
        <v>6543411</v>
      </c>
      <c r="Q87" s="638">
        <f t="shared" si="10"/>
        <v>1</v>
      </c>
    </row>
    <row r="88" spans="1:17" x14ac:dyDescent="0.25">
      <c r="A88" s="627" t="str">
        <f t="shared" si="12"/>
        <v>77411-100-F039  VA-Crédito</v>
      </c>
      <c r="B88" s="640">
        <v>7741</v>
      </c>
      <c r="C88" s="641" t="s">
        <v>2180</v>
      </c>
      <c r="D88" s="636" t="s">
        <v>2154</v>
      </c>
      <c r="E88" s="637"/>
      <c r="F88" s="637"/>
      <c r="G88" s="637"/>
      <c r="H88" s="638"/>
      <c r="I88" s="637"/>
      <c r="J88" s="637"/>
      <c r="K88" s="638"/>
      <c r="L88" s="648"/>
      <c r="M88" s="637"/>
      <c r="N88" s="638"/>
      <c r="O88" s="637">
        <v>2550000000</v>
      </c>
      <c r="P88" s="637">
        <f>+VLOOKUP($A88,[14]Hoja1!$A$4:$E$92,5,0)</f>
        <v>2545784754</v>
      </c>
      <c r="Q88" s="638">
        <f t="shared" si="10"/>
        <v>0.99834696235294118</v>
      </c>
    </row>
    <row r="89" spans="1:17" x14ac:dyDescent="0.25">
      <c r="A89" s="627" t="str">
        <f t="shared" si="12"/>
        <v>77331-100-F001  VA-Recursos distrito</v>
      </c>
      <c r="B89" s="640">
        <v>7733</v>
      </c>
      <c r="C89" s="641" t="s">
        <v>2181</v>
      </c>
      <c r="D89" s="636" t="s">
        <v>2144</v>
      </c>
      <c r="E89" s="637">
        <v>3806152000</v>
      </c>
      <c r="F89" s="637">
        <v>3806152000</v>
      </c>
      <c r="G89" s="637">
        <v>3503658601</v>
      </c>
      <c r="H89" s="638">
        <f t="shared" si="2"/>
        <v>0.92052513956352766</v>
      </c>
      <c r="I89" s="637">
        <v>3806152000</v>
      </c>
      <c r="J89" s="637">
        <v>3538784570</v>
      </c>
      <c r="K89" s="638">
        <f t="shared" si="3"/>
        <v>0.92975387477956739</v>
      </c>
      <c r="L89" s="637">
        <v>3806152000</v>
      </c>
      <c r="M89" s="637">
        <v>3790049891</v>
      </c>
      <c r="N89" s="638">
        <f t="shared" si="7"/>
        <v>0.99576945192940269</v>
      </c>
      <c r="O89" s="637">
        <f>+VLOOKUP(A89,[14]Hoja1!$A$4:$E$92,4,0)</f>
        <v>4917147608</v>
      </c>
      <c r="P89" s="637">
        <f>+VLOOKUP($A89,[14]Hoja1!$A$4:$E$92,5,0)</f>
        <v>4915040322</v>
      </c>
      <c r="Q89" s="638">
        <f t="shared" si="10"/>
        <v>0.99957144137862131</v>
      </c>
    </row>
    <row r="90" spans="1:17" x14ac:dyDescent="0.25">
      <c r="A90" s="627" t="str">
        <f t="shared" ref="A90" si="13">+CONCATENATE(B90,D90)</f>
        <v>77331-601-F001  PAS-Otros distrito</v>
      </c>
      <c r="B90" s="640">
        <v>7733</v>
      </c>
      <c r="C90" s="641" t="s">
        <v>2181</v>
      </c>
      <c r="D90" t="s">
        <v>2145</v>
      </c>
      <c r="E90" s="637"/>
      <c r="F90" s="637"/>
      <c r="G90" s="637"/>
      <c r="H90" s="638"/>
      <c r="I90" s="637"/>
      <c r="J90" s="637"/>
      <c r="K90" s="638"/>
      <c r="L90" s="637"/>
      <c r="M90" s="637"/>
      <c r="N90" s="638"/>
      <c r="O90" s="648">
        <v>4392</v>
      </c>
      <c r="P90" s="648">
        <v>4392</v>
      </c>
      <c r="Q90" s="638">
        <f t="shared" si="10"/>
        <v>1</v>
      </c>
    </row>
    <row r="91" spans="1:17" x14ac:dyDescent="0.25">
      <c r="A91" s="627" t="str">
        <f t="shared" si="12"/>
        <v>77481-100-F001  VA-Recursos distrito</v>
      </c>
      <c r="B91" s="640">
        <v>7748</v>
      </c>
      <c r="C91" s="641" t="s">
        <v>2182</v>
      </c>
      <c r="D91" s="636" t="s">
        <v>2144</v>
      </c>
      <c r="E91" s="637">
        <v>247902202000</v>
      </c>
      <c r="F91" s="637">
        <v>247902202000</v>
      </c>
      <c r="G91" s="637">
        <v>121514770905</v>
      </c>
      <c r="H91" s="638">
        <f t="shared" si="2"/>
        <v>0.49017221277042144</v>
      </c>
      <c r="I91" s="637">
        <v>264323032600</v>
      </c>
      <c r="J91" s="637">
        <v>168069882531</v>
      </c>
      <c r="K91" s="638">
        <f t="shared" si="3"/>
        <v>0.63585031118094093</v>
      </c>
      <c r="L91" s="637">
        <v>293359516184</v>
      </c>
      <c r="M91" s="637">
        <v>216023928443</v>
      </c>
      <c r="N91" s="638">
        <f t="shared" si="7"/>
        <v>0.73637948157613597</v>
      </c>
      <c r="O91" s="637">
        <f>+VLOOKUP(A91,[14]Hoja1!$A$4:$E$92,4,0)</f>
        <v>295166119414</v>
      </c>
      <c r="P91" s="637">
        <f>+VLOOKUP($A91,[14]Hoja1!$A$4:$E$92,5,0)</f>
        <v>294926368616</v>
      </c>
      <c r="Q91" s="638">
        <f t="shared" si="10"/>
        <v>0.99918774282605338</v>
      </c>
    </row>
    <row r="92" spans="1:17" x14ac:dyDescent="0.25">
      <c r="A92" s="627" t="str">
        <f t="shared" si="12"/>
        <v>77481-100-I012  VA-Estampilla propersonas mayores</v>
      </c>
      <c r="B92" s="640">
        <v>7748</v>
      </c>
      <c r="C92" s="641" t="s">
        <v>2182</v>
      </c>
      <c r="D92" s="636" t="s">
        <v>2158</v>
      </c>
      <c r="E92" s="637">
        <v>7273711000</v>
      </c>
      <c r="F92" s="637">
        <v>7273711000</v>
      </c>
      <c r="G92" s="637">
        <v>7098821000</v>
      </c>
      <c r="H92" s="638">
        <f t="shared" si="2"/>
        <v>0.97595587726815103</v>
      </c>
      <c r="I92" s="637">
        <v>7273711000</v>
      </c>
      <c r="J92" s="637">
        <v>7139157772</v>
      </c>
      <c r="K92" s="638">
        <f t="shared" si="3"/>
        <v>0.9815014333123766</v>
      </c>
      <c r="L92" s="637">
        <v>7273711000</v>
      </c>
      <c r="M92" s="637">
        <v>7162339007</v>
      </c>
      <c r="N92" s="638">
        <f t="shared" si="7"/>
        <v>0.98468842204481322</v>
      </c>
      <c r="O92" s="637">
        <f>+VLOOKUP(A92,[14]Hoja1!$A$4:$E$92,4,0)</f>
        <v>7643711000</v>
      </c>
      <c r="P92" s="637">
        <f>+VLOOKUP($A92,[14]Hoja1!$A$4:$E$92,5,0)</f>
        <v>7607275014</v>
      </c>
      <c r="Q92" s="638">
        <f t="shared" si="10"/>
        <v>0.99523320727327347</v>
      </c>
    </row>
    <row r="93" spans="1:17" x14ac:dyDescent="0.25">
      <c r="A93" s="627" t="str">
        <f t="shared" si="12"/>
        <v>77481-300-I010  REAF-Estampilla propersonas mayor</v>
      </c>
      <c r="B93" s="640">
        <v>7748</v>
      </c>
      <c r="C93" s="641" t="s">
        <v>2182</v>
      </c>
      <c r="D93" s="643" t="s">
        <v>2160</v>
      </c>
      <c r="E93" s="637"/>
      <c r="F93" s="637"/>
      <c r="G93" s="637"/>
      <c r="H93" s="638"/>
      <c r="I93" s="637">
        <v>1631788852</v>
      </c>
      <c r="J93" s="637">
        <v>1131788852</v>
      </c>
      <c r="K93" s="638">
        <f t="shared" ref="K93:K98" si="14">+J93/I93</f>
        <v>0.69358780740095405</v>
      </c>
      <c r="L93" s="637">
        <v>1631788852</v>
      </c>
      <c r="M93" s="637">
        <v>1131788852</v>
      </c>
      <c r="N93" s="638">
        <f t="shared" si="7"/>
        <v>0.69358780740095405</v>
      </c>
      <c r="O93" s="637">
        <f>+VLOOKUP(A93,[14]Hoja1!$A$4:$E$92,4,0)</f>
        <v>1631788852</v>
      </c>
      <c r="P93" s="637">
        <f>+VLOOKUP($A93,[14]Hoja1!$A$4:$E$92,5,0)</f>
        <v>1631788852</v>
      </c>
      <c r="Q93" s="638">
        <f t="shared" si="10"/>
        <v>1</v>
      </c>
    </row>
    <row r="94" spans="1:17" x14ac:dyDescent="0.25">
      <c r="A94" s="627" t="str">
        <f t="shared" si="12"/>
        <v>77481-601-F001  PAS-Otros distrito</v>
      </c>
      <c r="B94" s="640">
        <v>7748</v>
      </c>
      <c r="C94" s="641" t="s">
        <v>2182</v>
      </c>
      <c r="D94" s="643" t="s">
        <v>2145</v>
      </c>
      <c r="E94" s="637"/>
      <c r="F94" s="637"/>
      <c r="G94" s="637"/>
      <c r="H94" s="638"/>
      <c r="I94" s="637">
        <v>7222400</v>
      </c>
      <c r="J94" s="637">
        <v>0</v>
      </c>
      <c r="K94" s="638">
        <f t="shared" si="14"/>
        <v>0</v>
      </c>
      <c r="L94" s="637">
        <v>27814559</v>
      </c>
      <c r="M94" s="637">
        <v>7838367</v>
      </c>
      <c r="N94" s="638">
        <f t="shared" si="7"/>
        <v>0.28180806318014967</v>
      </c>
      <c r="O94" s="637">
        <f>+VLOOKUP(A94,[14]Hoja1!$A$4:$E$92,4,0)</f>
        <v>293378099</v>
      </c>
      <c r="P94" s="637">
        <f>+VLOOKUP($A94,[14]Hoja1!$A$4:$E$92,5,0)</f>
        <v>293378099</v>
      </c>
      <c r="Q94" s="638">
        <f t="shared" si="10"/>
        <v>1</v>
      </c>
    </row>
    <row r="95" spans="1:17" x14ac:dyDescent="0.25">
      <c r="A95" s="627" t="str">
        <f t="shared" si="12"/>
        <v>77351-100-F001  VA-Recursos distrito</v>
      </c>
      <c r="B95" s="640">
        <v>7735</v>
      </c>
      <c r="C95" s="641" t="s">
        <v>2183</v>
      </c>
      <c r="D95" s="636" t="s">
        <v>2144</v>
      </c>
      <c r="E95" s="637">
        <v>5512835000</v>
      </c>
      <c r="F95" s="637">
        <v>5512835000</v>
      </c>
      <c r="G95" s="637">
        <v>1798377689</v>
      </c>
      <c r="H95" s="638">
        <f t="shared" ref="H95:H98" si="15">+G95/F95</f>
        <v>0.32621649097061678</v>
      </c>
      <c r="I95" s="637">
        <v>5352835000</v>
      </c>
      <c r="J95" s="637">
        <v>2011724444</v>
      </c>
      <c r="K95" s="638">
        <f t="shared" si="14"/>
        <v>0.37582410890677559</v>
      </c>
      <c r="L95" s="637">
        <v>5352546600</v>
      </c>
      <c r="M95" s="637">
        <v>3573247116</v>
      </c>
      <c r="N95" s="638">
        <f t="shared" si="7"/>
        <v>0.66757888964479073</v>
      </c>
      <c r="O95" s="637">
        <f>+VLOOKUP(A95,[14]Hoja1!$A$4:$E$92,4,0)</f>
        <v>5327538822</v>
      </c>
      <c r="P95" s="637">
        <f>+VLOOKUP($A95,[14]Hoja1!$A$4:$E$92,5,0)</f>
        <v>4882269881</v>
      </c>
      <c r="Q95" s="638">
        <f t="shared" si="10"/>
        <v>0.91642126770409105</v>
      </c>
    </row>
    <row r="96" spans="1:17" x14ac:dyDescent="0.25">
      <c r="A96" s="627" t="str">
        <f t="shared" si="12"/>
        <v>77351-200-F001  RB-Otros distrito</v>
      </c>
      <c r="B96" s="640">
        <v>7735</v>
      </c>
      <c r="C96" s="641" t="s">
        <v>2183</v>
      </c>
      <c r="D96" s="636" t="s">
        <v>2167</v>
      </c>
      <c r="E96" s="637">
        <v>2000000000</v>
      </c>
      <c r="F96" s="637">
        <v>2000000000</v>
      </c>
      <c r="G96" s="637">
        <v>253585500</v>
      </c>
      <c r="H96" s="638">
        <f t="shared" si="15"/>
        <v>0.12679275000000001</v>
      </c>
      <c r="I96" s="637">
        <v>2000000000</v>
      </c>
      <c r="J96" s="637">
        <v>253585500</v>
      </c>
      <c r="K96" s="638">
        <f t="shared" si="14"/>
        <v>0.12679275000000001</v>
      </c>
      <c r="L96" s="637">
        <v>2000000000</v>
      </c>
      <c r="M96" s="637">
        <v>982970348</v>
      </c>
      <c r="N96" s="638">
        <f t="shared" si="7"/>
        <v>0.49148517400000002</v>
      </c>
      <c r="O96" s="637">
        <f>+VLOOKUP(A96,[14]Hoja1!$A$4:$E$92,4,0)</f>
        <v>1269282829</v>
      </c>
      <c r="P96" s="637">
        <f>+VLOOKUP($A96,[14]Hoja1!$A$4:$E$92,5,0)</f>
        <v>1170882348</v>
      </c>
      <c r="Q96" s="638">
        <f t="shared" si="10"/>
        <v>0.92247552810784927</v>
      </c>
    </row>
    <row r="97" spans="1:17" x14ac:dyDescent="0.25">
      <c r="A97" s="627" t="str">
        <f t="shared" si="12"/>
        <v>77351-601-F001  PAS-Otros distrito</v>
      </c>
      <c r="B97" s="640">
        <v>7735</v>
      </c>
      <c r="C97" s="641" t="s">
        <v>2183</v>
      </c>
      <c r="D97" s="639" t="s">
        <v>2145</v>
      </c>
      <c r="E97" s="637"/>
      <c r="F97" s="637"/>
      <c r="G97" s="637"/>
      <c r="H97" s="638"/>
      <c r="I97" s="637"/>
      <c r="J97" s="637"/>
      <c r="K97" s="638"/>
      <c r="L97" s="642">
        <v>288400</v>
      </c>
      <c r="M97" s="637">
        <v>288400</v>
      </c>
      <c r="N97" s="638">
        <f t="shared" si="7"/>
        <v>1</v>
      </c>
      <c r="O97" s="637">
        <f>+VLOOKUP(A97,[14]Hoja1!$A$4:$E$92,4,0)</f>
        <v>296178</v>
      </c>
      <c r="P97" s="637">
        <f>+VLOOKUP($A97,[14]Hoja1!$A$4:$E$92,5,0)</f>
        <v>296178</v>
      </c>
      <c r="Q97" s="638">
        <f t="shared" si="10"/>
        <v>1</v>
      </c>
    </row>
    <row r="98" spans="1:17" x14ac:dyDescent="0.25">
      <c r="B98" s="644"/>
      <c r="C98" s="629"/>
      <c r="D98" s="645" t="s">
        <v>2184</v>
      </c>
      <c r="E98" s="646">
        <f>+SUBTOTAL(9,E9:E96)</f>
        <v>1195158940000</v>
      </c>
      <c r="F98" s="646">
        <f>+SUBTOTAL(9,F9:F96)</f>
        <v>1195158940000</v>
      </c>
      <c r="G98" s="646">
        <f>+SUBTOTAL(9,G9:G96)</f>
        <v>553413713471</v>
      </c>
      <c r="H98" s="638">
        <f t="shared" si="15"/>
        <v>0.46304612294578995</v>
      </c>
      <c r="I98" s="646">
        <f>+SUBTOTAL(9,I9:I96)</f>
        <v>1195158940000</v>
      </c>
      <c r="J98" s="646">
        <f>+SUBTOTAL(9,J9:J96)</f>
        <v>733548570660</v>
      </c>
      <c r="K98" s="638">
        <f t="shared" si="14"/>
        <v>0.61376654276627007</v>
      </c>
      <c r="L98" s="646">
        <f>+SUBTOTAL(9,L9:L97)</f>
        <v>1322904757809</v>
      </c>
      <c r="M98" s="646">
        <f>+SUBTOTAL(9,M9:M97)</f>
        <v>1009448092355</v>
      </c>
      <c r="N98" s="638">
        <f t="shared" si="7"/>
        <v>0.7630542458905748</v>
      </c>
      <c r="O98" s="646">
        <f>+SUBTOTAL(9,O9:O97)</f>
        <v>1295965997279</v>
      </c>
      <c r="P98" s="646">
        <f>+SUBTOTAL(9,P9:P97)</f>
        <v>1258023285565</v>
      </c>
      <c r="Q98" s="638">
        <f t="shared" si="10"/>
        <v>0.97072244812466979</v>
      </c>
    </row>
    <row r="99" spans="1:17" x14ac:dyDescent="0.25">
      <c r="F99" s="647">
        <f>+E98-F98</f>
        <v>0</v>
      </c>
      <c r="I99" s="648"/>
    </row>
  </sheetData>
  <autoFilter ref="A8:K8" xr:uid="{C90FBB80-1FB3-480A-B364-D7909BE61911}"/>
  <mergeCells count="7">
    <mergeCell ref="L7:N7"/>
    <mergeCell ref="O7:Q7"/>
    <mergeCell ref="B9:C10"/>
    <mergeCell ref="B2:B5"/>
    <mergeCell ref="C2:E5"/>
    <mergeCell ref="F7:H7"/>
    <mergeCell ref="I7:K7"/>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4DB41-50F6-4B21-A154-DC6C11960FDF}">
  <dimension ref="A1:EI114"/>
  <sheetViews>
    <sheetView showGridLines="0" zoomScale="40" zoomScaleNormal="40" workbookViewId="0"/>
  </sheetViews>
  <sheetFormatPr baseColWidth="10" defaultColWidth="0" defaultRowHeight="0" customHeight="1" zeroHeight="1" x14ac:dyDescent="0.25"/>
  <cols>
    <col min="1" max="1" width="1.85546875" style="824" customWidth="1"/>
    <col min="2" max="2" width="18.42578125" style="826" customWidth="1"/>
    <col min="3" max="3" width="18.85546875" style="826" bestFit="1" customWidth="1"/>
    <col min="4" max="4" width="30.140625" style="826" customWidth="1"/>
    <col min="5" max="5" width="12.5703125" style="826" bestFit="1" customWidth="1"/>
    <col min="6" max="6" width="13.42578125" style="401" customWidth="1"/>
    <col min="7" max="7" width="21.42578125" style="401" customWidth="1"/>
    <col min="8" max="8" width="25.42578125" style="826" customWidth="1"/>
    <col min="9" max="9" width="24.5703125" style="826" customWidth="1"/>
    <col min="10" max="10" width="10.140625" style="826" customWidth="1"/>
    <col min="11" max="11" width="30.28515625" style="826" customWidth="1"/>
    <col min="12" max="12" width="30.42578125" style="401" customWidth="1"/>
    <col min="13" max="13" width="78.28515625" style="401" customWidth="1"/>
    <col min="14" max="14" width="10" style="401" bestFit="1" customWidth="1"/>
    <col min="15" max="15" width="26" style="401" customWidth="1"/>
    <col min="16" max="16" width="11.42578125" style="401" bestFit="1" customWidth="1"/>
    <col min="17" max="17" width="10.140625" style="401" customWidth="1"/>
    <col min="18" max="18" width="6.7109375" style="401" customWidth="1"/>
    <col min="19" max="19" width="11.42578125" style="826" bestFit="1" customWidth="1"/>
    <col min="20" max="20" width="8.42578125" style="401" bestFit="1" customWidth="1"/>
    <col min="21" max="21" width="14.28515625" style="401" bestFit="1" customWidth="1"/>
    <col min="22" max="22" width="13.85546875" style="401" bestFit="1" customWidth="1"/>
    <col min="23" max="23" width="8.42578125" style="401" bestFit="1" customWidth="1"/>
    <col min="24" max="24" width="113.85546875" style="401" customWidth="1"/>
    <col min="25" max="25" width="36.42578125" style="825" customWidth="1"/>
    <col min="26" max="27" width="15.85546875" style="401" customWidth="1"/>
    <col min="28" max="28" width="8.42578125" style="401" bestFit="1" customWidth="1"/>
    <col min="29" max="29" width="128.7109375" style="401" customWidth="1"/>
    <col min="30" max="30" width="36.28515625" style="401" customWidth="1"/>
    <col min="31" max="31" width="13.28515625" style="401" bestFit="1" customWidth="1"/>
    <col min="32" max="32" width="15.85546875" style="401" customWidth="1"/>
    <col min="33" max="33" width="8.42578125" style="401" bestFit="1" customWidth="1"/>
    <col min="34" max="34" width="111" style="401" customWidth="1"/>
    <col min="35" max="35" width="75.140625" style="401" customWidth="1"/>
    <col min="36" max="37" width="15.42578125" style="401" customWidth="1"/>
    <col min="38" max="38" width="8.42578125" style="401" bestFit="1" customWidth="1"/>
    <col min="39" max="39" width="104.7109375" style="401" customWidth="1"/>
    <col min="40" max="40" width="26.5703125" style="825" customWidth="1"/>
    <col min="41" max="42" width="15.5703125" style="401" customWidth="1"/>
    <col min="43" max="43" width="8.42578125" style="401" bestFit="1" customWidth="1"/>
    <col min="44" max="44" width="146.5703125" style="401" customWidth="1"/>
    <col min="45" max="45" width="24.140625" style="401" customWidth="1"/>
    <col min="46" max="46" width="15" style="401" bestFit="1" customWidth="1"/>
    <col min="47" max="47" width="14.5703125" style="401" bestFit="1" customWidth="1"/>
    <col min="48" max="48" width="8.42578125" style="401" bestFit="1" customWidth="1"/>
    <col min="49" max="49" width="182.5703125" style="401" customWidth="1"/>
    <col min="50" max="50" width="34" style="401" customWidth="1"/>
    <col min="51" max="52" width="14.5703125" style="401" bestFit="1" customWidth="1"/>
    <col min="53" max="53" width="9" style="401" customWidth="1"/>
    <col min="54" max="54" width="107.85546875" style="401" customWidth="1"/>
    <col min="55" max="55" width="27" style="401" customWidth="1"/>
    <col min="56" max="56" width="13.85546875" style="401" bestFit="1" customWidth="1"/>
    <col min="57" max="57" width="14.5703125" style="401" bestFit="1" customWidth="1"/>
    <col min="58" max="58" width="8.42578125" style="401" customWidth="1"/>
    <col min="59" max="59" width="149.5703125" style="401" customWidth="1"/>
    <col min="60" max="60" width="24.5703125" style="401" customWidth="1"/>
    <col min="61" max="62" width="17.7109375" style="401" bestFit="1" customWidth="1"/>
    <col min="63" max="63" width="10.42578125" style="401" customWidth="1"/>
    <col min="64" max="64" width="190.140625" style="401" customWidth="1"/>
    <col min="65" max="65" width="41.7109375" style="401" customWidth="1"/>
    <col min="66" max="66" width="15.28515625" style="401" bestFit="1" customWidth="1"/>
    <col min="67" max="67" width="14.28515625" style="401" bestFit="1" customWidth="1"/>
    <col min="68" max="68" width="8.85546875" style="401" customWidth="1"/>
    <col min="69" max="69" width="113.28515625" style="401" customWidth="1"/>
    <col min="70" max="70" width="29" style="401" customWidth="1"/>
    <col min="71" max="71" width="14.5703125" style="401" bestFit="1" customWidth="1"/>
    <col min="72" max="72" width="15" style="401" bestFit="1" customWidth="1"/>
    <col min="73" max="73" width="9.7109375" style="401" customWidth="1"/>
    <col min="74" max="74" width="132.28515625" style="401" customWidth="1"/>
    <col min="75" max="75" width="27.28515625" style="401" customWidth="1"/>
    <col min="76" max="76" width="15" style="401" bestFit="1" customWidth="1"/>
    <col min="77" max="77" width="15.7109375" style="401" bestFit="1" customWidth="1"/>
    <col min="78" max="78" width="9.140625" style="401" customWidth="1"/>
    <col min="79" max="79" width="215.140625" style="401" customWidth="1"/>
    <col min="80" max="80" width="68" style="401" customWidth="1"/>
    <col min="81" max="81" width="115.140625" style="401" customWidth="1"/>
    <col min="82" max="82" width="3.28515625" style="401" customWidth="1"/>
    <col min="83" max="84" width="16.42578125" style="401" customWidth="1"/>
    <col min="85" max="88" width="14" style="401" customWidth="1"/>
    <col min="89" max="89" width="76.42578125" style="401" customWidth="1"/>
    <col min="90" max="90" width="3.28515625" style="401" customWidth="1"/>
    <col min="91" max="139" width="0" style="824" hidden="1" customWidth="1"/>
    <col min="140" max="16384" width="11.42578125" style="824" hidden="1"/>
  </cols>
  <sheetData>
    <row r="1" spans="2:90" s="892" customFormat="1" ht="4.5" customHeight="1" x14ac:dyDescent="0.25">
      <c r="B1" s="902"/>
      <c r="C1" s="902"/>
    </row>
    <row r="2" spans="2:90" s="903" customFormat="1" ht="32.25" customHeight="1" x14ac:dyDescent="0.2">
      <c r="B2" s="913"/>
      <c r="C2" s="912"/>
      <c r="D2" s="907" t="s">
        <v>2185</v>
      </c>
      <c r="E2" s="907"/>
      <c r="F2" s="907"/>
      <c r="G2" s="907"/>
      <c r="H2" s="907"/>
      <c r="I2" s="907"/>
      <c r="J2" s="907"/>
      <c r="K2" s="907"/>
      <c r="L2" s="907"/>
      <c r="M2" s="907"/>
      <c r="N2" s="907"/>
      <c r="O2" s="907"/>
      <c r="P2" s="907"/>
      <c r="Q2" s="907"/>
      <c r="R2" s="907"/>
      <c r="S2" s="907"/>
      <c r="T2" s="907"/>
      <c r="U2" s="907"/>
      <c r="V2" s="907"/>
      <c r="W2" s="907"/>
      <c r="X2" s="907"/>
      <c r="Y2" s="907"/>
      <c r="Z2" s="907"/>
      <c r="AA2" s="907"/>
      <c r="AB2" s="907"/>
      <c r="AC2" s="907"/>
      <c r="AD2" s="907"/>
      <c r="AE2" s="907"/>
      <c r="AF2" s="907"/>
      <c r="AG2" s="907"/>
      <c r="AH2" s="907"/>
      <c r="AI2" s="907"/>
      <c r="AJ2" s="907"/>
      <c r="AK2" s="907"/>
      <c r="AL2" s="907"/>
      <c r="AM2" s="907"/>
      <c r="AN2" s="907"/>
      <c r="AO2" s="907"/>
      <c r="AP2" s="907"/>
      <c r="AQ2" s="907"/>
      <c r="AR2" s="907"/>
      <c r="AS2" s="907"/>
      <c r="AT2" s="907"/>
      <c r="AU2" s="907"/>
      <c r="AV2" s="907"/>
      <c r="AW2" s="907"/>
      <c r="AX2" s="907"/>
      <c r="AY2" s="907"/>
      <c r="AZ2" s="907"/>
      <c r="BA2" s="907"/>
      <c r="BB2" s="907"/>
      <c r="BC2" s="907"/>
      <c r="BD2" s="907"/>
      <c r="BE2" s="907"/>
      <c r="BF2" s="907"/>
      <c r="BG2" s="907"/>
      <c r="BH2" s="907"/>
      <c r="BI2" s="907"/>
      <c r="BJ2" s="907"/>
      <c r="BK2" s="907"/>
      <c r="BL2" s="907"/>
      <c r="BM2" s="907"/>
      <c r="BN2" s="907"/>
      <c r="BO2" s="907"/>
      <c r="BP2" s="907"/>
      <c r="BQ2" s="907"/>
      <c r="BR2" s="907"/>
      <c r="BS2" s="907"/>
      <c r="BT2" s="907"/>
      <c r="BU2" s="907"/>
      <c r="BV2" s="907"/>
      <c r="BW2" s="907"/>
      <c r="BX2" s="907"/>
      <c r="BY2" s="907"/>
      <c r="BZ2" s="906" t="s">
        <v>2186</v>
      </c>
      <c r="CA2" s="905"/>
      <c r="CB2" s="905"/>
      <c r="CC2" s="904"/>
      <c r="CD2" s="891"/>
    </row>
    <row r="3" spans="2:90" s="903" customFormat="1" ht="32.25" customHeight="1" x14ac:dyDescent="0.2">
      <c r="B3" s="911"/>
      <c r="C3" s="910"/>
      <c r="D3" s="907"/>
      <c r="E3" s="907"/>
      <c r="F3" s="907"/>
      <c r="G3" s="907"/>
      <c r="H3" s="907"/>
      <c r="I3" s="907"/>
      <c r="J3" s="907"/>
      <c r="K3" s="907"/>
      <c r="L3" s="907"/>
      <c r="M3" s="907"/>
      <c r="N3" s="907"/>
      <c r="O3" s="907"/>
      <c r="P3" s="907"/>
      <c r="Q3" s="907"/>
      <c r="R3" s="907"/>
      <c r="S3" s="907"/>
      <c r="T3" s="907"/>
      <c r="U3" s="907"/>
      <c r="V3" s="907"/>
      <c r="W3" s="907"/>
      <c r="X3" s="907"/>
      <c r="Y3" s="907"/>
      <c r="Z3" s="907"/>
      <c r="AA3" s="907"/>
      <c r="AB3" s="907"/>
      <c r="AC3" s="907"/>
      <c r="AD3" s="907"/>
      <c r="AE3" s="907"/>
      <c r="AF3" s="907"/>
      <c r="AG3" s="907"/>
      <c r="AH3" s="907"/>
      <c r="AI3" s="907"/>
      <c r="AJ3" s="907"/>
      <c r="AK3" s="907"/>
      <c r="AL3" s="907"/>
      <c r="AM3" s="907"/>
      <c r="AN3" s="907"/>
      <c r="AO3" s="907"/>
      <c r="AP3" s="907"/>
      <c r="AQ3" s="907"/>
      <c r="AR3" s="907"/>
      <c r="AS3" s="907"/>
      <c r="AT3" s="907"/>
      <c r="AU3" s="907"/>
      <c r="AV3" s="907"/>
      <c r="AW3" s="907"/>
      <c r="AX3" s="907"/>
      <c r="AY3" s="907"/>
      <c r="AZ3" s="907"/>
      <c r="BA3" s="907"/>
      <c r="BB3" s="907"/>
      <c r="BC3" s="907"/>
      <c r="BD3" s="907"/>
      <c r="BE3" s="907"/>
      <c r="BF3" s="907"/>
      <c r="BG3" s="907"/>
      <c r="BH3" s="907"/>
      <c r="BI3" s="907"/>
      <c r="BJ3" s="907"/>
      <c r="BK3" s="907"/>
      <c r="BL3" s="907"/>
      <c r="BM3" s="907"/>
      <c r="BN3" s="907"/>
      <c r="BO3" s="907"/>
      <c r="BP3" s="907"/>
      <c r="BQ3" s="907"/>
      <c r="BR3" s="907"/>
      <c r="BS3" s="907"/>
      <c r="BT3" s="907"/>
      <c r="BU3" s="907"/>
      <c r="BV3" s="907"/>
      <c r="BW3" s="907"/>
      <c r="BX3" s="907"/>
      <c r="BY3" s="907"/>
      <c r="BZ3" s="906" t="s">
        <v>2187</v>
      </c>
      <c r="CA3" s="905"/>
      <c r="CB3" s="905"/>
      <c r="CC3" s="904"/>
      <c r="CD3" s="891"/>
    </row>
    <row r="4" spans="2:90" s="903" customFormat="1" ht="32.25" customHeight="1" x14ac:dyDescent="0.2">
      <c r="B4" s="911"/>
      <c r="C4" s="910"/>
      <c r="D4" s="907"/>
      <c r="E4" s="907"/>
      <c r="F4" s="907"/>
      <c r="G4" s="907"/>
      <c r="H4" s="907"/>
      <c r="I4" s="907"/>
      <c r="J4" s="907"/>
      <c r="K4" s="907"/>
      <c r="L4" s="907"/>
      <c r="M4" s="907"/>
      <c r="N4" s="907"/>
      <c r="O4" s="907"/>
      <c r="P4" s="907"/>
      <c r="Q4" s="907"/>
      <c r="R4" s="907"/>
      <c r="S4" s="907"/>
      <c r="T4" s="907"/>
      <c r="U4" s="907"/>
      <c r="V4" s="907"/>
      <c r="W4" s="907"/>
      <c r="X4" s="907"/>
      <c r="Y4" s="907"/>
      <c r="Z4" s="907"/>
      <c r="AA4" s="907"/>
      <c r="AB4" s="907"/>
      <c r="AC4" s="907"/>
      <c r="AD4" s="907"/>
      <c r="AE4" s="907"/>
      <c r="AF4" s="907"/>
      <c r="AG4" s="907"/>
      <c r="AH4" s="907"/>
      <c r="AI4" s="907"/>
      <c r="AJ4" s="907"/>
      <c r="AK4" s="907"/>
      <c r="AL4" s="907"/>
      <c r="AM4" s="907"/>
      <c r="AN4" s="907"/>
      <c r="AO4" s="907"/>
      <c r="AP4" s="907"/>
      <c r="AQ4" s="907"/>
      <c r="AR4" s="907"/>
      <c r="AS4" s="907"/>
      <c r="AT4" s="907"/>
      <c r="AU4" s="907"/>
      <c r="AV4" s="907"/>
      <c r="AW4" s="907"/>
      <c r="AX4" s="907"/>
      <c r="AY4" s="907"/>
      <c r="AZ4" s="907"/>
      <c r="BA4" s="907"/>
      <c r="BB4" s="907"/>
      <c r="BC4" s="907"/>
      <c r="BD4" s="907"/>
      <c r="BE4" s="907"/>
      <c r="BF4" s="907"/>
      <c r="BG4" s="907"/>
      <c r="BH4" s="907"/>
      <c r="BI4" s="907"/>
      <c r="BJ4" s="907"/>
      <c r="BK4" s="907"/>
      <c r="BL4" s="907"/>
      <c r="BM4" s="907"/>
      <c r="BN4" s="907"/>
      <c r="BO4" s="907"/>
      <c r="BP4" s="907"/>
      <c r="BQ4" s="907"/>
      <c r="BR4" s="907"/>
      <c r="BS4" s="907"/>
      <c r="BT4" s="907"/>
      <c r="BU4" s="907"/>
      <c r="BV4" s="907"/>
      <c r="BW4" s="907"/>
      <c r="BX4" s="907"/>
      <c r="BY4" s="907"/>
      <c r="BZ4" s="906" t="s">
        <v>2188</v>
      </c>
      <c r="CA4" s="905"/>
      <c r="CB4" s="905"/>
      <c r="CC4" s="904"/>
      <c r="CD4" s="891"/>
    </row>
    <row r="5" spans="2:90" s="903" customFormat="1" ht="32.25" customHeight="1" x14ac:dyDescent="0.2">
      <c r="B5" s="909"/>
      <c r="C5" s="908"/>
      <c r="D5" s="907"/>
      <c r="E5" s="907"/>
      <c r="F5" s="907"/>
      <c r="G5" s="907"/>
      <c r="H5" s="907"/>
      <c r="I5" s="907"/>
      <c r="J5" s="907"/>
      <c r="K5" s="907"/>
      <c r="L5" s="907"/>
      <c r="M5" s="907"/>
      <c r="N5" s="907"/>
      <c r="O5" s="907"/>
      <c r="P5" s="907"/>
      <c r="Q5" s="907"/>
      <c r="R5" s="907"/>
      <c r="S5" s="907"/>
      <c r="T5" s="907"/>
      <c r="U5" s="907"/>
      <c r="V5" s="907"/>
      <c r="W5" s="907"/>
      <c r="X5" s="907"/>
      <c r="Y5" s="907"/>
      <c r="Z5" s="907"/>
      <c r="AA5" s="907"/>
      <c r="AB5" s="907"/>
      <c r="AC5" s="907"/>
      <c r="AD5" s="907"/>
      <c r="AE5" s="907"/>
      <c r="AF5" s="907"/>
      <c r="AG5" s="907"/>
      <c r="AH5" s="907"/>
      <c r="AI5" s="907"/>
      <c r="AJ5" s="907"/>
      <c r="AK5" s="907"/>
      <c r="AL5" s="907"/>
      <c r="AM5" s="907"/>
      <c r="AN5" s="907"/>
      <c r="AO5" s="907"/>
      <c r="AP5" s="907"/>
      <c r="AQ5" s="907"/>
      <c r="AR5" s="907"/>
      <c r="AS5" s="907"/>
      <c r="AT5" s="907"/>
      <c r="AU5" s="907"/>
      <c r="AV5" s="907"/>
      <c r="AW5" s="907"/>
      <c r="AX5" s="907"/>
      <c r="AY5" s="907"/>
      <c r="AZ5" s="907"/>
      <c r="BA5" s="907"/>
      <c r="BB5" s="907"/>
      <c r="BC5" s="907"/>
      <c r="BD5" s="907"/>
      <c r="BE5" s="907"/>
      <c r="BF5" s="907"/>
      <c r="BG5" s="907"/>
      <c r="BH5" s="907"/>
      <c r="BI5" s="907"/>
      <c r="BJ5" s="907"/>
      <c r="BK5" s="907"/>
      <c r="BL5" s="907"/>
      <c r="BM5" s="907"/>
      <c r="BN5" s="907"/>
      <c r="BO5" s="907"/>
      <c r="BP5" s="907"/>
      <c r="BQ5" s="907"/>
      <c r="BR5" s="907"/>
      <c r="BS5" s="907"/>
      <c r="BT5" s="907"/>
      <c r="BU5" s="907"/>
      <c r="BV5" s="907"/>
      <c r="BW5" s="907"/>
      <c r="BX5" s="907"/>
      <c r="BY5" s="907"/>
      <c r="BZ5" s="906" t="s">
        <v>427</v>
      </c>
      <c r="CA5" s="905"/>
      <c r="CB5" s="905"/>
      <c r="CC5" s="904"/>
      <c r="CD5" s="891"/>
    </row>
    <row r="6" spans="2:90" s="892" customFormat="1" ht="7.5" customHeight="1" x14ac:dyDescent="0.25">
      <c r="B6" s="902"/>
      <c r="C6" s="902"/>
      <c r="CC6" s="891"/>
      <c r="CD6" s="891"/>
    </row>
    <row r="7" spans="2:90" s="892" customFormat="1" ht="15" customHeight="1" x14ac:dyDescent="0.25">
      <c r="B7" s="901" t="s">
        <v>2189</v>
      </c>
      <c r="C7" s="900"/>
      <c r="D7" s="894" t="s">
        <v>2190</v>
      </c>
      <c r="E7" s="899" t="s">
        <v>2191</v>
      </c>
      <c r="F7" s="898"/>
      <c r="G7" s="897">
        <v>2022</v>
      </c>
    </row>
    <row r="8" spans="2:90" s="892" customFormat="1" ht="15" customHeight="1" x14ac:dyDescent="0.25">
      <c r="B8" s="896"/>
      <c r="C8" s="895"/>
      <c r="D8" s="894" t="s">
        <v>2192</v>
      </c>
      <c r="E8" s="805" t="s">
        <v>2211</v>
      </c>
      <c r="F8" s="806"/>
      <c r="G8" s="893"/>
    </row>
    <row r="9" spans="2:90" s="359" customFormat="1" ht="7.5" customHeight="1" x14ac:dyDescent="0.25"/>
    <row r="10" spans="2:90" s="891" customFormat="1" ht="22.5" customHeight="1" x14ac:dyDescent="0.25">
      <c r="B10" s="807" t="s">
        <v>2194</v>
      </c>
      <c r="C10" s="808"/>
      <c r="D10" s="808"/>
      <c r="E10" s="808"/>
      <c r="F10" s="808"/>
      <c r="G10" s="808"/>
      <c r="H10" s="808"/>
      <c r="I10" s="808"/>
      <c r="J10" s="808"/>
      <c r="K10" s="808"/>
      <c r="L10" s="808"/>
      <c r="M10" s="808"/>
      <c r="N10" s="808"/>
      <c r="O10" s="808"/>
      <c r="P10" s="808"/>
      <c r="Q10" s="808"/>
      <c r="R10" s="808"/>
      <c r="S10" s="808"/>
      <c r="T10" s="808"/>
      <c r="U10" s="818" t="s">
        <v>2195</v>
      </c>
      <c r="V10" s="819"/>
      <c r="W10" s="819"/>
      <c r="X10" s="819"/>
      <c r="Y10" s="819"/>
      <c r="Z10" s="819"/>
      <c r="AA10" s="819"/>
      <c r="AB10" s="819"/>
      <c r="AC10" s="819"/>
      <c r="AD10" s="819"/>
      <c r="AE10" s="819"/>
      <c r="AF10" s="819"/>
      <c r="AG10" s="819"/>
      <c r="AH10" s="819"/>
      <c r="AI10" s="819"/>
      <c r="AJ10" s="819"/>
      <c r="AK10" s="819"/>
      <c r="AL10" s="819"/>
      <c r="AM10" s="819"/>
      <c r="AN10" s="819"/>
      <c r="AO10" s="819"/>
      <c r="AP10" s="819"/>
      <c r="AQ10" s="819"/>
      <c r="AR10" s="819"/>
      <c r="AS10" s="819"/>
      <c r="AT10" s="819"/>
      <c r="AU10" s="819"/>
      <c r="AV10" s="819"/>
      <c r="AW10" s="819"/>
      <c r="AX10" s="819"/>
      <c r="AY10" s="819"/>
      <c r="AZ10" s="819"/>
      <c r="BA10" s="819"/>
      <c r="BB10" s="819"/>
      <c r="BC10" s="819"/>
      <c r="BD10" s="819"/>
      <c r="BE10" s="819"/>
      <c r="BF10" s="819"/>
      <c r="BG10" s="819"/>
      <c r="BH10" s="819"/>
      <c r="BI10" s="819"/>
      <c r="BJ10" s="819"/>
      <c r="BK10" s="819"/>
      <c r="BL10" s="819"/>
      <c r="BM10" s="819"/>
      <c r="BN10" s="819"/>
      <c r="BO10" s="819"/>
      <c r="BP10" s="819"/>
      <c r="BQ10" s="819"/>
      <c r="BR10" s="819"/>
      <c r="BS10" s="819"/>
      <c r="BT10" s="819"/>
      <c r="BU10" s="819"/>
      <c r="BV10" s="819"/>
      <c r="BW10" s="819"/>
      <c r="BX10" s="819"/>
      <c r="BY10" s="819"/>
      <c r="BZ10" s="819"/>
      <c r="CA10" s="819"/>
      <c r="CB10" s="820"/>
      <c r="CC10" s="360"/>
      <c r="CD10" s="358"/>
      <c r="CE10" s="809" t="s">
        <v>2196</v>
      </c>
      <c r="CF10" s="810"/>
      <c r="CG10" s="811"/>
      <c r="CH10" s="815" t="s">
        <v>2197</v>
      </c>
      <c r="CI10" s="815"/>
      <c r="CJ10" s="815"/>
      <c r="CK10" s="815"/>
    </row>
    <row r="11" spans="2:90" s="890" customFormat="1" ht="19.5" customHeight="1" x14ac:dyDescent="0.25">
      <c r="B11" s="816" t="s">
        <v>2198</v>
      </c>
      <c r="C11" s="816"/>
      <c r="D11" s="816"/>
      <c r="E11" s="816" t="s">
        <v>2199</v>
      </c>
      <c r="F11" s="816"/>
      <c r="G11" s="816"/>
      <c r="H11" s="816"/>
      <c r="I11" s="816"/>
      <c r="J11" s="816" t="s">
        <v>2200</v>
      </c>
      <c r="K11" s="816"/>
      <c r="L11" s="816"/>
      <c r="M11" s="816"/>
      <c r="N11" s="816"/>
      <c r="O11" s="816"/>
      <c r="P11" s="816"/>
      <c r="Q11" s="816"/>
      <c r="R11" s="817" t="s">
        <v>2201</v>
      </c>
      <c r="S11" s="817"/>
      <c r="T11" s="817"/>
      <c r="U11" s="802" t="s">
        <v>2191</v>
      </c>
      <c r="V11" s="803"/>
      <c r="W11" s="803"/>
      <c r="X11" s="803"/>
      <c r="Y11" s="803"/>
      <c r="Z11" s="802" t="s">
        <v>2202</v>
      </c>
      <c r="AA11" s="803"/>
      <c r="AB11" s="803"/>
      <c r="AC11" s="803"/>
      <c r="AD11" s="804"/>
      <c r="AE11" s="803" t="s">
        <v>2203</v>
      </c>
      <c r="AF11" s="803"/>
      <c r="AG11" s="803"/>
      <c r="AH11" s="803"/>
      <c r="AI11" s="803"/>
      <c r="AJ11" s="802" t="s">
        <v>2204</v>
      </c>
      <c r="AK11" s="803"/>
      <c r="AL11" s="803"/>
      <c r="AM11" s="803"/>
      <c r="AN11" s="804"/>
      <c r="AO11" s="803" t="s">
        <v>2205</v>
      </c>
      <c r="AP11" s="803"/>
      <c r="AQ11" s="803"/>
      <c r="AR11" s="803"/>
      <c r="AS11" s="803"/>
      <c r="AT11" s="802" t="s">
        <v>2206</v>
      </c>
      <c r="AU11" s="803"/>
      <c r="AV11" s="803"/>
      <c r="AW11" s="803"/>
      <c r="AX11" s="804"/>
      <c r="AY11" s="803" t="s">
        <v>2207</v>
      </c>
      <c r="AZ11" s="803"/>
      <c r="BA11" s="803"/>
      <c r="BB11" s="803"/>
      <c r="BC11" s="803"/>
      <c r="BD11" s="802" t="s">
        <v>2208</v>
      </c>
      <c r="BE11" s="803"/>
      <c r="BF11" s="803"/>
      <c r="BG11" s="803"/>
      <c r="BH11" s="804"/>
      <c r="BI11" s="803" t="s">
        <v>2193</v>
      </c>
      <c r="BJ11" s="803"/>
      <c r="BK11" s="803"/>
      <c r="BL11" s="803"/>
      <c r="BM11" s="803"/>
      <c r="BN11" s="802" t="s">
        <v>2209</v>
      </c>
      <c r="BO11" s="803"/>
      <c r="BP11" s="803"/>
      <c r="BQ11" s="803"/>
      <c r="BR11" s="804"/>
      <c r="BS11" s="803" t="s">
        <v>2210</v>
      </c>
      <c r="BT11" s="803"/>
      <c r="BU11" s="803"/>
      <c r="BV11" s="803"/>
      <c r="BW11" s="804"/>
      <c r="BX11" s="802" t="s">
        <v>2211</v>
      </c>
      <c r="BY11" s="803"/>
      <c r="BZ11" s="803"/>
      <c r="CA11" s="803"/>
      <c r="CB11" s="804"/>
      <c r="CC11" s="360"/>
      <c r="CD11" s="360"/>
      <c r="CE11" s="812"/>
      <c r="CF11" s="813"/>
      <c r="CG11" s="814"/>
      <c r="CH11" s="815"/>
      <c r="CI11" s="815"/>
      <c r="CJ11" s="815"/>
      <c r="CK11" s="815"/>
    </row>
    <row r="12" spans="2:90" s="889" customFormat="1" ht="48.75" customHeight="1" x14ac:dyDescent="0.25">
      <c r="B12" s="361" t="s">
        <v>2212</v>
      </c>
      <c r="C12" s="361" t="s">
        <v>9</v>
      </c>
      <c r="D12" s="361" t="s">
        <v>2213</v>
      </c>
      <c r="E12" s="361" t="s">
        <v>2214</v>
      </c>
      <c r="F12" s="362" t="s">
        <v>2215</v>
      </c>
      <c r="G12" s="361" t="s">
        <v>2216</v>
      </c>
      <c r="H12" s="361" t="s">
        <v>2217</v>
      </c>
      <c r="I12" s="361" t="s">
        <v>2218</v>
      </c>
      <c r="J12" s="361" t="s">
        <v>2219</v>
      </c>
      <c r="K12" s="361" t="s">
        <v>2220</v>
      </c>
      <c r="L12" s="361" t="s">
        <v>2221</v>
      </c>
      <c r="M12" s="361" t="s">
        <v>2222</v>
      </c>
      <c r="N12" s="361" t="s">
        <v>2223</v>
      </c>
      <c r="O12" s="361" t="s">
        <v>2224</v>
      </c>
      <c r="P12" s="361" t="s">
        <v>2225</v>
      </c>
      <c r="Q12" s="361" t="s">
        <v>2226</v>
      </c>
      <c r="R12" s="361" t="s">
        <v>2227</v>
      </c>
      <c r="S12" s="361" t="s">
        <v>2228</v>
      </c>
      <c r="T12" s="361" t="s">
        <v>2229</v>
      </c>
      <c r="U12" s="363" t="str">
        <f>U11&amp;" ejecutado"</f>
        <v>Enero ejecutado</v>
      </c>
      <c r="V12" s="363" t="str">
        <f>U11&amp;" programado"</f>
        <v>Enero programado</v>
      </c>
      <c r="W12" s="364" t="str">
        <f>U11&amp;" resultado"</f>
        <v>Enero resultado</v>
      </c>
      <c r="X12" s="365" t="str">
        <f>U11&amp;" análisis mensual"</f>
        <v>Enero análisis mensual</v>
      </c>
      <c r="Y12" s="365" t="str">
        <f>U11&amp;" verificación segunda línea de defensa"</f>
        <v>Enero verificación segunda línea de defensa</v>
      </c>
      <c r="Z12" s="364" t="str">
        <f>Z11&amp;" ejecutado"</f>
        <v>Febrero ejecutado</v>
      </c>
      <c r="AA12" s="364" t="str">
        <f>Z11&amp;" programado"</f>
        <v>Febrero programado</v>
      </c>
      <c r="AB12" s="364" t="str">
        <f>Z11&amp;" resultado"</f>
        <v>Febrero resultado</v>
      </c>
      <c r="AC12" s="365" t="str">
        <f>Z11&amp;" análisis mensual"</f>
        <v>Febrero análisis mensual</v>
      </c>
      <c r="AD12" s="365" t="str">
        <f>Z11&amp;" verificación segunda línea de defensa"</f>
        <v>Febrero verificación segunda línea de defensa</v>
      </c>
      <c r="AE12" s="365" t="str">
        <f>AE11&amp;" ejecutado"</f>
        <v>Marzo ejecutado</v>
      </c>
      <c r="AF12" s="364" t="str">
        <f>AE11&amp;" programado"</f>
        <v>Marzo programado</v>
      </c>
      <c r="AG12" s="364" t="str">
        <f>AE11&amp;" resultado"</f>
        <v>Marzo resultado</v>
      </c>
      <c r="AH12" s="365" t="str">
        <f>AE11&amp;" análisis mensual"</f>
        <v>Marzo análisis mensual</v>
      </c>
      <c r="AI12" s="365" t="str">
        <f>AE11&amp;" verificación segunda línea de defensa"</f>
        <v>Marzo verificación segunda línea de defensa</v>
      </c>
      <c r="AJ12" s="364" t="str">
        <f>AJ11&amp;" ejecutado"</f>
        <v>Abril ejecutado</v>
      </c>
      <c r="AK12" s="364" t="str">
        <f>AJ11&amp;" programado"</f>
        <v>Abril programado</v>
      </c>
      <c r="AL12" s="364" t="str">
        <f>AJ11&amp;" resultado"</f>
        <v>Abril resultado</v>
      </c>
      <c r="AM12" s="365" t="str">
        <f>AJ11&amp;" análisis mensual"</f>
        <v>Abril análisis mensual</v>
      </c>
      <c r="AN12" s="364" t="str">
        <f>AJ11&amp;" verificación segunda línea de defensa"</f>
        <v>Abril verificación segunda línea de defensa</v>
      </c>
      <c r="AO12" s="366" t="str">
        <f>AO11&amp;" ejecutado"</f>
        <v>Mayo ejecutado</v>
      </c>
      <c r="AP12" s="364" t="str">
        <f>AO11&amp;" programado"</f>
        <v>Mayo programado</v>
      </c>
      <c r="AQ12" s="364" t="str">
        <f>AO11&amp;" resultado"</f>
        <v>Mayo resultado</v>
      </c>
      <c r="AR12" s="365" t="str">
        <f>AO11&amp;" análisis mensual"</f>
        <v>Mayo análisis mensual</v>
      </c>
      <c r="AS12" s="365" t="str">
        <f>AO11&amp;" verificación segunda línea de defensa"</f>
        <v>Mayo verificación segunda línea de defensa</v>
      </c>
      <c r="AT12" s="364" t="str">
        <f>AT11&amp;" ejecutado"</f>
        <v>Junio ejecutado</v>
      </c>
      <c r="AU12" s="364" t="str">
        <f>AT11&amp;" programado"</f>
        <v>Junio programado</v>
      </c>
      <c r="AV12" s="364" t="str">
        <f>AT11&amp;" resultado"</f>
        <v>Junio resultado</v>
      </c>
      <c r="AW12" s="365" t="str">
        <f>AT11&amp;" análisis mensual"</f>
        <v>Junio análisis mensual</v>
      </c>
      <c r="AX12" s="364" t="str">
        <f>AT11&amp;" verificación segunda línea de defensa"</f>
        <v>Junio verificación segunda línea de defensa</v>
      </c>
      <c r="AY12" s="366" t="str">
        <f>AY11&amp;" ejecutado"</f>
        <v>Julio ejecutado</v>
      </c>
      <c r="AZ12" s="364" t="str">
        <f>AY11&amp;" programado"</f>
        <v>Julio programado</v>
      </c>
      <c r="BA12" s="364" t="str">
        <f>AY11&amp;" resultado"</f>
        <v>Julio resultado</v>
      </c>
      <c r="BB12" s="365" t="str">
        <f>AY11&amp;" análisis mensual"</f>
        <v>Julio análisis mensual</v>
      </c>
      <c r="BC12" s="365" t="str">
        <f>AY11&amp;" verificación segunda línea de defensa"</f>
        <v>Julio verificación segunda línea de defensa</v>
      </c>
      <c r="BD12" s="364" t="str">
        <f>BD11&amp;" ejecutado"</f>
        <v>Agosto ejecutado</v>
      </c>
      <c r="BE12" s="364" t="str">
        <f>BD11&amp;" programado"</f>
        <v>Agosto programado</v>
      </c>
      <c r="BF12" s="364" t="str">
        <f>BD11&amp;" resultado"</f>
        <v>Agosto resultado</v>
      </c>
      <c r="BG12" s="365" t="str">
        <f>BD11&amp;" análisis mensual"</f>
        <v>Agosto análisis mensual</v>
      </c>
      <c r="BH12" s="364" t="str">
        <f>BD11&amp;" verificación segunda línea de defensa"</f>
        <v>Agosto verificación segunda línea de defensa</v>
      </c>
      <c r="BI12" s="366" t="str">
        <f>BI11&amp;" ejecutado"</f>
        <v>Septiembre ejecutado</v>
      </c>
      <c r="BJ12" s="364" t="str">
        <f>BI11&amp;" programado"</f>
        <v>Septiembre programado</v>
      </c>
      <c r="BK12" s="364" t="str">
        <f>BI11&amp;" resultado"</f>
        <v>Septiembre resultado</v>
      </c>
      <c r="BL12" s="365" t="str">
        <f>BI11&amp;" análisis mensual"</f>
        <v>Septiembre análisis mensual</v>
      </c>
      <c r="BM12" s="365" t="str">
        <f>BI11&amp;" verificación segunda línea de defensa"</f>
        <v>Septiembre verificación segunda línea de defensa</v>
      </c>
      <c r="BN12" s="364" t="str">
        <f>BN11&amp;" ejecutado"</f>
        <v>Octubre ejecutado</v>
      </c>
      <c r="BO12" s="364" t="str">
        <f>BN11&amp;" programado"</f>
        <v>Octubre programado</v>
      </c>
      <c r="BP12" s="364" t="str">
        <f>BN11&amp;" resultado"</f>
        <v>Octubre resultado</v>
      </c>
      <c r="BQ12" s="365" t="str">
        <f>BN11&amp;" análisis mensual"</f>
        <v>Octubre análisis mensual</v>
      </c>
      <c r="BR12" s="364" t="str">
        <f>BN11&amp;" verificación segunda línea de defensa"</f>
        <v>Octubre verificación segunda línea de defensa</v>
      </c>
      <c r="BS12" s="366" t="str">
        <f>BS11&amp;" ejecutado"</f>
        <v>Noviembre ejecutado</v>
      </c>
      <c r="BT12" s="364" t="str">
        <f>BS11&amp;" programado"</f>
        <v>Noviembre programado</v>
      </c>
      <c r="BU12" s="364" t="str">
        <f>BS11&amp;" resultado"</f>
        <v>Noviembre resultado</v>
      </c>
      <c r="BV12" s="365" t="str">
        <f>BS11&amp;" análisis mensual"</f>
        <v>Noviembre análisis mensual</v>
      </c>
      <c r="BW12" s="365" t="str">
        <f>BS11&amp;" verificación segunda línea de defensa"</f>
        <v>Noviembre verificación segunda línea de defensa</v>
      </c>
      <c r="BX12" s="364" t="str">
        <f>BX11&amp;" ejecutado"</f>
        <v>Diciembre ejecutado</v>
      </c>
      <c r="BY12" s="364" t="str">
        <f>BX11&amp;" programado"</f>
        <v>Diciembre programado</v>
      </c>
      <c r="BZ12" s="364" t="str">
        <f>BX11&amp;" resultado"</f>
        <v>Diciembre resultado</v>
      </c>
      <c r="CA12" s="365" t="str">
        <f>BX11&amp;" análisis mensual"</f>
        <v>Diciembre análisis mensual</v>
      </c>
      <c r="CB12" s="364" t="str">
        <f>BX11&amp;" verificación segunda línea de defensa"</f>
        <v>Diciembre verificación segunda línea de defensa</v>
      </c>
      <c r="CC12" s="366" t="s">
        <v>2230</v>
      </c>
      <c r="CD12" s="367"/>
      <c r="CE12" s="368" t="s">
        <v>2231</v>
      </c>
      <c r="CF12" s="368" t="s">
        <v>2232</v>
      </c>
      <c r="CG12" s="368" t="s">
        <v>2233</v>
      </c>
      <c r="CH12" s="368" t="s">
        <v>2234</v>
      </c>
      <c r="CI12" s="368" t="s">
        <v>2235</v>
      </c>
      <c r="CJ12" s="368" t="s">
        <v>2236</v>
      </c>
      <c r="CK12" s="368" t="s">
        <v>2237</v>
      </c>
    </row>
    <row r="13" spans="2:90" s="389" customFormat="1" ht="336" x14ac:dyDescent="0.25">
      <c r="B13" s="369" t="s">
        <v>24</v>
      </c>
      <c r="C13" s="369" t="s">
        <v>2238</v>
      </c>
      <c r="D13" s="369" t="s">
        <v>65</v>
      </c>
      <c r="E13" s="370" t="s">
        <v>2239</v>
      </c>
      <c r="F13" s="371" t="s">
        <v>2240</v>
      </c>
      <c r="G13" s="372" t="s">
        <v>2241</v>
      </c>
      <c r="H13" s="372" t="s">
        <v>2242</v>
      </c>
      <c r="I13" s="372" t="s">
        <v>2243</v>
      </c>
      <c r="J13" s="370" t="s">
        <v>2244</v>
      </c>
      <c r="K13" s="372" t="s">
        <v>2245</v>
      </c>
      <c r="L13" s="372" t="s">
        <v>2246</v>
      </c>
      <c r="M13" s="372" t="s">
        <v>2247</v>
      </c>
      <c r="N13" s="372" t="s">
        <v>2248</v>
      </c>
      <c r="O13" s="370" t="s">
        <v>2249</v>
      </c>
      <c r="P13" s="372" t="s">
        <v>1777</v>
      </c>
      <c r="Q13" s="373" t="s">
        <v>30</v>
      </c>
      <c r="R13" s="374">
        <v>0.95</v>
      </c>
      <c r="S13" s="372" t="s">
        <v>2248</v>
      </c>
      <c r="T13" s="375">
        <v>1</v>
      </c>
      <c r="U13" s="376"/>
      <c r="V13" s="376"/>
      <c r="W13" s="377"/>
      <c r="X13" s="378" t="s">
        <v>2250</v>
      </c>
      <c r="Y13" s="379" t="s">
        <v>2251</v>
      </c>
      <c r="Z13" s="376"/>
      <c r="AA13" s="376"/>
      <c r="AB13" s="377"/>
      <c r="AC13" s="378" t="s">
        <v>2252</v>
      </c>
      <c r="AD13" s="378" t="s">
        <v>2251</v>
      </c>
      <c r="AE13" s="380">
        <v>7604</v>
      </c>
      <c r="AF13" s="376">
        <v>7830</v>
      </c>
      <c r="AG13" s="377">
        <f>AE13/AF13</f>
        <v>0.97113665389527459</v>
      </c>
      <c r="AH13" s="381" t="s">
        <v>5448</v>
      </c>
      <c r="AI13" s="378" t="s">
        <v>2253</v>
      </c>
      <c r="AJ13" s="376"/>
      <c r="AK13" s="376"/>
      <c r="AL13" s="377"/>
      <c r="AM13" s="378" t="s">
        <v>2254</v>
      </c>
      <c r="AN13" s="378" t="s">
        <v>2255</v>
      </c>
      <c r="AO13" s="380"/>
      <c r="AP13" s="376"/>
      <c r="AQ13" s="377"/>
      <c r="AR13" s="382" t="s">
        <v>2256</v>
      </c>
      <c r="AS13" s="378" t="s">
        <v>2257</v>
      </c>
      <c r="AT13" s="380">
        <v>8349</v>
      </c>
      <c r="AU13" s="376">
        <v>8529</v>
      </c>
      <c r="AV13" s="377">
        <f>AT13/AU13</f>
        <v>0.97889553288779463</v>
      </c>
      <c r="AW13" s="383" t="s">
        <v>2258</v>
      </c>
      <c r="AX13" s="378" t="s">
        <v>2259</v>
      </c>
      <c r="AY13" s="380"/>
      <c r="AZ13" s="376"/>
      <c r="BA13" s="377"/>
      <c r="BB13" s="379" t="s">
        <v>2260</v>
      </c>
      <c r="BC13" s="378" t="s">
        <v>2261</v>
      </c>
      <c r="BD13" s="376"/>
      <c r="BE13" s="376"/>
      <c r="BF13" s="377"/>
      <c r="BG13" s="378" t="s">
        <v>2262</v>
      </c>
      <c r="BH13" s="378" t="s">
        <v>2263</v>
      </c>
      <c r="BI13" s="380">
        <v>7681</v>
      </c>
      <c r="BJ13" s="376">
        <v>8049</v>
      </c>
      <c r="BK13" s="377">
        <f>BI13/BJ13</f>
        <v>0.95428003478693002</v>
      </c>
      <c r="BL13" s="379" t="s">
        <v>5447</v>
      </c>
      <c r="BM13" s="378" t="s">
        <v>2264</v>
      </c>
      <c r="BN13" s="376"/>
      <c r="BO13" s="376"/>
      <c r="BP13" s="377"/>
      <c r="BQ13" s="378" t="s">
        <v>5446</v>
      </c>
      <c r="BR13" s="378" t="s">
        <v>2265</v>
      </c>
      <c r="BS13" s="380"/>
      <c r="BT13" s="376"/>
      <c r="BU13" s="377"/>
      <c r="BV13" s="378" t="s">
        <v>5445</v>
      </c>
      <c r="BW13" s="378" t="s">
        <v>2266</v>
      </c>
      <c r="BX13" s="376">
        <v>5985</v>
      </c>
      <c r="BY13" s="376">
        <v>6172</v>
      </c>
      <c r="BZ13" s="377">
        <f>BX13/BY13</f>
        <v>0.96970187945560593</v>
      </c>
      <c r="CA13" s="378" t="s">
        <v>5444</v>
      </c>
      <c r="CB13" s="378" t="s">
        <v>5438</v>
      </c>
      <c r="CC13" s="378" t="s">
        <v>5443</v>
      </c>
      <c r="CD13" s="385"/>
      <c r="CE13" s="888">
        <f>+U13+Z13+AE13+AJ13+AO13+AT13+AY13+BD13+BI13+BN13+BS13+BX13</f>
        <v>29619</v>
      </c>
      <c r="CF13" s="888">
        <f>+V13+AA13+AF13+AK13+AP13+AU13+AZ13+BE13+BJ13+BO13+BT13+BY13</f>
        <v>30580</v>
      </c>
      <c r="CG13" s="387">
        <f>+CE13/CF13</f>
        <v>0.96857423152387179</v>
      </c>
      <c r="CH13" s="387">
        <f>+CG13</f>
        <v>0.96857423152387179</v>
      </c>
      <c r="CI13" s="387">
        <f>+T13</f>
        <v>1</v>
      </c>
      <c r="CJ13" s="387">
        <f>+CH13/CI13</f>
        <v>0.96857423152387179</v>
      </c>
      <c r="CK13" s="388"/>
    </row>
    <row r="14" spans="2:90" s="389" customFormat="1" ht="300" x14ac:dyDescent="0.25">
      <c r="B14" s="369" t="s">
        <v>24</v>
      </c>
      <c r="C14" s="369" t="s">
        <v>2238</v>
      </c>
      <c r="D14" s="369" t="s">
        <v>65</v>
      </c>
      <c r="E14" s="370" t="s">
        <v>2267</v>
      </c>
      <c r="F14" s="371" t="s">
        <v>2240</v>
      </c>
      <c r="G14" s="372" t="s">
        <v>2268</v>
      </c>
      <c r="H14" s="372" t="s">
        <v>2269</v>
      </c>
      <c r="I14" s="372" t="s">
        <v>2270</v>
      </c>
      <c r="J14" s="370" t="s">
        <v>2271</v>
      </c>
      <c r="K14" s="372" t="s">
        <v>2272</v>
      </c>
      <c r="L14" s="372" t="s">
        <v>2273</v>
      </c>
      <c r="M14" s="372" t="s">
        <v>5442</v>
      </c>
      <c r="N14" s="372" t="s">
        <v>2248</v>
      </c>
      <c r="O14" s="370" t="s">
        <v>2274</v>
      </c>
      <c r="P14" s="372" t="s">
        <v>1777</v>
      </c>
      <c r="Q14" s="373" t="s">
        <v>30</v>
      </c>
      <c r="R14" s="374">
        <v>0.97</v>
      </c>
      <c r="S14" s="372" t="s">
        <v>2248</v>
      </c>
      <c r="T14" s="375">
        <v>1</v>
      </c>
      <c r="U14" s="376"/>
      <c r="V14" s="376"/>
      <c r="W14" s="377"/>
      <c r="X14" s="378" t="s">
        <v>2275</v>
      </c>
      <c r="Y14" s="379" t="s">
        <v>2251</v>
      </c>
      <c r="Z14" s="376"/>
      <c r="AA14" s="376"/>
      <c r="AB14" s="377"/>
      <c r="AC14" s="378" t="s">
        <v>2276</v>
      </c>
      <c r="AD14" s="378" t="s">
        <v>2251</v>
      </c>
      <c r="AE14" s="380">
        <v>181</v>
      </c>
      <c r="AF14" s="376">
        <v>198</v>
      </c>
      <c r="AG14" s="377">
        <f>+AE14/AF14</f>
        <v>0.91414141414141414</v>
      </c>
      <c r="AH14" s="381" t="s">
        <v>5441</v>
      </c>
      <c r="AI14" s="378" t="s">
        <v>2253</v>
      </c>
      <c r="AJ14" s="376"/>
      <c r="AK14" s="376"/>
      <c r="AL14" s="377"/>
      <c r="AM14" s="390" t="s">
        <v>2277</v>
      </c>
      <c r="AN14" s="378" t="s">
        <v>2255</v>
      </c>
      <c r="AO14" s="380"/>
      <c r="AP14" s="376"/>
      <c r="AQ14" s="377"/>
      <c r="AR14" s="383" t="s">
        <v>2278</v>
      </c>
      <c r="AS14" s="378" t="s">
        <v>2257</v>
      </c>
      <c r="AT14" s="380">
        <v>186</v>
      </c>
      <c r="AU14" s="376">
        <v>187</v>
      </c>
      <c r="AV14" s="377">
        <f>+AT14/AU14</f>
        <v>0.99465240641711228</v>
      </c>
      <c r="AW14" s="383" t="s">
        <v>2279</v>
      </c>
      <c r="AX14" s="378" t="s">
        <v>2259</v>
      </c>
      <c r="AY14" s="380"/>
      <c r="AZ14" s="376"/>
      <c r="BA14" s="377"/>
      <c r="BB14" s="379" t="s">
        <v>2280</v>
      </c>
      <c r="BC14" s="378" t="s">
        <v>2261</v>
      </c>
      <c r="BD14" s="376"/>
      <c r="BE14" s="376"/>
      <c r="BF14" s="377"/>
      <c r="BG14" s="378" t="s">
        <v>2281</v>
      </c>
      <c r="BH14" s="378" t="s">
        <v>2263</v>
      </c>
      <c r="BI14" s="380">
        <v>187</v>
      </c>
      <c r="BJ14" s="376">
        <v>189</v>
      </c>
      <c r="BK14" s="377">
        <f>BI14/BJ14</f>
        <v>0.98941798941798942</v>
      </c>
      <c r="BL14" s="379" t="s">
        <v>2282</v>
      </c>
      <c r="BM14" s="378" t="s">
        <v>2264</v>
      </c>
      <c r="BN14" s="376"/>
      <c r="BO14" s="376"/>
      <c r="BP14" s="377"/>
      <c r="BQ14" s="378" t="s">
        <v>2283</v>
      </c>
      <c r="BR14" s="378" t="s">
        <v>2265</v>
      </c>
      <c r="BS14" s="380"/>
      <c r="BT14" s="376"/>
      <c r="BU14" s="377"/>
      <c r="BV14" s="378" t="s">
        <v>5440</v>
      </c>
      <c r="BW14" s="378" t="s">
        <v>2266</v>
      </c>
      <c r="BX14" s="376">
        <v>185</v>
      </c>
      <c r="BY14" s="376">
        <v>185</v>
      </c>
      <c r="BZ14" s="377">
        <f>BX14/BY14</f>
        <v>1</v>
      </c>
      <c r="CA14" s="378" t="s">
        <v>5439</v>
      </c>
      <c r="CB14" s="378" t="s">
        <v>5438</v>
      </c>
      <c r="CC14" s="378" t="s">
        <v>5437</v>
      </c>
      <c r="CD14" s="385"/>
      <c r="CE14" s="386">
        <f>+U14+Z14+AE14+AJ14+AO14+AT14+AY14+BD14+BI14+BN14+BS14+BX14</f>
        <v>739</v>
      </c>
      <c r="CF14" s="386">
        <f>+V14+AA14+AF14+AK14+AP14+AU14+AZ14+BE14+BJ14+BO14+BT14+BY14</f>
        <v>759</v>
      </c>
      <c r="CG14" s="387">
        <f>+CE14/CF14</f>
        <v>0.97364953886693018</v>
      </c>
      <c r="CH14" s="387">
        <f>+CG14</f>
        <v>0.97364953886693018</v>
      </c>
      <c r="CI14" s="387">
        <f>+T14</f>
        <v>1</v>
      </c>
      <c r="CJ14" s="387">
        <f>+CH14/CI14</f>
        <v>0.97364953886693018</v>
      </c>
      <c r="CK14" s="388"/>
    </row>
    <row r="15" spans="2:90" s="621" customFormat="1" ht="217.5" customHeight="1" x14ac:dyDescent="0.25">
      <c r="B15" s="369" t="s">
        <v>24</v>
      </c>
      <c r="C15" s="369" t="s">
        <v>70</v>
      </c>
      <c r="D15" s="372" t="s">
        <v>65</v>
      </c>
      <c r="E15" s="883" t="s">
        <v>2284</v>
      </c>
      <c r="F15" s="371" t="s">
        <v>2240</v>
      </c>
      <c r="G15" s="886" t="s">
        <v>2285</v>
      </c>
      <c r="H15" s="887" t="s">
        <v>2286</v>
      </c>
      <c r="I15" s="883" t="s">
        <v>5436</v>
      </c>
      <c r="J15" s="403" t="s">
        <v>2244</v>
      </c>
      <c r="K15" s="438" t="s">
        <v>2287</v>
      </c>
      <c r="L15" s="886" t="s">
        <v>2288</v>
      </c>
      <c r="M15" s="439" t="s">
        <v>2289</v>
      </c>
      <c r="N15" s="438" t="s">
        <v>2248</v>
      </c>
      <c r="O15" s="438" t="s">
        <v>2290</v>
      </c>
      <c r="P15" s="438" t="s">
        <v>1747</v>
      </c>
      <c r="Q15" s="438" t="s">
        <v>30</v>
      </c>
      <c r="R15" s="397">
        <v>0.99</v>
      </c>
      <c r="S15" s="438" t="s">
        <v>2248</v>
      </c>
      <c r="T15" s="391">
        <v>1</v>
      </c>
      <c r="U15" s="392">
        <v>36</v>
      </c>
      <c r="V15" s="393">
        <v>42</v>
      </c>
      <c r="W15" s="377">
        <f>+U15/V15</f>
        <v>0.8571428571428571</v>
      </c>
      <c r="X15" s="395" t="s">
        <v>2292</v>
      </c>
      <c r="Y15" s="395" t="s">
        <v>2293</v>
      </c>
      <c r="Z15" s="393">
        <v>64</v>
      </c>
      <c r="AA15" s="393">
        <v>69</v>
      </c>
      <c r="AB15" s="377">
        <f>+Z15/AA15</f>
        <v>0.92753623188405798</v>
      </c>
      <c r="AC15" s="395" t="s">
        <v>2294</v>
      </c>
      <c r="AD15" s="396" t="s">
        <v>2293</v>
      </c>
      <c r="AE15" s="380">
        <v>65</v>
      </c>
      <c r="AF15" s="376">
        <v>66</v>
      </c>
      <c r="AG15" s="377">
        <f>+AE15/AF15</f>
        <v>0.98484848484848486</v>
      </c>
      <c r="AH15" s="395" t="s">
        <v>2295</v>
      </c>
      <c r="AI15" s="396" t="s">
        <v>2253</v>
      </c>
      <c r="AJ15" s="376">
        <v>62</v>
      </c>
      <c r="AK15" s="376">
        <v>62</v>
      </c>
      <c r="AL15" s="377">
        <f>+AJ15/AK15</f>
        <v>1</v>
      </c>
      <c r="AM15" s="378" t="s">
        <v>2296</v>
      </c>
      <c r="AN15" s="396" t="s">
        <v>2297</v>
      </c>
      <c r="AO15" s="380">
        <v>91</v>
      </c>
      <c r="AP15" s="376">
        <v>91</v>
      </c>
      <c r="AQ15" s="377">
        <f>+AO15/AP15</f>
        <v>1</v>
      </c>
      <c r="AR15" s="379" t="s">
        <v>2298</v>
      </c>
      <c r="AS15" s="396" t="s">
        <v>2299</v>
      </c>
      <c r="AT15" s="376">
        <v>68</v>
      </c>
      <c r="AU15" s="376">
        <v>68</v>
      </c>
      <c r="AV15" s="377">
        <f>+AT15/AU15</f>
        <v>1</v>
      </c>
      <c r="AW15" s="378" t="s">
        <v>2300</v>
      </c>
      <c r="AX15" s="396" t="s">
        <v>2301</v>
      </c>
      <c r="AY15" s="380">
        <v>51</v>
      </c>
      <c r="AZ15" s="376">
        <v>51</v>
      </c>
      <c r="BA15" s="377">
        <f>+AY15/AZ15</f>
        <v>1</v>
      </c>
      <c r="BB15" s="379" t="s">
        <v>2302</v>
      </c>
      <c r="BC15" s="396" t="s">
        <v>2303</v>
      </c>
      <c r="BD15" s="376">
        <v>67</v>
      </c>
      <c r="BE15" s="376">
        <v>69</v>
      </c>
      <c r="BF15" s="377">
        <f>+BD15/BE15</f>
        <v>0.97101449275362317</v>
      </c>
      <c r="BG15" s="378" t="s">
        <v>2304</v>
      </c>
      <c r="BH15" s="396" t="s">
        <v>2263</v>
      </c>
      <c r="BI15" s="380">
        <v>80</v>
      </c>
      <c r="BJ15" s="376">
        <v>81</v>
      </c>
      <c r="BK15" s="377">
        <f>+BI15/BJ15</f>
        <v>0.98765432098765427</v>
      </c>
      <c r="BL15" s="378" t="s">
        <v>2305</v>
      </c>
      <c r="BM15" s="396" t="s">
        <v>2306</v>
      </c>
      <c r="BN15" s="380">
        <v>69</v>
      </c>
      <c r="BO15" s="376">
        <v>69</v>
      </c>
      <c r="BP15" s="377">
        <f>+BN15/BO15</f>
        <v>1</v>
      </c>
      <c r="BQ15" s="378" t="s">
        <v>5435</v>
      </c>
      <c r="BR15" s="396" t="s">
        <v>5242</v>
      </c>
      <c r="BS15" s="380">
        <v>85</v>
      </c>
      <c r="BT15" s="376">
        <v>87</v>
      </c>
      <c r="BU15" s="377">
        <v>0.98</v>
      </c>
      <c r="BV15" s="378" t="s">
        <v>5434</v>
      </c>
      <c r="BW15" s="396" t="s">
        <v>5433</v>
      </c>
      <c r="BX15" s="376">
        <v>57</v>
      </c>
      <c r="BY15" s="376">
        <v>59</v>
      </c>
      <c r="BZ15" s="377">
        <f>BX15/BY15</f>
        <v>0.96610169491525422</v>
      </c>
      <c r="CA15" s="378" t="s">
        <v>5432</v>
      </c>
      <c r="CB15" s="378" t="s">
        <v>5431</v>
      </c>
      <c r="CC15" s="378" t="s">
        <v>5430</v>
      </c>
      <c r="CD15" s="385"/>
      <c r="CE15" s="386">
        <f>+U15+Z15+AE15+AJ15+AO15+AT15+AY15+BD15+BI15+BN15+BS15+BX15</f>
        <v>795</v>
      </c>
      <c r="CF15" s="386">
        <f>+V15+AA15+AF15+AK15+AP15+AU15+AZ15+BE15+BJ15+BO15+BT15+BY15</f>
        <v>814</v>
      </c>
      <c r="CG15" s="387">
        <f>+CE15/CF15</f>
        <v>0.9766584766584766</v>
      </c>
      <c r="CH15" s="387">
        <f>+CG15</f>
        <v>0.9766584766584766</v>
      </c>
      <c r="CI15" s="387">
        <f>+T15</f>
        <v>1</v>
      </c>
      <c r="CJ15" s="387">
        <f>+CH15/CI15</f>
        <v>0.9766584766584766</v>
      </c>
      <c r="CK15" s="388"/>
      <c r="CL15" s="389"/>
    </row>
    <row r="16" spans="2:90" s="621" customFormat="1" ht="409.6" customHeight="1" x14ac:dyDescent="0.25">
      <c r="B16" s="369" t="s">
        <v>24</v>
      </c>
      <c r="C16" s="369" t="s">
        <v>70</v>
      </c>
      <c r="D16" s="372" t="s">
        <v>65</v>
      </c>
      <c r="E16" s="885" t="s">
        <v>2307</v>
      </c>
      <c r="F16" s="371" t="s">
        <v>2240</v>
      </c>
      <c r="G16" s="883" t="s">
        <v>2308</v>
      </c>
      <c r="H16" s="883" t="s">
        <v>2309</v>
      </c>
      <c r="I16" s="438" t="s">
        <v>5429</v>
      </c>
      <c r="J16" s="884" t="s">
        <v>2244</v>
      </c>
      <c r="K16" s="883" t="s">
        <v>2310</v>
      </c>
      <c r="L16" s="883" t="s">
        <v>2311</v>
      </c>
      <c r="M16" s="454" t="s">
        <v>2289</v>
      </c>
      <c r="N16" s="438" t="s">
        <v>2248</v>
      </c>
      <c r="O16" s="438" t="s">
        <v>2290</v>
      </c>
      <c r="P16" s="438" t="s">
        <v>1777</v>
      </c>
      <c r="Q16" s="438" t="s">
        <v>30</v>
      </c>
      <c r="R16" s="397">
        <v>0.92</v>
      </c>
      <c r="S16" s="438" t="s">
        <v>2248</v>
      </c>
      <c r="T16" s="397">
        <v>1</v>
      </c>
      <c r="U16" s="376"/>
      <c r="V16" s="376"/>
      <c r="W16" s="377"/>
      <c r="X16" s="395" t="s">
        <v>2312</v>
      </c>
      <c r="Y16" s="395" t="s">
        <v>2293</v>
      </c>
      <c r="Z16" s="376"/>
      <c r="AA16" s="376"/>
      <c r="AB16" s="377"/>
      <c r="AC16" s="395" t="s">
        <v>2313</v>
      </c>
      <c r="AD16" s="396" t="s">
        <v>2293</v>
      </c>
      <c r="AE16" s="380">
        <v>2</v>
      </c>
      <c r="AF16" s="376">
        <v>26</v>
      </c>
      <c r="AG16" s="377">
        <f>+AE16/AF16</f>
        <v>7.6923076923076927E-2</v>
      </c>
      <c r="AH16" s="395" t="s">
        <v>2314</v>
      </c>
      <c r="AI16" s="396" t="s">
        <v>2315</v>
      </c>
      <c r="AJ16" s="376"/>
      <c r="AK16" s="376"/>
      <c r="AL16" s="377"/>
      <c r="AM16" s="378" t="s">
        <v>2316</v>
      </c>
      <c r="AN16" s="396" t="s">
        <v>2297</v>
      </c>
      <c r="AO16" s="380"/>
      <c r="AP16" s="376"/>
      <c r="AQ16" s="377"/>
      <c r="AR16" s="395" t="s">
        <v>2317</v>
      </c>
      <c r="AS16" s="396" t="s">
        <v>2299</v>
      </c>
      <c r="AT16" s="376">
        <v>8</v>
      </c>
      <c r="AU16" s="376">
        <v>8</v>
      </c>
      <c r="AV16" s="377">
        <f>+AT16/AU16</f>
        <v>1</v>
      </c>
      <c r="AW16" s="395" t="s">
        <v>2318</v>
      </c>
      <c r="AX16" s="396" t="s">
        <v>2301</v>
      </c>
      <c r="AY16" s="380"/>
      <c r="AZ16" s="376"/>
      <c r="BA16" s="377"/>
      <c r="BB16" s="379" t="s">
        <v>2319</v>
      </c>
      <c r="BC16" s="396" t="s">
        <v>2303</v>
      </c>
      <c r="BD16" s="376"/>
      <c r="BE16" s="376"/>
      <c r="BF16" s="377"/>
      <c r="BG16" s="378" t="s">
        <v>2320</v>
      </c>
      <c r="BH16" s="396" t="s">
        <v>2321</v>
      </c>
      <c r="BI16" s="380">
        <v>22</v>
      </c>
      <c r="BJ16" s="376">
        <v>37</v>
      </c>
      <c r="BK16" s="377">
        <f>+BI16/BJ16</f>
        <v>0.59459459459459463</v>
      </c>
      <c r="BL16" s="378" t="s">
        <v>2322</v>
      </c>
      <c r="BM16" s="396" t="s">
        <v>2323</v>
      </c>
      <c r="BN16" s="376"/>
      <c r="BO16" s="376"/>
      <c r="BP16" s="377"/>
      <c r="BQ16" s="378" t="s">
        <v>5428</v>
      </c>
      <c r="BR16" s="396" t="s">
        <v>5376</v>
      </c>
      <c r="BS16" s="376"/>
      <c r="BT16" s="376"/>
      <c r="BU16" s="377"/>
      <c r="BV16" s="378" t="s">
        <v>5427</v>
      </c>
      <c r="BW16" s="396" t="s">
        <v>5426</v>
      </c>
      <c r="BX16" s="376">
        <v>6</v>
      </c>
      <c r="BY16" s="376">
        <v>6</v>
      </c>
      <c r="BZ16" s="377">
        <f>BX16/BY16</f>
        <v>1</v>
      </c>
      <c r="CA16" s="378" t="s">
        <v>5425</v>
      </c>
      <c r="CB16" s="378" t="s">
        <v>5424</v>
      </c>
      <c r="CC16" s="378" t="s">
        <v>5423</v>
      </c>
      <c r="CD16" s="385"/>
      <c r="CE16" s="386">
        <f>+U16+Z16+AE16+AJ16+AO16+AT16+AY16+BD16+BI16+BN16+BS16+BX16</f>
        <v>38</v>
      </c>
      <c r="CF16" s="386">
        <f>+V16+AA16+AF16+AK16+AP16+AU16+AZ16+BE16+BJ16+BO16+BT16+BY16</f>
        <v>77</v>
      </c>
      <c r="CG16" s="387">
        <f>+CE16/CF16</f>
        <v>0.4935064935064935</v>
      </c>
      <c r="CH16" s="387">
        <f>+CG16</f>
        <v>0.4935064935064935</v>
      </c>
      <c r="CI16" s="387">
        <f>+T16</f>
        <v>1</v>
      </c>
      <c r="CJ16" s="387">
        <f>+CH16/CI16</f>
        <v>0.4935064935064935</v>
      </c>
      <c r="CK16" s="388"/>
      <c r="CL16" s="389"/>
    </row>
    <row r="17" spans="2:89" s="401" customFormat="1" ht="180" x14ac:dyDescent="0.25">
      <c r="B17" s="402" t="s">
        <v>39</v>
      </c>
      <c r="C17" s="402" t="s">
        <v>2238</v>
      </c>
      <c r="D17" s="402" t="s">
        <v>65</v>
      </c>
      <c r="E17" s="403" t="s">
        <v>2324</v>
      </c>
      <c r="F17" s="404" t="s">
        <v>2325</v>
      </c>
      <c r="G17" s="405" t="s">
        <v>2326</v>
      </c>
      <c r="H17" s="405" t="s">
        <v>2327</v>
      </c>
      <c r="I17" s="405" t="s">
        <v>2328</v>
      </c>
      <c r="J17" s="403" t="s">
        <v>2329</v>
      </c>
      <c r="K17" s="406" t="s">
        <v>2330</v>
      </c>
      <c r="L17" s="406" t="s">
        <v>2331</v>
      </c>
      <c r="M17" s="406" t="s">
        <v>2332</v>
      </c>
      <c r="N17" s="402" t="s">
        <v>2248</v>
      </c>
      <c r="O17" s="406" t="s">
        <v>2333</v>
      </c>
      <c r="P17" s="407" t="s">
        <v>1777</v>
      </c>
      <c r="Q17" s="408" t="s">
        <v>60</v>
      </c>
      <c r="R17" s="377" t="s">
        <v>2291</v>
      </c>
      <c r="S17" s="377" t="s">
        <v>2291</v>
      </c>
      <c r="T17" s="377">
        <v>1</v>
      </c>
      <c r="U17" s="393"/>
      <c r="V17" s="393"/>
      <c r="W17" s="394"/>
      <c r="X17" s="409"/>
      <c r="Y17" s="410"/>
      <c r="Z17" s="393"/>
      <c r="AA17" s="393"/>
      <c r="AB17" s="394"/>
      <c r="AC17" s="394"/>
      <c r="AD17" s="411"/>
      <c r="AE17" s="392"/>
      <c r="AF17" s="393"/>
      <c r="AG17" s="394"/>
      <c r="AH17" s="409"/>
      <c r="AI17" s="410"/>
      <c r="AJ17" s="393"/>
      <c r="AK17" s="393"/>
      <c r="AL17" s="394"/>
      <c r="AM17" s="406" t="s">
        <v>2334</v>
      </c>
      <c r="AN17" s="411" t="s">
        <v>2335</v>
      </c>
      <c r="AO17" s="392"/>
      <c r="AP17" s="393"/>
      <c r="AQ17" s="394"/>
      <c r="AR17" s="412" t="s">
        <v>2336</v>
      </c>
      <c r="AS17" s="411" t="s">
        <v>2337</v>
      </c>
      <c r="AT17" s="376">
        <v>1</v>
      </c>
      <c r="AU17" s="376">
        <v>1</v>
      </c>
      <c r="AV17" s="377">
        <v>1</v>
      </c>
      <c r="AW17" s="412" t="s">
        <v>2338</v>
      </c>
      <c r="AX17" s="411" t="s">
        <v>5422</v>
      </c>
      <c r="AY17" s="392"/>
      <c r="AZ17" s="393"/>
      <c r="BA17" s="394"/>
      <c r="BB17" s="412" t="s">
        <v>2339</v>
      </c>
      <c r="BC17" s="411" t="s">
        <v>2340</v>
      </c>
      <c r="BD17" s="393"/>
      <c r="BE17" s="393"/>
      <c r="BF17" s="394"/>
      <c r="BG17" s="379" t="s">
        <v>2341</v>
      </c>
      <c r="BH17" s="396" t="s">
        <v>2342</v>
      </c>
      <c r="BI17" s="392">
        <v>1</v>
      </c>
      <c r="BJ17" s="393">
        <v>1</v>
      </c>
      <c r="BK17" s="394">
        <v>1</v>
      </c>
      <c r="BL17" s="379" t="s">
        <v>2343</v>
      </c>
      <c r="BM17" s="561" t="s">
        <v>2344</v>
      </c>
      <c r="BN17" s="393"/>
      <c r="BO17" s="393"/>
      <c r="BP17" s="394"/>
      <c r="BQ17" s="379" t="s">
        <v>5421</v>
      </c>
      <c r="BR17" s="561" t="s">
        <v>4857</v>
      </c>
      <c r="BS17" s="392"/>
      <c r="BT17" s="393"/>
      <c r="BU17" s="394"/>
      <c r="BV17" s="379" t="s">
        <v>5420</v>
      </c>
      <c r="BW17" s="561" t="s">
        <v>5401</v>
      </c>
      <c r="BX17" s="393">
        <v>1</v>
      </c>
      <c r="BY17" s="393">
        <v>1</v>
      </c>
      <c r="BZ17" s="394">
        <v>1</v>
      </c>
      <c r="CA17" s="379" t="s">
        <v>5419</v>
      </c>
      <c r="CB17" s="561" t="s">
        <v>5418</v>
      </c>
      <c r="CC17" s="378" t="s">
        <v>5417</v>
      </c>
      <c r="CE17" s="415">
        <f>BX17</f>
        <v>1</v>
      </c>
      <c r="CF17" s="415">
        <f>BY17</f>
        <v>1</v>
      </c>
      <c r="CG17" s="416">
        <f>CE17/CF17</f>
        <v>1</v>
      </c>
      <c r="CH17" s="416">
        <f>CG17</f>
        <v>1</v>
      </c>
      <c r="CI17" s="416">
        <f>T17</f>
        <v>1</v>
      </c>
      <c r="CJ17" s="416">
        <f>CH17/CI17</f>
        <v>1</v>
      </c>
      <c r="CK17" s="415"/>
    </row>
    <row r="18" spans="2:89" s="401" customFormat="1" ht="177" customHeight="1" x14ac:dyDescent="0.25">
      <c r="B18" s="402" t="s">
        <v>39</v>
      </c>
      <c r="C18" s="402" t="s">
        <v>2238</v>
      </c>
      <c r="D18" s="402" t="s">
        <v>65</v>
      </c>
      <c r="E18" s="403" t="s">
        <v>2345</v>
      </c>
      <c r="F18" s="404" t="s">
        <v>2325</v>
      </c>
      <c r="G18" s="405" t="s">
        <v>2346</v>
      </c>
      <c r="H18" s="405" t="s">
        <v>2347</v>
      </c>
      <c r="I18" s="405" t="s">
        <v>2328</v>
      </c>
      <c r="J18" s="403" t="s">
        <v>2329</v>
      </c>
      <c r="K18" s="406" t="s">
        <v>2348</v>
      </c>
      <c r="L18" s="406" t="s">
        <v>2349</v>
      </c>
      <c r="M18" s="406" t="s">
        <v>2350</v>
      </c>
      <c r="N18" s="402" t="s">
        <v>2248</v>
      </c>
      <c r="O18" s="372" t="s">
        <v>2351</v>
      </c>
      <c r="P18" s="407" t="s">
        <v>1777</v>
      </c>
      <c r="Q18" s="408" t="s">
        <v>30</v>
      </c>
      <c r="R18" s="377" t="s">
        <v>2291</v>
      </c>
      <c r="S18" s="377" t="s">
        <v>2291</v>
      </c>
      <c r="T18" s="377">
        <v>1</v>
      </c>
      <c r="U18" s="393"/>
      <c r="V18" s="393"/>
      <c r="W18" s="394"/>
      <c r="X18" s="409"/>
      <c r="Y18" s="410"/>
      <c r="Z18" s="393"/>
      <c r="AA18" s="393"/>
      <c r="AB18" s="394"/>
      <c r="AC18" s="394"/>
      <c r="AD18" s="411"/>
      <c r="AE18" s="392"/>
      <c r="AF18" s="393"/>
      <c r="AG18" s="394"/>
      <c r="AH18" s="409"/>
      <c r="AI18" s="410"/>
      <c r="AJ18" s="393"/>
      <c r="AK18" s="393"/>
      <c r="AL18" s="394"/>
      <c r="AM18" s="381" t="s">
        <v>2352</v>
      </c>
      <c r="AN18" s="411" t="s">
        <v>2335</v>
      </c>
      <c r="AO18" s="392"/>
      <c r="AP18" s="393"/>
      <c r="AQ18" s="394"/>
      <c r="AR18" s="381" t="s">
        <v>2353</v>
      </c>
      <c r="AS18" s="411" t="s">
        <v>2337</v>
      </c>
      <c r="AT18" s="376">
        <v>0</v>
      </c>
      <c r="AU18" s="376">
        <v>0</v>
      </c>
      <c r="AV18" s="377">
        <v>1</v>
      </c>
      <c r="AW18" s="381" t="s">
        <v>2354</v>
      </c>
      <c r="AX18" s="411" t="s">
        <v>2355</v>
      </c>
      <c r="AY18" s="392"/>
      <c r="AZ18" s="393"/>
      <c r="BA18" s="394"/>
      <c r="BB18" s="412" t="s">
        <v>2356</v>
      </c>
      <c r="BC18" s="411" t="s">
        <v>2340</v>
      </c>
      <c r="BD18" s="393"/>
      <c r="BE18" s="393"/>
      <c r="BF18" s="394"/>
      <c r="BG18" s="378" t="s">
        <v>2357</v>
      </c>
      <c r="BH18" s="396" t="s">
        <v>2342</v>
      </c>
      <c r="BI18" s="392">
        <v>3</v>
      </c>
      <c r="BJ18" s="393">
        <v>3</v>
      </c>
      <c r="BK18" s="394">
        <v>1</v>
      </c>
      <c r="BL18" s="378" t="s">
        <v>2358</v>
      </c>
      <c r="BM18" s="561" t="s">
        <v>2344</v>
      </c>
      <c r="BN18" s="393"/>
      <c r="BO18" s="393"/>
      <c r="BP18" s="394"/>
      <c r="BQ18" s="396" t="s">
        <v>5416</v>
      </c>
      <c r="BR18" s="561" t="s">
        <v>4857</v>
      </c>
      <c r="BS18" s="392"/>
      <c r="BT18" s="393"/>
      <c r="BU18" s="394"/>
      <c r="BV18" s="378" t="s">
        <v>5415</v>
      </c>
      <c r="BW18" s="561" t="s">
        <v>5401</v>
      </c>
      <c r="BX18" s="393">
        <v>4</v>
      </c>
      <c r="BY18" s="393">
        <v>4</v>
      </c>
      <c r="BZ18" s="394">
        <v>1</v>
      </c>
      <c r="CA18" s="378" t="s">
        <v>5414</v>
      </c>
      <c r="CB18" s="561" t="s">
        <v>5399</v>
      </c>
      <c r="CC18" s="378" t="s">
        <v>5413</v>
      </c>
      <c r="CE18" s="432">
        <f>AVERAGE(BX18,BI18,AT18)</f>
        <v>2.3333333333333335</v>
      </c>
      <c r="CF18" s="432">
        <f>AVERAGE(BY18,BJ18,AU18)</f>
        <v>2.3333333333333335</v>
      </c>
      <c r="CG18" s="416">
        <f>CE18/CF18</f>
        <v>1</v>
      </c>
      <c r="CH18" s="416">
        <f>CG18</f>
        <v>1</v>
      </c>
      <c r="CI18" s="416">
        <f>T18</f>
        <v>1</v>
      </c>
      <c r="CJ18" s="416">
        <f>CH18/CI18</f>
        <v>1</v>
      </c>
      <c r="CK18" s="415"/>
    </row>
    <row r="19" spans="2:89" s="389" customFormat="1" ht="198.75" customHeight="1" x14ac:dyDescent="0.25">
      <c r="B19" s="369" t="s">
        <v>39</v>
      </c>
      <c r="C19" s="369" t="s">
        <v>2238</v>
      </c>
      <c r="D19" s="369" t="s">
        <v>65</v>
      </c>
      <c r="E19" s="370" t="s">
        <v>2359</v>
      </c>
      <c r="F19" s="371" t="s">
        <v>2325</v>
      </c>
      <c r="G19" s="418" t="s">
        <v>2360</v>
      </c>
      <c r="H19" s="418" t="s">
        <v>2361</v>
      </c>
      <c r="I19" s="418" t="s">
        <v>2328</v>
      </c>
      <c r="J19" s="370" t="s">
        <v>2329</v>
      </c>
      <c r="K19" s="372" t="s">
        <v>2362</v>
      </c>
      <c r="L19" s="372" t="s">
        <v>2363</v>
      </c>
      <c r="M19" s="372" t="s">
        <v>2364</v>
      </c>
      <c r="N19" s="369" t="s">
        <v>2248</v>
      </c>
      <c r="O19" s="372" t="s">
        <v>2365</v>
      </c>
      <c r="P19" s="419" t="s">
        <v>2366</v>
      </c>
      <c r="Q19" s="420" t="s">
        <v>30</v>
      </c>
      <c r="R19" s="373" t="s">
        <v>2291</v>
      </c>
      <c r="S19" s="373" t="s">
        <v>2291</v>
      </c>
      <c r="T19" s="373">
        <v>1</v>
      </c>
      <c r="U19" s="421"/>
      <c r="V19" s="421"/>
      <c r="W19" s="422"/>
      <c r="X19" s="423"/>
      <c r="Y19" s="424"/>
      <c r="Z19" s="421"/>
      <c r="AA19" s="421"/>
      <c r="AB19" s="422"/>
      <c r="AC19" s="422"/>
      <c r="AD19" s="413"/>
      <c r="AE19" s="425"/>
      <c r="AF19" s="421"/>
      <c r="AG19" s="422"/>
      <c r="AH19" s="423"/>
      <c r="AI19" s="424"/>
      <c r="AJ19" s="421"/>
      <c r="AK19" s="421"/>
      <c r="AL19" s="422"/>
      <c r="AM19" s="413" t="s">
        <v>2367</v>
      </c>
      <c r="AN19" s="413" t="s">
        <v>2335</v>
      </c>
      <c r="AO19" s="425"/>
      <c r="AP19" s="421"/>
      <c r="AQ19" s="422"/>
      <c r="AR19" s="426" t="s">
        <v>2368</v>
      </c>
      <c r="AS19" s="413" t="s">
        <v>2337</v>
      </c>
      <c r="AT19" s="427">
        <v>0</v>
      </c>
      <c r="AU19" s="427">
        <v>0</v>
      </c>
      <c r="AV19" s="373">
        <v>1</v>
      </c>
      <c r="AW19" s="426" t="s">
        <v>2369</v>
      </c>
      <c r="AX19" s="413" t="s">
        <v>2344</v>
      </c>
      <c r="AY19" s="425"/>
      <c r="AZ19" s="421"/>
      <c r="BA19" s="422"/>
      <c r="BB19" s="428" t="s">
        <v>2370</v>
      </c>
      <c r="BC19" s="413" t="s">
        <v>2340</v>
      </c>
      <c r="BD19" s="421"/>
      <c r="BE19" s="421"/>
      <c r="BF19" s="422"/>
      <c r="BG19" s="882" t="s">
        <v>2371</v>
      </c>
      <c r="BH19" s="561" t="s">
        <v>2342</v>
      </c>
      <c r="BI19" s="429"/>
      <c r="BJ19" s="430"/>
      <c r="BK19" s="431"/>
      <c r="BL19" s="882" t="s">
        <v>5412</v>
      </c>
      <c r="BM19" s="396" t="s">
        <v>2372</v>
      </c>
      <c r="BN19" s="421"/>
      <c r="BO19" s="421"/>
      <c r="BP19" s="422"/>
      <c r="BQ19" s="882" t="s">
        <v>5411</v>
      </c>
      <c r="BR19" s="561" t="s">
        <v>4857</v>
      </c>
      <c r="BS19" s="425"/>
      <c r="BT19" s="421"/>
      <c r="BU19" s="422"/>
      <c r="BV19" s="882" t="s">
        <v>5410</v>
      </c>
      <c r="BW19" s="561" t="s">
        <v>5401</v>
      </c>
      <c r="BX19" s="421">
        <v>1</v>
      </c>
      <c r="BY19" s="421">
        <v>1</v>
      </c>
      <c r="BZ19" s="422">
        <v>1</v>
      </c>
      <c r="CA19" s="882" t="s">
        <v>5409</v>
      </c>
      <c r="CB19" s="561" t="s">
        <v>5399</v>
      </c>
      <c r="CC19" s="378" t="s">
        <v>5408</v>
      </c>
      <c r="CE19" s="432">
        <f>AVERAGE(BX19,AT19)</f>
        <v>0.5</v>
      </c>
      <c r="CF19" s="432">
        <f>AVERAGE(BY19,AU19)</f>
        <v>0.5</v>
      </c>
      <c r="CG19" s="416">
        <f>CE19/CF19</f>
        <v>1</v>
      </c>
      <c r="CH19" s="416">
        <f>CG19</f>
        <v>1</v>
      </c>
      <c r="CI19" s="416">
        <f>T19</f>
        <v>1</v>
      </c>
      <c r="CJ19" s="416">
        <f>CH19/CI19</f>
        <v>1</v>
      </c>
      <c r="CK19" s="388"/>
    </row>
    <row r="20" spans="2:89" s="401" customFormat="1" ht="168" x14ac:dyDescent="0.25">
      <c r="B20" s="402" t="s">
        <v>39</v>
      </c>
      <c r="C20" s="402" t="s">
        <v>2238</v>
      </c>
      <c r="D20" s="402" t="s">
        <v>65</v>
      </c>
      <c r="E20" s="403" t="s">
        <v>2373</v>
      </c>
      <c r="F20" s="404" t="s">
        <v>2325</v>
      </c>
      <c r="G20" s="405" t="s">
        <v>2374</v>
      </c>
      <c r="H20" s="405" t="s">
        <v>2375</v>
      </c>
      <c r="I20" s="405" t="s">
        <v>2328</v>
      </c>
      <c r="J20" s="403" t="s">
        <v>2329</v>
      </c>
      <c r="K20" s="406" t="s">
        <v>2376</v>
      </c>
      <c r="L20" s="406" t="s">
        <v>2377</v>
      </c>
      <c r="M20" s="406" t="s">
        <v>2378</v>
      </c>
      <c r="N20" s="402" t="s">
        <v>2248</v>
      </c>
      <c r="O20" s="372" t="s">
        <v>2379</v>
      </c>
      <c r="P20" s="407" t="s">
        <v>1777</v>
      </c>
      <c r="Q20" s="408" t="s">
        <v>30</v>
      </c>
      <c r="R20" s="377" t="s">
        <v>2291</v>
      </c>
      <c r="S20" s="377" t="s">
        <v>2291</v>
      </c>
      <c r="T20" s="377">
        <v>1</v>
      </c>
      <c r="U20" s="393"/>
      <c r="V20" s="393"/>
      <c r="W20" s="394"/>
      <c r="X20" s="409"/>
      <c r="Y20" s="410"/>
      <c r="Z20" s="393"/>
      <c r="AA20" s="393"/>
      <c r="AB20" s="394"/>
      <c r="AC20" s="394"/>
      <c r="AD20" s="411"/>
      <c r="AE20" s="392"/>
      <c r="AF20" s="393"/>
      <c r="AG20" s="394"/>
      <c r="AH20" s="409"/>
      <c r="AI20" s="410"/>
      <c r="AJ20" s="393"/>
      <c r="AK20" s="393"/>
      <c r="AL20" s="394"/>
      <c r="AM20" s="405" t="s">
        <v>2380</v>
      </c>
      <c r="AN20" s="411" t="s">
        <v>2335</v>
      </c>
      <c r="AO20" s="392"/>
      <c r="AP20" s="393"/>
      <c r="AQ20" s="394"/>
      <c r="AR20" s="405" t="s">
        <v>2381</v>
      </c>
      <c r="AS20" s="411" t="s">
        <v>2337</v>
      </c>
      <c r="AT20" s="376">
        <v>13</v>
      </c>
      <c r="AU20" s="376">
        <v>13</v>
      </c>
      <c r="AV20" s="377">
        <f>+AT20/AU20</f>
        <v>1</v>
      </c>
      <c r="AW20" s="405" t="s">
        <v>2382</v>
      </c>
      <c r="AX20" s="411" t="s">
        <v>2383</v>
      </c>
      <c r="AY20" s="392"/>
      <c r="AZ20" s="393"/>
      <c r="BA20" s="394"/>
      <c r="BB20" s="412" t="s">
        <v>2384</v>
      </c>
      <c r="BC20" s="411" t="s">
        <v>2340</v>
      </c>
      <c r="BD20" s="393"/>
      <c r="BE20" s="393"/>
      <c r="BF20" s="394"/>
      <c r="BG20" s="379" t="s">
        <v>2385</v>
      </c>
      <c r="BH20" s="396" t="s">
        <v>2342</v>
      </c>
      <c r="BI20" s="392">
        <v>13</v>
      </c>
      <c r="BJ20" s="393">
        <v>13</v>
      </c>
      <c r="BK20" s="394">
        <v>1</v>
      </c>
      <c r="BL20" s="379" t="s">
        <v>2386</v>
      </c>
      <c r="BM20" s="561" t="s">
        <v>2344</v>
      </c>
      <c r="BN20" s="393"/>
      <c r="BO20" s="393"/>
      <c r="BP20" s="394"/>
      <c r="BQ20" s="379" t="s">
        <v>5407</v>
      </c>
      <c r="BR20" s="561" t="s">
        <v>4857</v>
      </c>
      <c r="BS20" s="392"/>
      <c r="BT20" s="393"/>
      <c r="BU20" s="394"/>
      <c r="BV20" s="379" t="s">
        <v>5406</v>
      </c>
      <c r="BW20" s="561" t="s">
        <v>5401</v>
      </c>
      <c r="BX20" s="393">
        <v>16</v>
      </c>
      <c r="BY20" s="393">
        <v>16</v>
      </c>
      <c r="BZ20" s="394">
        <v>1</v>
      </c>
      <c r="CA20" s="379" t="s">
        <v>5405</v>
      </c>
      <c r="CB20" s="561" t="s">
        <v>5399</v>
      </c>
      <c r="CC20" s="378" t="s">
        <v>5404</v>
      </c>
      <c r="CE20" s="432">
        <f>AVERAGE(BX20,BI20,AT20)</f>
        <v>14</v>
      </c>
      <c r="CF20" s="432">
        <f>AVERAGE(BY20,BJ20,AU20)</f>
        <v>14</v>
      </c>
      <c r="CG20" s="416">
        <f>CE20/CF20</f>
        <v>1</v>
      </c>
      <c r="CH20" s="416">
        <f>CG20</f>
        <v>1</v>
      </c>
      <c r="CI20" s="416">
        <f>T20</f>
        <v>1</v>
      </c>
      <c r="CJ20" s="416">
        <f>CH20/CI20</f>
        <v>1</v>
      </c>
      <c r="CK20" s="415"/>
    </row>
    <row r="21" spans="2:89" s="401" customFormat="1" ht="192" x14ac:dyDescent="0.25">
      <c r="B21" s="402" t="s">
        <v>39</v>
      </c>
      <c r="C21" s="402" t="s">
        <v>2238</v>
      </c>
      <c r="D21" s="402" t="s">
        <v>65</v>
      </c>
      <c r="E21" s="403" t="s">
        <v>2387</v>
      </c>
      <c r="F21" s="404" t="s">
        <v>2325</v>
      </c>
      <c r="G21" s="405" t="s">
        <v>2388</v>
      </c>
      <c r="H21" s="405" t="s">
        <v>2389</v>
      </c>
      <c r="I21" s="405" t="s">
        <v>2328</v>
      </c>
      <c r="J21" s="403" t="s">
        <v>2329</v>
      </c>
      <c r="K21" s="406" t="s">
        <v>2390</v>
      </c>
      <c r="L21" s="406" t="s">
        <v>2391</v>
      </c>
      <c r="M21" s="406" t="s">
        <v>2392</v>
      </c>
      <c r="N21" s="402" t="s">
        <v>2248</v>
      </c>
      <c r="O21" s="406" t="s">
        <v>2393</v>
      </c>
      <c r="P21" s="407" t="s">
        <v>1777</v>
      </c>
      <c r="Q21" s="408" t="s">
        <v>30</v>
      </c>
      <c r="R21" s="377" t="s">
        <v>2291</v>
      </c>
      <c r="S21" s="377" t="s">
        <v>2291</v>
      </c>
      <c r="T21" s="377">
        <v>1</v>
      </c>
      <c r="U21" s="393"/>
      <c r="V21" s="393"/>
      <c r="W21" s="394"/>
      <c r="X21" s="409"/>
      <c r="Y21" s="410"/>
      <c r="Z21" s="393"/>
      <c r="AA21" s="393"/>
      <c r="AB21" s="394"/>
      <c r="AC21" s="394"/>
      <c r="AD21" s="411"/>
      <c r="AE21" s="392"/>
      <c r="AF21" s="393"/>
      <c r="AG21" s="394"/>
      <c r="AH21" s="409"/>
      <c r="AI21" s="410"/>
      <c r="AJ21" s="393"/>
      <c r="AK21" s="393"/>
      <c r="AL21" s="394"/>
      <c r="AM21" s="381" t="s">
        <v>2394</v>
      </c>
      <c r="AN21" s="411" t="s">
        <v>2335</v>
      </c>
      <c r="AO21" s="392"/>
      <c r="AP21" s="393"/>
      <c r="AQ21" s="394"/>
      <c r="AR21" s="381" t="s">
        <v>2395</v>
      </c>
      <c r="AS21" s="411" t="s">
        <v>2337</v>
      </c>
      <c r="AT21" s="376">
        <v>136</v>
      </c>
      <c r="AU21" s="376">
        <v>136</v>
      </c>
      <c r="AV21" s="377">
        <f>+AT21/AU21</f>
        <v>1</v>
      </c>
      <c r="AW21" s="381" t="s">
        <v>2396</v>
      </c>
      <c r="AX21" s="411" t="s">
        <v>2397</v>
      </c>
      <c r="AY21" s="392"/>
      <c r="AZ21" s="393"/>
      <c r="BA21" s="394"/>
      <c r="BB21" s="381" t="s">
        <v>2398</v>
      </c>
      <c r="BC21" s="411" t="s">
        <v>2340</v>
      </c>
      <c r="BD21" s="393"/>
      <c r="BE21" s="393"/>
      <c r="BF21" s="394"/>
      <c r="BG21" s="378" t="s">
        <v>2399</v>
      </c>
      <c r="BH21" s="396" t="s">
        <v>2342</v>
      </c>
      <c r="BI21" s="392">
        <v>118</v>
      </c>
      <c r="BJ21" s="393">
        <v>118</v>
      </c>
      <c r="BK21" s="394">
        <v>1</v>
      </c>
      <c r="BL21" s="378" t="s">
        <v>2400</v>
      </c>
      <c r="BM21" s="561" t="s">
        <v>2344</v>
      </c>
      <c r="BN21" s="393"/>
      <c r="BO21" s="393"/>
      <c r="BP21" s="394"/>
      <c r="BQ21" s="378" t="s">
        <v>5403</v>
      </c>
      <c r="BR21" s="561" t="s">
        <v>4857</v>
      </c>
      <c r="BS21" s="392"/>
      <c r="BT21" s="393"/>
      <c r="BU21" s="394"/>
      <c r="BV21" s="378" t="s">
        <v>5402</v>
      </c>
      <c r="BW21" s="561" t="s">
        <v>5401</v>
      </c>
      <c r="BX21" s="376">
        <v>103</v>
      </c>
      <c r="BY21" s="393">
        <v>103</v>
      </c>
      <c r="BZ21" s="394">
        <v>1</v>
      </c>
      <c r="CA21" s="378" t="s">
        <v>5400</v>
      </c>
      <c r="CB21" s="561" t="s">
        <v>5399</v>
      </c>
      <c r="CC21" s="378" t="s">
        <v>5398</v>
      </c>
      <c r="CE21" s="432">
        <f>AVERAGE(BX21,BI21,AT21)</f>
        <v>119</v>
      </c>
      <c r="CF21" s="432">
        <f>AVERAGE(BY21,BJ21,AU21)</f>
        <v>119</v>
      </c>
      <c r="CG21" s="416">
        <f>CE21/CF21</f>
        <v>1</v>
      </c>
      <c r="CH21" s="416">
        <f>CG21</f>
        <v>1</v>
      </c>
      <c r="CI21" s="416">
        <f>T21</f>
        <v>1</v>
      </c>
      <c r="CJ21" s="416">
        <f>CH21/CI21</f>
        <v>1</v>
      </c>
      <c r="CK21" s="415"/>
    </row>
    <row r="22" spans="2:89" s="389" customFormat="1" ht="168" x14ac:dyDescent="0.25">
      <c r="B22" s="402" t="s">
        <v>54</v>
      </c>
      <c r="C22" s="402" t="s">
        <v>2238</v>
      </c>
      <c r="D22" s="406" t="s">
        <v>91</v>
      </c>
      <c r="E22" s="403" t="s">
        <v>2401</v>
      </c>
      <c r="F22" s="404" t="s">
        <v>2402</v>
      </c>
      <c r="G22" s="406" t="s">
        <v>5397</v>
      </c>
      <c r="H22" s="406" t="s">
        <v>2403</v>
      </c>
      <c r="I22" s="406" t="s">
        <v>2404</v>
      </c>
      <c r="J22" s="403" t="s">
        <v>2329</v>
      </c>
      <c r="K22" s="406" t="s">
        <v>2405</v>
      </c>
      <c r="L22" s="402" t="s">
        <v>2406</v>
      </c>
      <c r="M22" s="402" t="s">
        <v>2407</v>
      </c>
      <c r="N22" s="402" t="s">
        <v>2248</v>
      </c>
      <c r="O22" s="406" t="s">
        <v>2408</v>
      </c>
      <c r="P22" s="370" t="s">
        <v>2366</v>
      </c>
      <c r="Q22" s="420" t="s">
        <v>30</v>
      </c>
      <c r="R22" s="377">
        <v>0.96</v>
      </c>
      <c r="S22" s="402" t="s">
        <v>2248</v>
      </c>
      <c r="T22" s="377">
        <v>0.96</v>
      </c>
      <c r="U22" s="393"/>
      <c r="V22" s="393"/>
      <c r="W22" s="394"/>
      <c r="X22" s="433" t="s">
        <v>2409</v>
      </c>
      <c r="Y22" s="410" t="s">
        <v>2410</v>
      </c>
      <c r="Z22" s="421"/>
      <c r="AA22" s="421"/>
      <c r="AB22" s="422"/>
      <c r="AC22" s="406" t="s">
        <v>2411</v>
      </c>
      <c r="AD22" s="410" t="s">
        <v>2410</v>
      </c>
      <c r="AE22" s="393"/>
      <c r="AF22" s="393"/>
      <c r="AG22" s="394"/>
      <c r="AH22" s="406" t="s">
        <v>2412</v>
      </c>
      <c r="AI22" s="410" t="s">
        <v>2413</v>
      </c>
      <c r="AJ22" s="393"/>
      <c r="AK22" s="393"/>
      <c r="AL22" s="394"/>
      <c r="AM22" s="411" t="s">
        <v>2414</v>
      </c>
      <c r="AN22" s="434" t="s">
        <v>2415</v>
      </c>
      <c r="AO22" s="392"/>
      <c r="AP22" s="393"/>
      <c r="AQ22" s="394"/>
      <c r="AR22" s="406" t="s">
        <v>2416</v>
      </c>
      <c r="AS22" s="434" t="s">
        <v>2417</v>
      </c>
      <c r="AT22" s="393">
        <v>283</v>
      </c>
      <c r="AU22" s="393">
        <v>302</v>
      </c>
      <c r="AV22" s="394">
        <f>AT22/AU22</f>
        <v>0.9370860927152318</v>
      </c>
      <c r="AW22" s="381" t="s">
        <v>2418</v>
      </c>
      <c r="AX22" s="434" t="s">
        <v>2419</v>
      </c>
      <c r="AY22" s="392"/>
      <c r="AZ22" s="393"/>
      <c r="BA22" s="394"/>
      <c r="BB22" s="406" t="s">
        <v>2420</v>
      </c>
      <c r="BC22" s="434" t="s">
        <v>2421</v>
      </c>
      <c r="BD22" s="393"/>
      <c r="BE22" s="393"/>
      <c r="BF22" s="394"/>
      <c r="BG22" s="406" t="s">
        <v>2422</v>
      </c>
      <c r="BH22" s="434" t="s">
        <v>2423</v>
      </c>
      <c r="BI22" s="392"/>
      <c r="BJ22" s="393"/>
      <c r="BK22" s="394"/>
      <c r="BL22" s="411" t="s">
        <v>2424</v>
      </c>
      <c r="BM22" s="434" t="s">
        <v>2425</v>
      </c>
      <c r="BN22" s="393"/>
      <c r="BO22" s="393"/>
      <c r="BP22" s="394"/>
      <c r="BQ22" s="411" t="s">
        <v>5396</v>
      </c>
      <c r="BR22" s="434" t="s">
        <v>5384</v>
      </c>
      <c r="BS22" s="394"/>
      <c r="BT22" s="394"/>
      <c r="BU22" s="394"/>
      <c r="BV22" s="411" t="s">
        <v>5395</v>
      </c>
      <c r="BW22" s="434" t="s">
        <v>5389</v>
      </c>
      <c r="BX22" s="393">
        <v>209</v>
      </c>
      <c r="BY22" s="393">
        <v>255</v>
      </c>
      <c r="BZ22" s="394">
        <f>+BX22/BY22</f>
        <v>0.81960784313725488</v>
      </c>
      <c r="CA22" s="381" t="s">
        <v>5394</v>
      </c>
      <c r="CB22" s="411" t="s">
        <v>5393</v>
      </c>
      <c r="CC22" s="378" t="s">
        <v>5392</v>
      </c>
      <c r="CE22" s="388">
        <f>+AT22+BX22</f>
        <v>492</v>
      </c>
      <c r="CF22" s="388">
        <f>+AU22+BY22</f>
        <v>557</v>
      </c>
      <c r="CG22" s="435">
        <f>+CE22/CF22</f>
        <v>0.88330341113105926</v>
      </c>
      <c r="CH22" s="435">
        <f>+CG22</f>
        <v>0.88330341113105926</v>
      </c>
      <c r="CI22" s="435">
        <f>+T22</f>
        <v>0.96</v>
      </c>
      <c r="CJ22" s="435">
        <f>+CH22/CI22</f>
        <v>0.92010771992818674</v>
      </c>
      <c r="CK22" s="388"/>
    </row>
    <row r="23" spans="2:89" s="389" customFormat="1" ht="168" x14ac:dyDescent="0.25">
      <c r="B23" s="402" t="s">
        <v>54</v>
      </c>
      <c r="C23" s="402" t="s">
        <v>2238</v>
      </c>
      <c r="D23" s="406" t="s">
        <v>2426</v>
      </c>
      <c r="E23" s="403" t="s">
        <v>2427</v>
      </c>
      <c r="F23" s="404" t="s">
        <v>2402</v>
      </c>
      <c r="G23" s="406" t="s">
        <v>2428</v>
      </c>
      <c r="H23" s="406" t="s">
        <v>2429</v>
      </c>
      <c r="I23" s="406" t="s">
        <v>2430</v>
      </c>
      <c r="J23" s="403" t="s">
        <v>2329</v>
      </c>
      <c r="K23" s="406" t="s">
        <v>2431</v>
      </c>
      <c r="L23" s="402" t="s">
        <v>2432</v>
      </c>
      <c r="M23" s="402" t="s">
        <v>2433</v>
      </c>
      <c r="N23" s="402" t="s">
        <v>2248</v>
      </c>
      <c r="O23" s="406" t="s">
        <v>2434</v>
      </c>
      <c r="P23" s="370" t="s">
        <v>1777</v>
      </c>
      <c r="Q23" s="420" t="s">
        <v>30</v>
      </c>
      <c r="R23" s="377">
        <v>0.98</v>
      </c>
      <c r="S23" s="402" t="s">
        <v>2248</v>
      </c>
      <c r="T23" s="377">
        <v>0.98</v>
      </c>
      <c r="U23" s="421"/>
      <c r="V23" s="421"/>
      <c r="W23" s="422"/>
      <c r="X23" s="410" t="s">
        <v>2435</v>
      </c>
      <c r="Y23" s="410" t="s">
        <v>2410</v>
      </c>
      <c r="Z23" s="421"/>
      <c r="AA23" s="421"/>
      <c r="AB23" s="422"/>
      <c r="AC23" s="410" t="s">
        <v>2436</v>
      </c>
      <c r="AD23" s="410" t="s">
        <v>2437</v>
      </c>
      <c r="AE23" s="393">
        <v>210</v>
      </c>
      <c r="AF23" s="393">
        <v>217</v>
      </c>
      <c r="AG23" s="394">
        <f>AE23/AF23</f>
        <v>0.967741935483871</v>
      </c>
      <c r="AH23" s="413" t="s">
        <v>2438</v>
      </c>
      <c r="AI23" s="410" t="s">
        <v>2413</v>
      </c>
      <c r="AJ23" s="393"/>
      <c r="AK23" s="393"/>
      <c r="AL23" s="394"/>
      <c r="AM23" s="410" t="s">
        <v>2439</v>
      </c>
      <c r="AN23" s="434" t="s">
        <v>2415</v>
      </c>
      <c r="AO23" s="392"/>
      <c r="AP23" s="393"/>
      <c r="AQ23" s="394"/>
      <c r="AR23" s="411" t="s">
        <v>2440</v>
      </c>
      <c r="AS23" s="434" t="s">
        <v>2417</v>
      </c>
      <c r="AT23" s="393">
        <v>128</v>
      </c>
      <c r="AU23" s="393">
        <v>198</v>
      </c>
      <c r="AV23" s="394">
        <f>AT23/AU23</f>
        <v>0.64646464646464652</v>
      </c>
      <c r="AW23" s="411" t="s">
        <v>2441</v>
      </c>
      <c r="AX23" s="434" t="s">
        <v>2442</v>
      </c>
      <c r="AY23" s="392"/>
      <c r="AZ23" s="393"/>
      <c r="BA23" s="394"/>
      <c r="BB23" s="410" t="s">
        <v>2443</v>
      </c>
      <c r="BC23" s="434" t="s">
        <v>2421</v>
      </c>
      <c r="BD23" s="393"/>
      <c r="BE23" s="393"/>
      <c r="BF23" s="394"/>
      <c r="BG23" s="411" t="s">
        <v>2444</v>
      </c>
      <c r="BH23" s="434" t="s">
        <v>2423</v>
      </c>
      <c r="BI23" s="393">
        <v>211</v>
      </c>
      <c r="BJ23" s="393">
        <v>253</v>
      </c>
      <c r="BK23" s="394">
        <f>BI23/BJ23</f>
        <v>0.83399209486166004</v>
      </c>
      <c r="BL23" s="411" t="s">
        <v>2445</v>
      </c>
      <c r="BM23" s="434" t="s">
        <v>2425</v>
      </c>
      <c r="BN23" s="394"/>
      <c r="BO23" s="393"/>
      <c r="BP23" s="394"/>
      <c r="BQ23" s="411" t="s">
        <v>5391</v>
      </c>
      <c r="BR23" s="434" t="s">
        <v>5384</v>
      </c>
      <c r="BT23" s="394"/>
      <c r="BU23" s="394"/>
      <c r="BV23" s="411" t="s">
        <v>5390</v>
      </c>
      <c r="BW23" s="434" t="s">
        <v>5389</v>
      </c>
      <c r="BX23" s="393">
        <v>201</v>
      </c>
      <c r="BY23" s="393">
        <v>209</v>
      </c>
      <c r="BZ23" s="394">
        <f>BX23/BY23</f>
        <v>0.96172248803827753</v>
      </c>
      <c r="CA23" s="411" t="s">
        <v>5388</v>
      </c>
      <c r="CB23" s="411" t="s">
        <v>5387</v>
      </c>
      <c r="CC23" s="378" t="s">
        <v>5386</v>
      </c>
      <c r="CE23" s="388">
        <f>+AE23+AT23+BI23+BX23</f>
        <v>750</v>
      </c>
      <c r="CF23" s="388">
        <f>+AF23+AU23+BJ23+BY23</f>
        <v>877</v>
      </c>
      <c r="CG23" s="435">
        <f>+CE23/CF23</f>
        <v>0.85518814139110599</v>
      </c>
      <c r="CH23" s="435">
        <f>+CG23</f>
        <v>0.85518814139110599</v>
      </c>
      <c r="CI23" s="435">
        <f>+T23</f>
        <v>0.98</v>
      </c>
      <c r="CJ23" s="435">
        <f>+CH23/CI23</f>
        <v>0.87264096060316942</v>
      </c>
      <c r="CK23" s="388"/>
    </row>
    <row r="24" spans="2:89" s="389" customFormat="1" ht="192" x14ac:dyDescent="0.25">
      <c r="B24" s="402" t="s">
        <v>54</v>
      </c>
      <c r="C24" s="402" t="s">
        <v>2238</v>
      </c>
      <c r="D24" s="406" t="s">
        <v>2426</v>
      </c>
      <c r="E24" s="403" t="s">
        <v>2446</v>
      </c>
      <c r="F24" s="404" t="s">
        <v>2402</v>
      </c>
      <c r="G24" s="406" t="s">
        <v>2447</v>
      </c>
      <c r="H24" s="406" t="s">
        <v>2448</v>
      </c>
      <c r="I24" s="406" t="s">
        <v>2449</v>
      </c>
      <c r="J24" s="403" t="s">
        <v>2329</v>
      </c>
      <c r="K24" s="406" t="s">
        <v>2450</v>
      </c>
      <c r="L24" s="402" t="s">
        <v>2451</v>
      </c>
      <c r="M24" s="402" t="s">
        <v>2452</v>
      </c>
      <c r="N24" s="402" t="s">
        <v>2248</v>
      </c>
      <c r="O24" s="406" t="s">
        <v>2453</v>
      </c>
      <c r="P24" s="370" t="s">
        <v>1747</v>
      </c>
      <c r="Q24" s="420" t="s">
        <v>30</v>
      </c>
      <c r="R24" s="377">
        <v>0.9</v>
      </c>
      <c r="S24" s="402" t="s">
        <v>2248</v>
      </c>
      <c r="T24" s="377">
        <v>1</v>
      </c>
      <c r="U24" s="427"/>
      <c r="V24" s="427"/>
      <c r="W24" s="422"/>
      <c r="X24" s="410"/>
      <c r="Y24" s="410"/>
      <c r="Z24" s="421"/>
      <c r="AA24" s="421"/>
      <c r="AB24" s="422"/>
      <c r="AC24" s="410"/>
      <c r="AD24" s="410"/>
      <c r="AE24" s="421"/>
      <c r="AF24" s="421"/>
      <c r="AG24" s="422"/>
      <c r="AH24" s="411"/>
      <c r="AI24" s="410"/>
      <c r="AJ24" s="393">
        <v>68</v>
      </c>
      <c r="AK24" s="393">
        <v>68</v>
      </c>
      <c r="AL24" s="394">
        <f>AJ24/AK24</f>
        <v>1</v>
      </c>
      <c r="AM24" s="410" t="s">
        <v>2454</v>
      </c>
      <c r="AN24" s="434" t="s">
        <v>2415</v>
      </c>
      <c r="AO24" s="393">
        <v>88</v>
      </c>
      <c r="AP24" s="393">
        <v>90</v>
      </c>
      <c r="AQ24" s="394">
        <f>AO24/AP24</f>
        <v>0.97777777777777775</v>
      </c>
      <c r="AR24" s="411" t="s">
        <v>2455</v>
      </c>
      <c r="AS24" s="434" t="s">
        <v>2456</v>
      </c>
      <c r="AT24" s="393">
        <v>64</v>
      </c>
      <c r="AU24" s="393">
        <v>62</v>
      </c>
      <c r="AV24" s="394">
        <v>1.02</v>
      </c>
      <c r="AW24" s="411" t="s">
        <v>2457</v>
      </c>
      <c r="AX24" s="434" t="s">
        <v>2458</v>
      </c>
      <c r="AY24" s="393">
        <v>121</v>
      </c>
      <c r="AZ24" s="393">
        <v>121</v>
      </c>
      <c r="BA24" s="394">
        <f>AY24/AZ24</f>
        <v>1</v>
      </c>
      <c r="BB24" s="410" t="s">
        <v>2459</v>
      </c>
      <c r="BC24" s="434" t="s">
        <v>2421</v>
      </c>
      <c r="BD24" s="393">
        <v>114</v>
      </c>
      <c r="BE24" s="393">
        <v>114</v>
      </c>
      <c r="BF24" s="394">
        <f>BD24/BE24</f>
        <v>1</v>
      </c>
      <c r="BG24" s="411" t="s">
        <v>2460</v>
      </c>
      <c r="BH24" s="434" t="s">
        <v>2423</v>
      </c>
      <c r="BI24" s="393">
        <v>87</v>
      </c>
      <c r="BJ24" s="393">
        <v>87</v>
      </c>
      <c r="BK24" s="394">
        <f>BI24/BJ24</f>
        <v>1</v>
      </c>
      <c r="BL24" s="410" t="s">
        <v>2461</v>
      </c>
      <c r="BM24" s="434" t="s">
        <v>2425</v>
      </c>
      <c r="BN24" s="393">
        <v>93</v>
      </c>
      <c r="BO24" s="393">
        <v>93</v>
      </c>
      <c r="BP24" s="394">
        <f>BN24/BO24</f>
        <v>1</v>
      </c>
      <c r="BQ24" s="411" t="s">
        <v>5385</v>
      </c>
      <c r="BR24" s="434" t="s">
        <v>5384</v>
      </c>
      <c r="BS24" s="393">
        <v>62</v>
      </c>
      <c r="BT24" s="393">
        <v>62</v>
      </c>
      <c r="BU24" s="394">
        <f>BS24/BT24</f>
        <v>1</v>
      </c>
      <c r="BV24" s="877" t="s">
        <v>5383</v>
      </c>
      <c r="BW24" s="434" t="s">
        <v>5382</v>
      </c>
      <c r="BX24" s="393">
        <v>52</v>
      </c>
      <c r="BY24" s="393">
        <v>52</v>
      </c>
      <c r="BZ24" s="394">
        <f>BX24/BY24</f>
        <v>1</v>
      </c>
      <c r="CA24" s="877" t="s">
        <v>5381</v>
      </c>
      <c r="CB24" s="411" t="s">
        <v>5380</v>
      </c>
      <c r="CC24" s="378" t="s">
        <v>5379</v>
      </c>
      <c r="CE24" s="388">
        <f>+AJ24+AO24+AT24+AY24+BD24+BI24+BN24+BS24+BX24</f>
        <v>749</v>
      </c>
      <c r="CF24" s="388">
        <f>+AK24+AP24+AU24+AZ24+BE24+BJ24+BO24+BT24+BY24</f>
        <v>749</v>
      </c>
      <c r="CG24" s="435">
        <f>+CE24/CF24</f>
        <v>1</v>
      </c>
      <c r="CH24" s="435">
        <f>+CG24</f>
        <v>1</v>
      </c>
      <c r="CI24" s="435">
        <f>+T24</f>
        <v>1</v>
      </c>
      <c r="CJ24" s="435">
        <f>+CH24/CI24</f>
        <v>1</v>
      </c>
      <c r="CK24" s="388"/>
    </row>
    <row r="25" spans="2:89" s="389" customFormat="1" ht="159" customHeight="1" x14ac:dyDescent="0.25">
      <c r="B25" s="369" t="s">
        <v>69</v>
      </c>
      <c r="C25" s="369" t="s">
        <v>2238</v>
      </c>
      <c r="D25" s="369" t="s">
        <v>2462</v>
      </c>
      <c r="E25" s="370" t="s">
        <v>2463</v>
      </c>
      <c r="F25" s="371" t="s">
        <v>2464</v>
      </c>
      <c r="G25" s="372" t="s">
        <v>2465</v>
      </c>
      <c r="H25" s="372" t="s">
        <v>2466</v>
      </c>
      <c r="I25" s="372" t="s">
        <v>2467</v>
      </c>
      <c r="J25" s="370" t="s">
        <v>2329</v>
      </c>
      <c r="K25" s="372" t="s">
        <v>2468</v>
      </c>
      <c r="L25" s="372" t="s">
        <v>2469</v>
      </c>
      <c r="M25" s="372" t="s">
        <v>2470</v>
      </c>
      <c r="N25" s="369" t="s">
        <v>2248</v>
      </c>
      <c r="O25" s="372" t="s">
        <v>2471</v>
      </c>
      <c r="P25" s="372" t="s">
        <v>2366</v>
      </c>
      <c r="Q25" s="373" t="s">
        <v>30</v>
      </c>
      <c r="R25" s="369" t="s">
        <v>2291</v>
      </c>
      <c r="S25" s="369" t="s">
        <v>2291</v>
      </c>
      <c r="T25" s="373">
        <v>1</v>
      </c>
      <c r="U25" s="376"/>
      <c r="V25" s="376"/>
      <c r="W25" s="377"/>
      <c r="X25" s="379" t="s">
        <v>2472</v>
      </c>
      <c r="Y25" s="379" t="s">
        <v>2251</v>
      </c>
      <c r="Z25" s="376"/>
      <c r="AA25" s="376"/>
      <c r="AB25" s="377"/>
      <c r="AC25" s="379" t="s">
        <v>2473</v>
      </c>
      <c r="AD25" s="378" t="s">
        <v>2251</v>
      </c>
      <c r="AE25" s="380"/>
      <c r="AF25" s="376"/>
      <c r="AG25" s="377"/>
      <c r="AH25" s="379" t="s">
        <v>2474</v>
      </c>
      <c r="AI25" s="378" t="s">
        <v>2475</v>
      </c>
      <c r="AJ25" s="376"/>
      <c r="AK25" s="376"/>
      <c r="AL25" s="377"/>
      <c r="AM25" s="379" t="s">
        <v>2476</v>
      </c>
      <c r="AN25" s="378" t="s">
        <v>2255</v>
      </c>
      <c r="AO25" s="380"/>
      <c r="AP25" s="376"/>
      <c r="AQ25" s="377"/>
      <c r="AR25" s="379" t="s">
        <v>2477</v>
      </c>
      <c r="AS25" s="378" t="s">
        <v>2257</v>
      </c>
      <c r="AT25" s="436">
        <v>6</v>
      </c>
      <c r="AU25" s="436">
        <v>6</v>
      </c>
      <c r="AV25" s="377">
        <f>+AT25/AU25</f>
        <v>1</v>
      </c>
      <c r="AW25" s="378" t="s">
        <v>2478</v>
      </c>
      <c r="AX25" s="378" t="s">
        <v>2479</v>
      </c>
      <c r="AY25" s="380"/>
      <c r="AZ25" s="376"/>
      <c r="BA25" s="377"/>
      <c r="BB25" s="379" t="s">
        <v>2480</v>
      </c>
      <c r="BC25" s="378" t="s">
        <v>2481</v>
      </c>
      <c r="BD25" s="376"/>
      <c r="BE25" s="376"/>
      <c r="BF25" s="377"/>
      <c r="BG25" s="378" t="s">
        <v>2482</v>
      </c>
      <c r="BH25" s="378" t="s">
        <v>2321</v>
      </c>
      <c r="BI25" s="380"/>
      <c r="BJ25" s="376"/>
      <c r="BK25" s="377"/>
      <c r="BL25" s="378" t="s">
        <v>2483</v>
      </c>
      <c r="BM25" s="378" t="s">
        <v>2484</v>
      </c>
      <c r="BN25" s="376"/>
      <c r="BO25" s="376"/>
      <c r="BP25" s="881" t="s">
        <v>5378</v>
      </c>
      <c r="BQ25" s="378" t="s">
        <v>5377</v>
      </c>
      <c r="BR25" s="378" t="s">
        <v>5376</v>
      </c>
      <c r="BS25" s="380"/>
      <c r="BT25" s="376"/>
      <c r="BV25" s="378" t="s">
        <v>5375</v>
      </c>
      <c r="BW25" s="378" t="s">
        <v>5374</v>
      </c>
      <c r="BX25" s="376">
        <v>4</v>
      </c>
      <c r="BY25" s="376">
        <v>4</v>
      </c>
      <c r="BZ25" s="377">
        <v>1</v>
      </c>
      <c r="CA25" s="378" t="s">
        <v>5373</v>
      </c>
      <c r="CB25" s="378" t="s">
        <v>5372</v>
      </c>
      <c r="CC25" s="875" t="s">
        <v>5371</v>
      </c>
      <c r="CD25" s="385"/>
      <c r="CE25" s="386">
        <f>+U25+Z25+AE25+AJ25+AO25+AT25+AY25+BD25+BI25+BN25+BS25+BX25</f>
        <v>10</v>
      </c>
      <c r="CF25" s="386">
        <f>+V25+AA25+AF25+AK25+AP25+AU25+AZ25+BE25+BJ25+BO25+BT25+BY25</f>
        <v>10</v>
      </c>
      <c r="CG25" s="387">
        <f>+CE25/CF25</f>
        <v>1</v>
      </c>
      <c r="CH25" s="387">
        <f>+CG25</f>
        <v>1</v>
      </c>
      <c r="CI25" s="387">
        <f>+T25</f>
        <v>1</v>
      </c>
      <c r="CJ25" s="387">
        <f>+CH25/CI25</f>
        <v>1</v>
      </c>
      <c r="CK25" s="388"/>
    </row>
    <row r="26" spans="2:89" s="401" customFormat="1" ht="269.25" customHeight="1" x14ac:dyDescent="0.25">
      <c r="B26" s="402" t="s">
        <v>2487</v>
      </c>
      <c r="C26" s="402" t="s">
        <v>2238</v>
      </c>
      <c r="D26" s="402" t="s">
        <v>65</v>
      </c>
      <c r="E26" s="403" t="s">
        <v>2488</v>
      </c>
      <c r="F26" s="404" t="s">
        <v>2486</v>
      </c>
      <c r="G26" s="405" t="s">
        <v>2489</v>
      </c>
      <c r="H26" s="405" t="s">
        <v>2490</v>
      </c>
      <c r="I26" s="405" t="s">
        <v>2491</v>
      </c>
      <c r="J26" s="403" t="s">
        <v>2244</v>
      </c>
      <c r="K26" s="406" t="s">
        <v>2492</v>
      </c>
      <c r="L26" s="406" t="s">
        <v>2493</v>
      </c>
      <c r="M26" s="406" t="s">
        <v>2494</v>
      </c>
      <c r="N26" s="402" t="s">
        <v>2248</v>
      </c>
      <c r="O26" s="406" t="s">
        <v>2495</v>
      </c>
      <c r="P26" s="403" t="s">
        <v>1777</v>
      </c>
      <c r="Q26" s="441" t="s">
        <v>60</v>
      </c>
      <c r="R26" s="377">
        <v>0.93</v>
      </c>
      <c r="S26" s="402" t="s">
        <v>2248</v>
      </c>
      <c r="T26" s="377">
        <v>1</v>
      </c>
      <c r="U26" s="443"/>
      <c r="V26" s="443"/>
      <c r="W26" s="444"/>
      <c r="X26" s="410" t="s">
        <v>2496</v>
      </c>
      <c r="Y26" s="446" t="s">
        <v>2497</v>
      </c>
      <c r="Z26" s="393"/>
      <c r="AA26" s="393"/>
      <c r="AB26" s="394"/>
      <c r="AC26" s="411" t="s">
        <v>2498</v>
      </c>
      <c r="AD26" s="446" t="s">
        <v>2497</v>
      </c>
      <c r="AE26" s="393">
        <v>184</v>
      </c>
      <c r="AF26" s="393">
        <v>727</v>
      </c>
      <c r="AG26" s="394">
        <f>AE26/AF26</f>
        <v>0.25309491059147182</v>
      </c>
      <c r="AH26" s="410" t="s">
        <v>2499</v>
      </c>
      <c r="AI26" s="446" t="s">
        <v>2500</v>
      </c>
      <c r="AJ26" s="393"/>
      <c r="AK26" s="393"/>
      <c r="AL26" s="394"/>
      <c r="AM26" s="411" t="s">
        <v>2498</v>
      </c>
      <c r="AN26" s="446" t="s">
        <v>2501</v>
      </c>
      <c r="AO26" s="393"/>
      <c r="AP26" s="393"/>
      <c r="AQ26" s="394"/>
      <c r="AR26" s="411" t="s">
        <v>2498</v>
      </c>
      <c r="AS26" s="411" t="s">
        <v>2502</v>
      </c>
      <c r="AT26" s="393">
        <v>567</v>
      </c>
      <c r="AU26" s="393">
        <v>728</v>
      </c>
      <c r="AV26" s="394">
        <f>+AT26/AU26</f>
        <v>0.77884615384615385</v>
      </c>
      <c r="AW26" s="411" t="s">
        <v>2503</v>
      </c>
      <c r="AX26" s="411" t="s">
        <v>2504</v>
      </c>
      <c r="AY26" s="393"/>
      <c r="AZ26" s="393"/>
      <c r="BA26" s="394"/>
      <c r="BB26" s="411" t="s">
        <v>2498</v>
      </c>
      <c r="BC26" s="411" t="s">
        <v>2505</v>
      </c>
      <c r="BD26" s="393"/>
      <c r="BE26" s="393"/>
      <c r="BF26" s="394"/>
      <c r="BG26" s="411" t="s">
        <v>2498</v>
      </c>
      <c r="BH26" s="411" t="s">
        <v>2506</v>
      </c>
      <c r="BI26" s="393">
        <v>661</v>
      </c>
      <c r="BJ26" s="393">
        <v>661</v>
      </c>
      <c r="BK26" s="394">
        <f>+BI26/BJ26</f>
        <v>1</v>
      </c>
      <c r="BL26" s="411" t="s">
        <v>5370</v>
      </c>
      <c r="BM26" s="411" t="s">
        <v>2507</v>
      </c>
      <c r="BN26" s="393"/>
      <c r="BO26" s="393"/>
      <c r="BP26" s="394"/>
      <c r="BQ26" s="411" t="s">
        <v>5369</v>
      </c>
      <c r="BR26" s="411" t="s">
        <v>5368</v>
      </c>
      <c r="BS26" s="393"/>
      <c r="BT26" s="393"/>
      <c r="BU26" s="394"/>
      <c r="BV26" s="411" t="s">
        <v>5367</v>
      </c>
      <c r="BW26" s="411" t="s">
        <v>5182</v>
      </c>
      <c r="BX26" s="393"/>
      <c r="BY26" s="393"/>
      <c r="BZ26" s="394"/>
      <c r="CA26" s="411" t="s">
        <v>5366</v>
      </c>
      <c r="CB26" s="411" t="s">
        <v>5072</v>
      </c>
      <c r="CC26" s="875" t="s">
        <v>5365</v>
      </c>
      <c r="CE26" s="415">
        <f>+BI26</f>
        <v>661</v>
      </c>
      <c r="CF26" s="415">
        <f>+BJ26</f>
        <v>661</v>
      </c>
      <c r="CG26" s="416">
        <f>+CE26/CF26</f>
        <v>1</v>
      </c>
      <c r="CH26" s="416">
        <f>+CG26</f>
        <v>1</v>
      </c>
      <c r="CI26" s="416">
        <f>+T26</f>
        <v>1</v>
      </c>
      <c r="CJ26" s="416">
        <f>+CH26/CI26</f>
        <v>1</v>
      </c>
      <c r="CK26" s="415"/>
    </row>
    <row r="27" spans="2:89" s="401" customFormat="1" ht="354" customHeight="1" x14ac:dyDescent="0.25">
      <c r="B27" s="402" t="s">
        <v>105</v>
      </c>
      <c r="C27" s="402" t="s">
        <v>2238</v>
      </c>
      <c r="D27" s="406" t="s">
        <v>65</v>
      </c>
      <c r="E27" s="403" t="s">
        <v>2508</v>
      </c>
      <c r="F27" s="404" t="s">
        <v>2509</v>
      </c>
      <c r="G27" s="406" t="s">
        <v>2510</v>
      </c>
      <c r="H27" s="406" t="s">
        <v>2511</v>
      </c>
      <c r="I27" s="406" t="s">
        <v>2512</v>
      </c>
      <c r="J27" s="402" t="s">
        <v>2329</v>
      </c>
      <c r="K27" s="406" t="s">
        <v>2513</v>
      </c>
      <c r="L27" s="447" t="s">
        <v>2514</v>
      </c>
      <c r="M27" s="447" t="s">
        <v>2515</v>
      </c>
      <c r="N27" s="402" t="s">
        <v>2248</v>
      </c>
      <c r="O27" s="406" t="s">
        <v>2516</v>
      </c>
      <c r="P27" s="403" t="s">
        <v>1747</v>
      </c>
      <c r="Q27" s="408" t="s">
        <v>30</v>
      </c>
      <c r="R27" s="377">
        <v>0.8</v>
      </c>
      <c r="S27" s="402" t="s">
        <v>2248</v>
      </c>
      <c r="T27" s="448">
        <v>0.8</v>
      </c>
      <c r="U27" s="393">
        <v>30</v>
      </c>
      <c r="V27" s="393">
        <v>38</v>
      </c>
      <c r="W27" s="394">
        <f>+U27/V27</f>
        <v>0.78947368421052633</v>
      </c>
      <c r="X27" s="410" t="s">
        <v>5364</v>
      </c>
      <c r="Y27" s="410" t="s">
        <v>2517</v>
      </c>
      <c r="Z27" s="393">
        <v>27</v>
      </c>
      <c r="AA27" s="393">
        <v>34</v>
      </c>
      <c r="AB27" s="394">
        <f>+Z27/AA27</f>
        <v>0.79411764705882348</v>
      </c>
      <c r="AC27" s="410" t="s">
        <v>5363</v>
      </c>
      <c r="AD27" s="410" t="s">
        <v>2517</v>
      </c>
      <c r="AE27" s="393">
        <v>70</v>
      </c>
      <c r="AF27" s="393">
        <v>91</v>
      </c>
      <c r="AG27" s="394">
        <f>+AE27/AF27</f>
        <v>0.76923076923076927</v>
      </c>
      <c r="AH27" s="449" t="s">
        <v>5362</v>
      </c>
      <c r="AI27" s="410" t="s">
        <v>2518</v>
      </c>
      <c r="AJ27" s="393">
        <v>109</v>
      </c>
      <c r="AK27" s="393">
        <v>131</v>
      </c>
      <c r="AL27" s="394">
        <f>+AJ27/AK27</f>
        <v>0.83206106870229013</v>
      </c>
      <c r="AM27" s="449" t="s">
        <v>5361</v>
      </c>
      <c r="AN27" s="450" t="s">
        <v>2519</v>
      </c>
      <c r="AO27" s="393">
        <v>89</v>
      </c>
      <c r="AP27" s="393">
        <v>131</v>
      </c>
      <c r="AQ27" s="394">
        <f>+AO27/AP27</f>
        <v>0.67938931297709926</v>
      </c>
      <c r="AR27" s="449" t="s">
        <v>5360</v>
      </c>
      <c r="AS27" s="450" t="s">
        <v>2520</v>
      </c>
      <c r="AT27" s="393">
        <v>48</v>
      </c>
      <c r="AU27" s="393">
        <v>72</v>
      </c>
      <c r="AV27" s="394">
        <f>AT27/AU27</f>
        <v>0.66666666666666663</v>
      </c>
      <c r="AW27" s="434" t="s">
        <v>2521</v>
      </c>
      <c r="AX27" s="450" t="s">
        <v>2522</v>
      </c>
      <c r="AY27" s="393">
        <v>71</v>
      </c>
      <c r="AZ27" s="393">
        <v>48</v>
      </c>
      <c r="BA27" s="394">
        <f>AY27/AZ27</f>
        <v>1.4791666666666667</v>
      </c>
      <c r="BB27" s="450" t="s">
        <v>2523</v>
      </c>
      <c r="BC27" s="450" t="s">
        <v>2524</v>
      </c>
      <c r="BD27" s="393">
        <v>104</v>
      </c>
      <c r="BE27" s="393">
        <v>133</v>
      </c>
      <c r="BF27" s="394">
        <f>BD27/BE27</f>
        <v>0.78195488721804507</v>
      </c>
      <c r="BG27" s="434" t="s">
        <v>2525</v>
      </c>
      <c r="BH27" s="450" t="s">
        <v>2526</v>
      </c>
      <c r="BI27" s="393">
        <v>88</v>
      </c>
      <c r="BJ27" s="393">
        <v>121</v>
      </c>
      <c r="BK27" s="394">
        <f>BI27/BJ27</f>
        <v>0.72727272727272729</v>
      </c>
      <c r="BL27" s="434" t="s">
        <v>2527</v>
      </c>
      <c r="BM27" s="450" t="s">
        <v>2528</v>
      </c>
      <c r="BN27" s="393">
        <f>65+18</f>
        <v>83</v>
      </c>
      <c r="BO27" s="393">
        <f>105+19</f>
        <v>124</v>
      </c>
      <c r="BP27" s="394">
        <f>BN27/BO27</f>
        <v>0.66935483870967738</v>
      </c>
      <c r="BQ27" s="434" t="s">
        <v>5359</v>
      </c>
      <c r="BR27" s="450" t="s">
        <v>5358</v>
      </c>
      <c r="BS27" s="393">
        <f>59+26</f>
        <v>85</v>
      </c>
      <c r="BT27" s="393">
        <f>71+28</f>
        <v>99</v>
      </c>
      <c r="BU27" s="394">
        <f>BS27/BT27</f>
        <v>0.85858585858585856</v>
      </c>
      <c r="BV27" s="434" t="s">
        <v>5357</v>
      </c>
      <c r="BW27" s="450" t="s">
        <v>5352</v>
      </c>
      <c r="BX27" s="376">
        <f>39+168</f>
        <v>207</v>
      </c>
      <c r="BY27" s="376">
        <f>45+69</f>
        <v>114</v>
      </c>
      <c r="BZ27" s="377">
        <f>BX27/BY27</f>
        <v>1.8157894736842106</v>
      </c>
      <c r="CA27" s="451" t="s">
        <v>5356</v>
      </c>
      <c r="CB27" s="411" t="s">
        <v>5332</v>
      </c>
      <c r="CC27" s="875" t="s">
        <v>5355</v>
      </c>
      <c r="CD27" s="367"/>
      <c r="CE27" s="880">
        <f>+U27+Z27+AE27+AJ27+AO27+AT27+AY27+BD27+BI27+BN27+BS27+BX27</f>
        <v>1011</v>
      </c>
      <c r="CF27" s="880">
        <f>+V27+AA27+AF27+AK27+AP27+AU27+AZ27+BE27+BJ27+BO27+BT27+BY27</f>
        <v>1136</v>
      </c>
      <c r="CG27" s="416">
        <f>+CE27/CF27</f>
        <v>0.88996478873239437</v>
      </c>
      <c r="CH27" s="416">
        <f>+CG27</f>
        <v>0.88996478873239437</v>
      </c>
      <c r="CI27" s="416">
        <f>+T27</f>
        <v>0.8</v>
      </c>
      <c r="CJ27" s="416">
        <f>+CH27/CI27</f>
        <v>1.112455985915493</v>
      </c>
      <c r="CK27" s="415"/>
    </row>
    <row r="28" spans="2:89" s="401" customFormat="1" ht="229.5" customHeight="1" x14ac:dyDescent="0.25">
      <c r="B28" s="402" t="s">
        <v>105</v>
      </c>
      <c r="C28" s="402" t="s">
        <v>2238</v>
      </c>
      <c r="D28" s="406" t="s">
        <v>65</v>
      </c>
      <c r="E28" s="403" t="s">
        <v>2529</v>
      </c>
      <c r="F28" s="404" t="s">
        <v>2530</v>
      </c>
      <c r="G28" s="406" t="s">
        <v>2531</v>
      </c>
      <c r="H28" s="406" t="s">
        <v>2532</v>
      </c>
      <c r="I28" s="406" t="s">
        <v>2533</v>
      </c>
      <c r="J28" s="402" t="s">
        <v>2329</v>
      </c>
      <c r="K28" s="406" t="s">
        <v>2534</v>
      </c>
      <c r="L28" s="406" t="s">
        <v>2535</v>
      </c>
      <c r="M28" s="406" t="s">
        <v>2536</v>
      </c>
      <c r="N28" s="402" t="s">
        <v>2248</v>
      </c>
      <c r="O28" s="406" t="s">
        <v>2537</v>
      </c>
      <c r="P28" s="403" t="s">
        <v>1747</v>
      </c>
      <c r="Q28" s="408" t="s">
        <v>30</v>
      </c>
      <c r="R28" s="377">
        <v>0.95</v>
      </c>
      <c r="S28" s="402" t="s">
        <v>2248</v>
      </c>
      <c r="T28" s="448">
        <v>0.95</v>
      </c>
      <c r="U28" s="393">
        <v>228</v>
      </c>
      <c r="V28" s="393">
        <v>243</v>
      </c>
      <c r="W28" s="394">
        <f>+U28/V28</f>
        <v>0.93827160493827155</v>
      </c>
      <c r="X28" s="411" t="s">
        <v>2538</v>
      </c>
      <c r="Y28" s="450" t="s">
        <v>2517</v>
      </c>
      <c r="Z28" s="393">
        <v>343</v>
      </c>
      <c r="AA28" s="393">
        <v>357</v>
      </c>
      <c r="AB28" s="394">
        <f>+Z28/AA28</f>
        <v>0.96078431372549022</v>
      </c>
      <c r="AC28" s="411" t="s">
        <v>2539</v>
      </c>
      <c r="AD28" s="450" t="s">
        <v>2517</v>
      </c>
      <c r="AE28" s="393">
        <v>92</v>
      </c>
      <c r="AF28" s="393">
        <v>104</v>
      </c>
      <c r="AG28" s="394">
        <f>+AE28/AF28</f>
        <v>0.88461538461538458</v>
      </c>
      <c r="AH28" s="411" t="s">
        <v>2540</v>
      </c>
      <c r="AI28" s="450" t="s">
        <v>2518</v>
      </c>
      <c r="AJ28" s="393">
        <v>89</v>
      </c>
      <c r="AK28" s="393">
        <v>92</v>
      </c>
      <c r="AL28" s="394">
        <f>+AJ28/AK28</f>
        <v>0.96739130434782605</v>
      </c>
      <c r="AM28" s="411" t="s">
        <v>2541</v>
      </c>
      <c r="AN28" s="450" t="s">
        <v>2519</v>
      </c>
      <c r="AO28" s="393">
        <v>42</v>
      </c>
      <c r="AP28" s="393">
        <v>44</v>
      </c>
      <c r="AQ28" s="394">
        <f>+AO28/AP28</f>
        <v>0.95454545454545459</v>
      </c>
      <c r="AR28" s="411" t="s">
        <v>2542</v>
      </c>
      <c r="AS28" s="450" t="s">
        <v>2520</v>
      </c>
      <c r="AT28" s="393">
        <v>93</v>
      </c>
      <c r="AU28" s="393">
        <v>96</v>
      </c>
      <c r="AV28" s="394">
        <v>0.97</v>
      </c>
      <c r="AW28" s="411" t="s">
        <v>2543</v>
      </c>
      <c r="AX28" s="450" t="s">
        <v>2544</v>
      </c>
      <c r="AY28" s="393">
        <v>64</v>
      </c>
      <c r="AZ28" s="393">
        <v>65</v>
      </c>
      <c r="BA28" s="394">
        <f>AY28/AZ28</f>
        <v>0.98461538461538467</v>
      </c>
      <c r="BB28" s="451" t="s">
        <v>2545</v>
      </c>
      <c r="BC28" s="450" t="s">
        <v>2546</v>
      </c>
      <c r="BD28" s="393">
        <v>144</v>
      </c>
      <c r="BE28" s="393">
        <v>145</v>
      </c>
      <c r="BF28" s="394">
        <f>BD28/BE28</f>
        <v>0.99310344827586206</v>
      </c>
      <c r="BG28" s="411" t="s">
        <v>2547</v>
      </c>
      <c r="BH28" s="450" t="s">
        <v>2548</v>
      </c>
      <c r="BI28" s="393">
        <v>68</v>
      </c>
      <c r="BJ28" s="393">
        <v>69</v>
      </c>
      <c r="BK28" s="394">
        <f>BI28/BJ28</f>
        <v>0.98550724637681164</v>
      </c>
      <c r="BL28" s="411" t="s">
        <v>2549</v>
      </c>
      <c r="BM28" s="450" t="s">
        <v>2550</v>
      </c>
      <c r="BN28" s="393">
        <v>39</v>
      </c>
      <c r="BO28" s="393">
        <v>39</v>
      </c>
      <c r="BP28" s="394">
        <f>BN28/BO28</f>
        <v>1</v>
      </c>
      <c r="BQ28" s="411" t="s">
        <v>5354</v>
      </c>
      <c r="BR28" s="450" t="s">
        <v>5312</v>
      </c>
      <c r="BS28" s="393">
        <v>131</v>
      </c>
      <c r="BT28" s="393">
        <v>131</v>
      </c>
      <c r="BU28" s="394">
        <f>+BT28/BS28</f>
        <v>1</v>
      </c>
      <c r="BV28" s="411" t="s">
        <v>5353</v>
      </c>
      <c r="BW28" s="450" t="s">
        <v>5352</v>
      </c>
      <c r="BX28" s="393">
        <v>143</v>
      </c>
      <c r="BY28" s="393">
        <v>143</v>
      </c>
      <c r="BZ28" s="394">
        <f>+BY28/BX28</f>
        <v>1</v>
      </c>
      <c r="CA28" s="411" t="s">
        <v>5351</v>
      </c>
      <c r="CB28" s="411" t="s">
        <v>5332</v>
      </c>
      <c r="CC28" s="875" t="s">
        <v>5350</v>
      </c>
      <c r="CE28" s="524">
        <f>+U28+Z28+AE28+AJ28+AO28+AT28+AY28+BD28+BI28+BN28+BS28+BX28</f>
        <v>1476</v>
      </c>
      <c r="CF28" s="524">
        <f>+V28+AA28+AF28+AK28+AP28+AU28+AZ28+BE28+BJ28+BO28+BT28+BY28</f>
        <v>1528</v>
      </c>
      <c r="CG28" s="416">
        <f>+CE28/CF28</f>
        <v>0.96596858638743455</v>
      </c>
      <c r="CH28" s="416">
        <f>+CG28</f>
        <v>0.96596858638743455</v>
      </c>
      <c r="CI28" s="416">
        <f>+T28</f>
        <v>0.95</v>
      </c>
      <c r="CJ28" s="416">
        <f>+CH28/CI28</f>
        <v>1.0168090383025628</v>
      </c>
      <c r="CK28" s="415"/>
    </row>
    <row r="29" spans="2:89" s="401" customFormat="1" ht="244.5" customHeight="1" x14ac:dyDescent="0.25">
      <c r="B29" s="402" t="s">
        <v>105</v>
      </c>
      <c r="C29" s="402" t="s">
        <v>2238</v>
      </c>
      <c r="D29" s="406" t="s">
        <v>65</v>
      </c>
      <c r="E29" s="403" t="s">
        <v>2551</v>
      </c>
      <c r="F29" s="404" t="s">
        <v>2552</v>
      </c>
      <c r="G29" s="406" t="s">
        <v>2553</v>
      </c>
      <c r="H29" s="406" t="s">
        <v>2554</v>
      </c>
      <c r="I29" s="406" t="s">
        <v>2555</v>
      </c>
      <c r="J29" s="403" t="s">
        <v>2329</v>
      </c>
      <c r="K29" s="406" t="s">
        <v>2556</v>
      </c>
      <c r="L29" s="406" t="s">
        <v>2557</v>
      </c>
      <c r="M29" s="406" t="s">
        <v>2558</v>
      </c>
      <c r="N29" s="402" t="s">
        <v>2248</v>
      </c>
      <c r="O29" s="406" t="s">
        <v>2559</v>
      </c>
      <c r="P29" s="403" t="s">
        <v>1747</v>
      </c>
      <c r="Q29" s="408" t="s">
        <v>30</v>
      </c>
      <c r="R29" s="377">
        <v>0.7</v>
      </c>
      <c r="S29" s="402" t="s">
        <v>2248</v>
      </c>
      <c r="T29" s="448">
        <v>0.7</v>
      </c>
      <c r="U29" s="393">
        <v>1551</v>
      </c>
      <c r="V29" s="393">
        <v>2595</v>
      </c>
      <c r="W29" s="394">
        <f>+U29/V29</f>
        <v>0.59768786127167628</v>
      </c>
      <c r="X29" s="452" t="s">
        <v>2560</v>
      </c>
      <c r="Y29" s="450" t="s">
        <v>2517</v>
      </c>
      <c r="Z29" s="393">
        <v>326</v>
      </c>
      <c r="AA29" s="393">
        <v>1044</v>
      </c>
      <c r="AB29" s="394">
        <f>+Z29/AA29</f>
        <v>0.31226053639846746</v>
      </c>
      <c r="AC29" s="411" t="s">
        <v>2561</v>
      </c>
      <c r="AD29" s="450" t="s">
        <v>2562</v>
      </c>
      <c r="AE29" s="393">
        <v>0</v>
      </c>
      <c r="AF29" s="393">
        <v>0</v>
      </c>
      <c r="AG29" s="394">
        <v>1</v>
      </c>
      <c r="AH29" s="411" t="s">
        <v>2563</v>
      </c>
      <c r="AI29" s="450" t="s">
        <v>2564</v>
      </c>
      <c r="AJ29" s="393">
        <v>0</v>
      </c>
      <c r="AK29" s="393">
        <v>0</v>
      </c>
      <c r="AL29" s="394">
        <v>1</v>
      </c>
      <c r="AM29" s="411" t="s">
        <v>2565</v>
      </c>
      <c r="AN29" s="450" t="s">
        <v>2566</v>
      </c>
      <c r="AO29" s="393">
        <v>0</v>
      </c>
      <c r="AP29" s="393">
        <v>0</v>
      </c>
      <c r="AQ29" s="394">
        <v>1</v>
      </c>
      <c r="AR29" s="411" t="s">
        <v>2567</v>
      </c>
      <c r="AS29" s="450" t="s">
        <v>2568</v>
      </c>
      <c r="AT29" s="376">
        <v>0</v>
      </c>
      <c r="AU29" s="376">
        <v>1461</v>
      </c>
      <c r="AV29" s="377">
        <f>AT29/AU29</f>
        <v>0</v>
      </c>
      <c r="AW29" s="451" t="s">
        <v>2569</v>
      </c>
      <c r="AX29" s="450" t="s">
        <v>2570</v>
      </c>
      <c r="AY29" s="393">
        <v>1449</v>
      </c>
      <c r="AZ29" s="393">
        <v>2357</v>
      </c>
      <c r="BA29" s="394">
        <f>AY29/AZ29</f>
        <v>0.61476453118370811</v>
      </c>
      <c r="BB29" s="451" t="s">
        <v>2571</v>
      </c>
      <c r="BC29" s="450" t="s">
        <v>2572</v>
      </c>
      <c r="BD29" s="393">
        <f>2728</f>
        <v>2728</v>
      </c>
      <c r="BE29" s="393">
        <v>1446</v>
      </c>
      <c r="BF29" s="394">
        <f>BD29/BE29</f>
        <v>1.8865836791147994</v>
      </c>
      <c r="BG29" s="434" t="s">
        <v>2573</v>
      </c>
      <c r="BH29" s="450" t="s">
        <v>2574</v>
      </c>
      <c r="BI29" s="393">
        <v>1787</v>
      </c>
      <c r="BJ29" s="393">
        <v>845</v>
      </c>
      <c r="BK29" s="394">
        <f>BI29/BJ29</f>
        <v>2.1147928994082839</v>
      </c>
      <c r="BL29" s="434" t="s">
        <v>2575</v>
      </c>
      <c r="BM29" s="450" t="s">
        <v>2576</v>
      </c>
      <c r="BN29" s="393">
        <v>311</v>
      </c>
      <c r="BO29" s="393">
        <v>264</v>
      </c>
      <c r="BP29" s="394">
        <f>BN29/BO29</f>
        <v>1.178030303030303</v>
      </c>
      <c r="BQ29" s="434" t="s">
        <v>5349</v>
      </c>
      <c r="BR29" s="450" t="s">
        <v>5336</v>
      </c>
      <c r="BS29" s="393">
        <v>157</v>
      </c>
      <c r="BT29" s="393">
        <v>108</v>
      </c>
      <c r="BU29" s="394">
        <f>BS29/BT29</f>
        <v>1.4537037037037037</v>
      </c>
      <c r="BV29" s="434" t="s">
        <v>5348</v>
      </c>
      <c r="BW29" s="450" t="s">
        <v>5347</v>
      </c>
      <c r="BX29" s="393">
        <v>188</v>
      </c>
      <c r="BY29" s="393">
        <v>77</v>
      </c>
      <c r="BZ29" s="394">
        <f>BX29/BY29</f>
        <v>2.4415584415584415</v>
      </c>
      <c r="CA29" s="434" t="s">
        <v>5346</v>
      </c>
      <c r="CB29" s="411" t="s">
        <v>5332</v>
      </c>
      <c r="CC29" s="875" t="s">
        <v>5345</v>
      </c>
      <c r="CE29" s="524">
        <f>+U29+Z29+AE29+AJ29+AO29+AT29+AY29+BD29+BI29+BN29+BS29+BX29</f>
        <v>8497</v>
      </c>
      <c r="CF29" s="524">
        <f>+V29+AA29+AF29+AK29+AP29+AU29+AZ29+BE29+BJ29+BO29+BT29+BY29</f>
        <v>10197</v>
      </c>
      <c r="CG29" s="416">
        <f>+CE29/CF29</f>
        <v>0.83328429930371672</v>
      </c>
      <c r="CH29" s="416">
        <f>+CG29</f>
        <v>0.83328429930371672</v>
      </c>
      <c r="CI29" s="416">
        <f>+T29</f>
        <v>0.7</v>
      </c>
      <c r="CJ29" s="416">
        <f>+CH29/CI29</f>
        <v>1.1904061418624525</v>
      </c>
      <c r="CK29" s="415"/>
    </row>
    <row r="30" spans="2:89" s="401" customFormat="1" ht="265.5" customHeight="1" x14ac:dyDescent="0.25">
      <c r="B30" s="402" t="s">
        <v>105</v>
      </c>
      <c r="C30" s="402" t="s">
        <v>2238</v>
      </c>
      <c r="D30" s="402" t="s">
        <v>65</v>
      </c>
      <c r="E30" s="403" t="s">
        <v>2577</v>
      </c>
      <c r="F30" s="404" t="s">
        <v>2578</v>
      </c>
      <c r="G30" s="406" t="s">
        <v>2579</v>
      </c>
      <c r="H30" s="406" t="s">
        <v>2580</v>
      </c>
      <c r="I30" s="406" t="s">
        <v>2581</v>
      </c>
      <c r="J30" s="402" t="s">
        <v>2329</v>
      </c>
      <c r="K30" s="406" t="s">
        <v>2582</v>
      </c>
      <c r="L30" s="406" t="s">
        <v>2583</v>
      </c>
      <c r="M30" s="406" t="s">
        <v>2584</v>
      </c>
      <c r="N30" s="402" t="s">
        <v>2248</v>
      </c>
      <c r="O30" s="406" t="s">
        <v>2585</v>
      </c>
      <c r="P30" s="403" t="s">
        <v>1777</v>
      </c>
      <c r="Q30" s="408" t="s">
        <v>30</v>
      </c>
      <c r="R30" s="394" t="s">
        <v>2291</v>
      </c>
      <c r="S30" s="394" t="s">
        <v>2291</v>
      </c>
      <c r="T30" s="448">
        <v>0.8</v>
      </c>
      <c r="U30" s="393"/>
      <c r="V30" s="393"/>
      <c r="W30" s="394"/>
      <c r="X30" s="409"/>
      <c r="Y30" s="410"/>
      <c r="Z30" s="393"/>
      <c r="AA30" s="393"/>
      <c r="AB30" s="394"/>
      <c r="AC30" s="394"/>
      <c r="AD30" s="411"/>
      <c r="AE30" s="392"/>
      <c r="AF30" s="393"/>
      <c r="AG30" s="394"/>
      <c r="AH30" s="409"/>
      <c r="AI30" s="410"/>
      <c r="AJ30" s="393"/>
      <c r="AK30" s="393"/>
      <c r="AL30" s="394"/>
      <c r="AM30" s="411" t="s">
        <v>2586</v>
      </c>
      <c r="AN30" s="450" t="s">
        <v>5339</v>
      </c>
      <c r="AO30" s="393"/>
      <c r="AP30" s="393"/>
      <c r="AQ30" s="394"/>
      <c r="AR30" s="411" t="s">
        <v>2586</v>
      </c>
      <c r="AS30" s="450" t="s">
        <v>5338</v>
      </c>
      <c r="AT30" s="393">
        <v>4</v>
      </c>
      <c r="AU30" s="393">
        <v>4</v>
      </c>
      <c r="AV30" s="394">
        <f>AT30/AU30</f>
        <v>1</v>
      </c>
      <c r="AW30" s="411" t="s">
        <v>2587</v>
      </c>
      <c r="AX30" s="450" t="s">
        <v>2588</v>
      </c>
      <c r="AY30" s="393"/>
      <c r="AZ30" s="393"/>
      <c r="BA30" s="394"/>
      <c r="BB30" s="411" t="s">
        <v>2589</v>
      </c>
      <c r="BC30" s="450" t="s">
        <v>2590</v>
      </c>
      <c r="BD30" s="393"/>
      <c r="BE30" s="393"/>
      <c r="BF30" s="394"/>
      <c r="BG30" s="434" t="s">
        <v>2591</v>
      </c>
      <c r="BH30" s="450" t="s">
        <v>2592</v>
      </c>
      <c r="BI30" s="393">
        <v>8</v>
      </c>
      <c r="BJ30" s="393">
        <v>8</v>
      </c>
      <c r="BK30" s="394">
        <v>1</v>
      </c>
      <c r="BL30" s="434" t="s">
        <v>2593</v>
      </c>
      <c r="BM30" s="450" t="s">
        <v>2576</v>
      </c>
      <c r="BN30" s="393"/>
      <c r="BO30" s="393"/>
      <c r="BP30" s="394"/>
      <c r="BQ30" s="434" t="s">
        <v>5344</v>
      </c>
      <c r="BR30" s="450" t="s">
        <v>5336</v>
      </c>
      <c r="BS30" s="393"/>
      <c r="BT30" s="393"/>
      <c r="BU30" s="394"/>
      <c r="BV30" s="411" t="s">
        <v>5343</v>
      </c>
      <c r="BW30" s="450" t="s">
        <v>5342</v>
      </c>
      <c r="BX30" s="393">
        <v>2</v>
      </c>
      <c r="BY30" s="393">
        <v>2</v>
      </c>
      <c r="BZ30" s="394">
        <f>+BY30/BX30</f>
        <v>1</v>
      </c>
      <c r="CA30" s="434" t="s">
        <v>5341</v>
      </c>
      <c r="CB30" s="411" t="s">
        <v>5332</v>
      </c>
      <c r="CC30" s="875" t="s">
        <v>5340</v>
      </c>
      <c r="CE30" s="415">
        <f>+U30+Z30+AE30+AJ30+AO30+AT30+AY30+BD30+BI30+BN30+BS30+BX30</f>
        <v>14</v>
      </c>
      <c r="CF30" s="415">
        <f>+V30+AA30+AF30+AK30+AP30+AU30+AZ30+BE30+BJ30+BO30+BT30+BY30</f>
        <v>14</v>
      </c>
      <c r="CG30" s="416">
        <f>+CE30/CF30</f>
        <v>1</v>
      </c>
      <c r="CH30" s="416">
        <f>+CG30</f>
        <v>1</v>
      </c>
      <c r="CI30" s="416">
        <f>+T30</f>
        <v>0.8</v>
      </c>
      <c r="CJ30" s="416">
        <f>+CH30/CI30</f>
        <v>1.25</v>
      </c>
      <c r="CK30" s="415"/>
    </row>
    <row r="31" spans="2:89" s="401" customFormat="1" ht="264.75" customHeight="1" x14ac:dyDescent="0.25">
      <c r="B31" s="402" t="s">
        <v>105</v>
      </c>
      <c r="C31" s="402" t="s">
        <v>2238</v>
      </c>
      <c r="D31" s="402" t="s">
        <v>65</v>
      </c>
      <c r="E31" s="403" t="s">
        <v>2594</v>
      </c>
      <c r="F31" s="404" t="s">
        <v>2578</v>
      </c>
      <c r="G31" s="406" t="s">
        <v>2595</v>
      </c>
      <c r="H31" s="406" t="s">
        <v>2596</v>
      </c>
      <c r="I31" s="406" t="s">
        <v>2597</v>
      </c>
      <c r="J31" s="402" t="s">
        <v>2329</v>
      </c>
      <c r="K31" s="406" t="s">
        <v>2598</v>
      </c>
      <c r="L31" s="406" t="s">
        <v>2599</v>
      </c>
      <c r="M31" s="406" t="s">
        <v>2600</v>
      </c>
      <c r="N31" s="402" t="s">
        <v>2248</v>
      </c>
      <c r="O31" s="406" t="s">
        <v>2601</v>
      </c>
      <c r="P31" s="403" t="s">
        <v>1777</v>
      </c>
      <c r="Q31" s="408" t="s">
        <v>30</v>
      </c>
      <c r="R31" s="394" t="s">
        <v>2291</v>
      </c>
      <c r="S31" s="394" t="s">
        <v>2291</v>
      </c>
      <c r="T31" s="448">
        <v>0.8</v>
      </c>
      <c r="U31" s="393"/>
      <c r="V31" s="393"/>
      <c r="W31" s="394"/>
      <c r="X31" s="409"/>
      <c r="Y31" s="410"/>
      <c r="Z31" s="393"/>
      <c r="AA31" s="393"/>
      <c r="AB31" s="394"/>
      <c r="AC31" s="394"/>
      <c r="AD31" s="411"/>
      <c r="AE31" s="392"/>
      <c r="AF31" s="393"/>
      <c r="AG31" s="394"/>
      <c r="AH31" s="409"/>
      <c r="AI31" s="410"/>
      <c r="AJ31" s="393"/>
      <c r="AK31" s="393"/>
      <c r="AL31" s="394"/>
      <c r="AM31" s="411" t="s">
        <v>2602</v>
      </c>
      <c r="AN31" s="450" t="s">
        <v>5339</v>
      </c>
      <c r="AO31" s="393"/>
      <c r="AP31" s="393"/>
      <c r="AQ31" s="394"/>
      <c r="AR31" s="411" t="s">
        <v>2602</v>
      </c>
      <c r="AS31" s="450" t="s">
        <v>5338</v>
      </c>
      <c r="AT31" s="393">
        <v>8</v>
      </c>
      <c r="AU31" s="393">
        <v>21</v>
      </c>
      <c r="AV31" s="394">
        <v>0.38</v>
      </c>
      <c r="AW31" s="381" t="s">
        <v>2603</v>
      </c>
      <c r="AX31" s="450" t="s">
        <v>2604</v>
      </c>
      <c r="AY31" s="393"/>
      <c r="AZ31" s="393"/>
      <c r="BA31" s="394"/>
      <c r="BB31" s="410" t="s">
        <v>2605</v>
      </c>
      <c r="BC31" s="450" t="s">
        <v>2606</v>
      </c>
      <c r="BD31" s="393"/>
      <c r="BE31" s="393"/>
      <c r="BF31" s="394"/>
      <c r="BG31" s="434" t="s">
        <v>2607</v>
      </c>
      <c r="BH31" s="450" t="s">
        <v>2608</v>
      </c>
      <c r="BI31" s="393">
        <v>25</v>
      </c>
      <c r="BJ31" s="393">
        <v>25</v>
      </c>
      <c r="BK31" s="394">
        <f>BI31/BJ31</f>
        <v>1</v>
      </c>
      <c r="BL31" s="434" t="s">
        <v>2609</v>
      </c>
      <c r="BM31" s="450" t="s">
        <v>2576</v>
      </c>
      <c r="BN31" s="393"/>
      <c r="BO31" s="393"/>
      <c r="BP31" s="394"/>
      <c r="BQ31" s="434" t="s">
        <v>5337</v>
      </c>
      <c r="BR31" s="450" t="s">
        <v>5336</v>
      </c>
      <c r="BS31" s="393"/>
      <c r="BT31" s="393"/>
      <c r="BU31" s="394"/>
      <c r="BV31" s="434" t="s">
        <v>5335</v>
      </c>
      <c r="BW31" s="450" t="s">
        <v>5334</v>
      </c>
      <c r="BX31" s="393">
        <v>22</v>
      </c>
      <c r="BY31" s="393">
        <v>24</v>
      </c>
      <c r="BZ31" s="394">
        <f>+BX31/BY31</f>
        <v>0.91666666666666663</v>
      </c>
      <c r="CA31" s="434" t="s">
        <v>5333</v>
      </c>
      <c r="CB31" s="411" t="s">
        <v>5332</v>
      </c>
      <c r="CC31" s="875" t="s">
        <v>5331</v>
      </c>
      <c r="CE31" s="415">
        <f>+U31+Z31+AE31+AJ31+AO31+AT31+AY31+BD31+BI31+BN31+BS31+BX31</f>
        <v>55</v>
      </c>
      <c r="CF31" s="415">
        <f>+V31+AA31+AF31+AK31+AP31+AU31+AZ31+BE31+BJ31+BO31+BT31+BY31</f>
        <v>70</v>
      </c>
      <c r="CG31" s="416">
        <f>+CE31/CF31</f>
        <v>0.7857142857142857</v>
      </c>
      <c r="CH31" s="416">
        <f>+CG31</f>
        <v>0.7857142857142857</v>
      </c>
      <c r="CI31" s="416">
        <f>+T31</f>
        <v>0.8</v>
      </c>
      <c r="CJ31" s="416">
        <f>+CH31/CI31</f>
        <v>0.9821428571428571</v>
      </c>
      <c r="CK31" s="415"/>
    </row>
    <row r="32" spans="2:89" s="389" customFormat="1" ht="353.25" customHeight="1" x14ac:dyDescent="0.25">
      <c r="B32" s="369" t="s">
        <v>116</v>
      </c>
      <c r="C32" s="369" t="s">
        <v>41</v>
      </c>
      <c r="D32" s="372" t="s">
        <v>78</v>
      </c>
      <c r="E32" s="438" t="s">
        <v>2610</v>
      </c>
      <c r="F32" s="371" t="s">
        <v>2611</v>
      </c>
      <c r="G32" s="453" t="s">
        <v>2612</v>
      </c>
      <c r="H32" s="439" t="s">
        <v>2613</v>
      </c>
      <c r="I32" s="454" t="s">
        <v>2614</v>
      </c>
      <c r="J32" s="370" t="s">
        <v>2244</v>
      </c>
      <c r="K32" s="439" t="s">
        <v>2615</v>
      </c>
      <c r="L32" s="455" t="s">
        <v>2616</v>
      </c>
      <c r="M32" s="455" t="s">
        <v>2617</v>
      </c>
      <c r="N32" s="369" t="s">
        <v>2248</v>
      </c>
      <c r="O32" s="455" t="s">
        <v>2618</v>
      </c>
      <c r="P32" s="370" t="s">
        <v>2366</v>
      </c>
      <c r="Q32" s="442" t="s">
        <v>30</v>
      </c>
      <c r="R32" s="456">
        <v>0.86</v>
      </c>
      <c r="S32" s="369" t="s">
        <v>2248</v>
      </c>
      <c r="T32" s="373">
        <v>1</v>
      </c>
      <c r="U32" s="393"/>
      <c r="V32" s="393"/>
      <c r="W32" s="394"/>
      <c r="X32" s="457" t="s">
        <v>2619</v>
      </c>
      <c r="Y32" s="458" t="s">
        <v>2620</v>
      </c>
      <c r="Z32" s="376"/>
      <c r="AA32" s="376"/>
      <c r="AB32" s="377"/>
      <c r="AC32" s="457" t="s">
        <v>2621</v>
      </c>
      <c r="AD32" s="459" t="s">
        <v>2620</v>
      </c>
      <c r="AE32" s="392"/>
      <c r="AF32" s="393"/>
      <c r="AG32" s="394"/>
      <c r="AH32" s="450" t="s">
        <v>2622</v>
      </c>
      <c r="AI32" s="459" t="s">
        <v>2623</v>
      </c>
      <c r="AJ32" s="393"/>
      <c r="AK32" s="393"/>
      <c r="AL32" s="394"/>
      <c r="AM32" s="457" t="s">
        <v>2624</v>
      </c>
      <c r="AN32" s="459" t="s">
        <v>2625</v>
      </c>
      <c r="AO32" s="392"/>
      <c r="AP32" s="393"/>
      <c r="AQ32" s="394"/>
      <c r="AR32" s="457" t="s">
        <v>2626</v>
      </c>
      <c r="AS32" s="459" t="s">
        <v>2627</v>
      </c>
      <c r="AT32" s="393">
        <v>0</v>
      </c>
      <c r="AU32" s="393">
        <v>1</v>
      </c>
      <c r="AV32" s="394">
        <f>+AT32/AU32</f>
        <v>0</v>
      </c>
      <c r="AW32" s="457" t="s">
        <v>2628</v>
      </c>
      <c r="AX32" s="460" t="s">
        <v>2629</v>
      </c>
      <c r="AY32" s="392"/>
      <c r="AZ32" s="393"/>
      <c r="BA32" s="394"/>
      <c r="BB32" s="457" t="s">
        <v>2630</v>
      </c>
      <c r="BC32" s="450" t="s">
        <v>2631</v>
      </c>
      <c r="BD32" s="393"/>
      <c r="BE32" s="393"/>
      <c r="BF32" s="394"/>
      <c r="BG32" s="461" t="s">
        <v>2632</v>
      </c>
      <c r="BH32" s="462" t="s">
        <v>2633</v>
      </c>
      <c r="BI32" s="392"/>
      <c r="BJ32" s="393"/>
      <c r="BK32" s="394"/>
      <c r="BL32" s="862" t="s">
        <v>2634</v>
      </c>
      <c r="BM32" s="837" t="s">
        <v>2635</v>
      </c>
      <c r="BN32" s="518"/>
      <c r="BO32" s="518"/>
      <c r="BP32" s="396"/>
      <c r="BQ32" s="827" t="s">
        <v>5330</v>
      </c>
      <c r="BR32" s="518" t="s">
        <v>5329</v>
      </c>
      <c r="BS32" s="392"/>
      <c r="BT32" s="393"/>
      <c r="BU32" s="394"/>
      <c r="BV32" s="461" t="s">
        <v>5328</v>
      </c>
      <c r="BW32" s="518" t="s">
        <v>4986</v>
      </c>
      <c r="BX32" s="393">
        <v>1</v>
      </c>
      <c r="BY32" s="393">
        <v>1</v>
      </c>
      <c r="BZ32" s="394">
        <f>BX32/BY32</f>
        <v>1</v>
      </c>
      <c r="CA32" s="461" t="s">
        <v>5327</v>
      </c>
      <c r="CB32" s="518" t="s">
        <v>4986</v>
      </c>
      <c r="CC32" s="851" t="s">
        <v>5326</v>
      </c>
      <c r="CE32" s="388">
        <f>+U32+Z32+AE32+AJ32+AO32+AT32+AY32+BD32+BI32+BN32+BS32+BX32</f>
        <v>1</v>
      </c>
      <c r="CF32" s="388">
        <f>+V32+AA32+AF32+AK32+AP32+AU32+AZ32+BE32+BJ32+BO32+BT32+BY32</f>
        <v>2</v>
      </c>
      <c r="CG32" s="435">
        <f>+CE32/CF32</f>
        <v>0.5</v>
      </c>
      <c r="CH32" s="435">
        <f>+CG32</f>
        <v>0.5</v>
      </c>
      <c r="CI32" s="435">
        <f>+T32</f>
        <v>1</v>
      </c>
      <c r="CJ32" s="435">
        <f>+CH32/CI32</f>
        <v>0.5</v>
      </c>
      <c r="CK32" s="388"/>
    </row>
    <row r="33" spans="1:90" s="389" customFormat="1" ht="176.25" customHeight="1" x14ac:dyDescent="0.25">
      <c r="B33" s="369" t="s">
        <v>116</v>
      </c>
      <c r="C33" s="369" t="s">
        <v>41</v>
      </c>
      <c r="D33" s="372" t="s">
        <v>78</v>
      </c>
      <c r="E33" s="438" t="s">
        <v>2636</v>
      </c>
      <c r="F33" s="371" t="s">
        <v>2611</v>
      </c>
      <c r="G33" s="454" t="s">
        <v>2637</v>
      </c>
      <c r="H33" s="454" t="s">
        <v>2638</v>
      </c>
      <c r="I33" s="439" t="s">
        <v>2639</v>
      </c>
      <c r="J33" s="370" t="s">
        <v>2244</v>
      </c>
      <c r="K33" s="439" t="s">
        <v>2640</v>
      </c>
      <c r="L33" s="439" t="s">
        <v>2641</v>
      </c>
      <c r="M33" s="439" t="s">
        <v>2642</v>
      </c>
      <c r="N33" s="369" t="s">
        <v>2248</v>
      </c>
      <c r="O33" s="439" t="s">
        <v>2641</v>
      </c>
      <c r="P33" s="370" t="s">
        <v>1756</v>
      </c>
      <c r="Q33" s="442" t="s">
        <v>30</v>
      </c>
      <c r="R33" s="456">
        <v>0.61699999999999999</v>
      </c>
      <c r="S33" s="369" t="s">
        <v>2248</v>
      </c>
      <c r="T33" s="373">
        <v>0.6</v>
      </c>
      <c r="U33" s="393"/>
      <c r="V33" s="393"/>
      <c r="W33" s="394"/>
      <c r="X33" s="457" t="s">
        <v>2643</v>
      </c>
      <c r="Y33" s="458" t="s">
        <v>2620</v>
      </c>
      <c r="Z33" s="376"/>
      <c r="AA33" s="376"/>
      <c r="AB33" s="377"/>
      <c r="AC33" s="457" t="s">
        <v>2644</v>
      </c>
      <c r="AD33" s="459" t="s">
        <v>2620</v>
      </c>
      <c r="AE33" s="392"/>
      <c r="AF33" s="393"/>
      <c r="AG33" s="394"/>
      <c r="AH33" s="450" t="s">
        <v>2645</v>
      </c>
      <c r="AI33" s="459" t="s">
        <v>2623</v>
      </c>
      <c r="AJ33" s="393"/>
      <c r="AK33" s="393"/>
      <c r="AL33" s="394"/>
      <c r="AM33" s="450" t="s">
        <v>2646</v>
      </c>
      <c r="AN33" s="459" t="s">
        <v>2647</v>
      </c>
      <c r="AO33" s="392"/>
      <c r="AP33" s="393"/>
      <c r="AQ33" s="394"/>
      <c r="AR33" s="450" t="s">
        <v>2648</v>
      </c>
      <c r="AS33" s="459" t="s">
        <v>2627</v>
      </c>
      <c r="AT33" s="393"/>
      <c r="AU33" s="393"/>
      <c r="AV33" s="394"/>
      <c r="AW33" s="450" t="s">
        <v>2649</v>
      </c>
      <c r="AX33" s="459" t="s">
        <v>2650</v>
      </c>
      <c r="AY33" s="392"/>
      <c r="AZ33" s="393"/>
      <c r="BA33" s="394"/>
      <c r="BB33" s="450" t="s">
        <v>2651</v>
      </c>
      <c r="BC33" s="450" t="s">
        <v>2631</v>
      </c>
      <c r="BD33" s="393"/>
      <c r="BE33" s="393"/>
      <c r="BF33" s="394"/>
      <c r="BG33" s="450" t="s">
        <v>2652</v>
      </c>
      <c r="BH33" s="462" t="s">
        <v>2633</v>
      </c>
      <c r="BI33" s="463"/>
      <c r="BJ33" s="431"/>
      <c r="BK33" s="431"/>
      <c r="BL33" s="827" t="s">
        <v>2653</v>
      </c>
      <c r="BM33" s="827" t="s">
        <v>2654</v>
      </c>
      <c r="BN33" s="518"/>
      <c r="BO33" s="518"/>
      <c r="BP33" s="396"/>
      <c r="BQ33" s="827" t="s">
        <v>5325</v>
      </c>
      <c r="BR33" s="518" t="s">
        <v>5324</v>
      </c>
      <c r="BS33" s="392"/>
      <c r="BT33" s="393"/>
      <c r="BU33" s="394"/>
      <c r="BV33" s="450" t="s">
        <v>5323</v>
      </c>
      <c r="BW33" s="518" t="s">
        <v>4986</v>
      </c>
      <c r="BX33" s="519">
        <v>327</v>
      </c>
      <c r="BY33" s="519">
        <v>498</v>
      </c>
      <c r="BZ33" s="394">
        <f>BX33/BY33</f>
        <v>0.65662650602409633</v>
      </c>
      <c r="CA33" s="450" t="s">
        <v>5322</v>
      </c>
      <c r="CB33" s="518" t="s">
        <v>4986</v>
      </c>
      <c r="CC33" s="851" t="s">
        <v>5321</v>
      </c>
      <c r="CE33" s="388">
        <f>+U33+Z33+AE33+AJ33+AO33+AT33+AY33+BD33+BI33+BN33+BS33+BX33</f>
        <v>327</v>
      </c>
      <c r="CF33" s="388">
        <f>+V33+AA33+AF33+AK33+AP33+AU33+AZ33+BE33+BJ33+BO33+BT33+BY33</f>
        <v>498</v>
      </c>
      <c r="CG33" s="435">
        <f>+CE33/CF33</f>
        <v>0.65662650602409633</v>
      </c>
      <c r="CH33" s="435">
        <f>+CG33</f>
        <v>0.65662650602409633</v>
      </c>
      <c r="CI33" s="435">
        <f>+T33</f>
        <v>0.6</v>
      </c>
      <c r="CJ33" s="435">
        <f>+CH33/CI33</f>
        <v>1.0943775100401607</v>
      </c>
      <c r="CK33" s="388"/>
    </row>
    <row r="34" spans="1:90" s="389" customFormat="1" ht="373.5" customHeight="1" x14ac:dyDescent="0.25">
      <c r="B34" s="369" t="s">
        <v>2655</v>
      </c>
      <c r="C34" s="369" t="s">
        <v>2291</v>
      </c>
      <c r="D34" s="372" t="s">
        <v>91</v>
      </c>
      <c r="E34" s="370" t="s">
        <v>2656</v>
      </c>
      <c r="F34" s="371" t="s">
        <v>2657</v>
      </c>
      <c r="G34" s="369" t="s">
        <v>2658</v>
      </c>
      <c r="H34" s="372" t="s">
        <v>2659</v>
      </c>
      <c r="I34" s="372" t="s">
        <v>2660</v>
      </c>
      <c r="J34" s="370" t="s">
        <v>2329</v>
      </c>
      <c r="K34" s="372" t="s">
        <v>2661</v>
      </c>
      <c r="L34" s="372" t="s">
        <v>2662</v>
      </c>
      <c r="M34" s="372" t="s">
        <v>2663</v>
      </c>
      <c r="N34" s="369" t="s">
        <v>2248</v>
      </c>
      <c r="O34" s="369" t="s">
        <v>2664</v>
      </c>
      <c r="P34" s="370" t="s">
        <v>1747</v>
      </c>
      <c r="Q34" s="369" t="s">
        <v>30</v>
      </c>
      <c r="R34" s="373">
        <v>0.81</v>
      </c>
      <c r="S34" s="369" t="s">
        <v>2248</v>
      </c>
      <c r="T34" s="375">
        <v>0.9</v>
      </c>
      <c r="U34" s="394">
        <v>0.88</v>
      </c>
      <c r="V34" s="394">
        <v>0.9</v>
      </c>
      <c r="W34" s="394">
        <f>+U34/V34</f>
        <v>0.97777777777777775</v>
      </c>
      <c r="X34" s="464" t="s">
        <v>2665</v>
      </c>
      <c r="Y34" s="410" t="s">
        <v>2666</v>
      </c>
      <c r="Z34" s="394">
        <v>0.84</v>
      </c>
      <c r="AA34" s="394">
        <v>0.9</v>
      </c>
      <c r="AB34" s="394">
        <f>+Z34/AA34</f>
        <v>0.93333333333333324</v>
      </c>
      <c r="AC34" s="411" t="s">
        <v>2667</v>
      </c>
      <c r="AD34" s="410" t="s">
        <v>2666</v>
      </c>
      <c r="AE34" s="394">
        <v>0.87</v>
      </c>
      <c r="AF34" s="394">
        <v>0.9</v>
      </c>
      <c r="AG34" s="394">
        <f>+AE34/AF34</f>
        <v>0.96666666666666667</v>
      </c>
      <c r="AH34" s="411" t="s">
        <v>2668</v>
      </c>
      <c r="AI34" s="410" t="s">
        <v>2669</v>
      </c>
      <c r="AJ34" s="394">
        <v>0.86</v>
      </c>
      <c r="AK34" s="394">
        <v>0.9</v>
      </c>
      <c r="AL34" s="394">
        <f>+AJ34/AK34</f>
        <v>0.95555555555555549</v>
      </c>
      <c r="AM34" s="411" t="s">
        <v>2670</v>
      </c>
      <c r="AN34" s="450" t="s">
        <v>2671</v>
      </c>
      <c r="AO34" s="394">
        <v>0.89</v>
      </c>
      <c r="AP34" s="394">
        <v>0.9</v>
      </c>
      <c r="AQ34" s="394">
        <f>+AO34/AP34</f>
        <v>0.98888888888888893</v>
      </c>
      <c r="AR34" s="410" t="s">
        <v>2672</v>
      </c>
      <c r="AS34" s="450" t="s">
        <v>2673</v>
      </c>
      <c r="AT34" s="394">
        <v>0.9</v>
      </c>
      <c r="AU34" s="394">
        <v>0.9</v>
      </c>
      <c r="AV34" s="394">
        <f>+AT34/AU34</f>
        <v>1</v>
      </c>
      <c r="AW34" s="411" t="s">
        <v>2674</v>
      </c>
      <c r="AX34" s="450" t="s">
        <v>2675</v>
      </c>
      <c r="AY34" s="394">
        <v>0.91</v>
      </c>
      <c r="AZ34" s="394">
        <v>0.9</v>
      </c>
      <c r="BA34" s="394">
        <f>+AY34/AZ34</f>
        <v>1.0111111111111111</v>
      </c>
      <c r="BB34" s="410" t="s">
        <v>2676</v>
      </c>
      <c r="BC34" s="450" t="s">
        <v>2677</v>
      </c>
      <c r="BD34" s="394">
        <v>0.92</v>
      </c>
      <c r="BE34" s="394">
        <v>0.9</v>
      </c>
      <c r="BF34" s="394">
        <f>+BD34/BE34</f>
        <v>1.0222222222222221</v>
      </c>
      <c r="BG34" s="411" t="s">
        <v>2678</v>
      </c>
      <c r="BH34" s="450" t="s">
        <v>2679</v>
      </c>
      <c r="BI34" s="394">
        <v>0.92</v>
      </c>
      <c r="BJ34" s="394">
        <v>0.9</v>
      </c>
      <c r="BK34" s="394">
        <f>+BI34/BJ34</f>
        <v>1.0222222222222221</v>
      </c>
      <c r="BL34" s="411" t="s">
        <v>2680</v>
      </c>
      <c r="BM34" s="410" t="s">
        <v>2681</v>
      </c>
      <c r="BN34" s="394">
        <v>0.93</v>
      </c>
      <c r="BO34" s="394">
        <v>0.9</v>
      </c>
      <c r="BP34" s="394">
        <f>+BN34/BO34</f>
        <v>1.0333333333333334</v>
      </c>
      <c r="BQ34" s="411" t="s">
        <v>5320</v>
      </c>
      <c r="BR34" s="450" t="s">
        <v>5319</v>
      </c>
      <c r="BS34" s="394">
        <v>0.91</v>
      </c>
      <c r="BT34" s="394">
        <v>0.9</v>
      </c>
      <c r="BU34" s="394">
        <f>+BS34/BT34</f>
        <v>1.0111111111111111</v>
      </c>
      <c r="BV34" s="411" t="s">
        <v>5318</v>
      </c>
      <c r="BW34" s="461" t="s">
        <v>5317</v>
      </c>
      <c r="BX34" s="466">
        <v>0.9</v>
      </c>
      <c r="BY34" s="466">
        <v>0.9</v>
      </c>
      <c r="BZ34" s="394">
        <f>+BY34/BX34</f>
        <v>1</v>
      </c>
      <c r="CA34" s="411" t="s">
        <v>5316</v>
      </c>
      <c r="CB34" s="461" t="s">
        <v>5315</v>
      </c>
      <c r="CC34" s="851" t="s">
        <v>5314</v>
      </c>
      <c r="CE34" s="435">
        <f>(T34+Z34+AE34+AJ34+AO34+AT34+AY34+BD34+BI34+BN34+BS34+BX34)/12</f>
        <v>0.89583333333333337</v>
      </c>
      <c r="CF34" s="435">
        <f>(V34+AA34+AF34+AK34+AP34+AU34+AZ34+BE34+BJ34+BO34+BT34+BY34)/12</f>
        <v>0.90000000000000024</v>
      </c>
      <c r="CG34" s="435">
        <f>CE34/CF34</f>
        <v>0.99537037037037013</v>
      </c>
      <c r="CH34" s="435">
        <f>CE34</f>
        <v>0.89583333333333337</v>
      </c>
      <c r="CI34" s="435">
        <f>T34</f>
        <v>0.9</v>
      </c>
      <c r="CJ34" s="435">
        <f>CH34/CI34</f>
        <v>0.99537037037037035</v>
      </c>
      <c r="CK34" s="388"/>
    </row>
    <row r="35" spans="1:90" s="401" customFormat="1" ht="252" x14ac:dyDescent="0.25">
      <c r="A35" s="879"/>
      <c r="B35" s="855" t="s">
        <v>2655</v>
      </c>
      <c r="C35" s="855" t="s">
        <v>106</v>
      </c>
      <c r="D35" s="855" t="s">
        <v>91</v>
      </c>
      <c r="E35" s="855" t="s">
        <v>2682</v>
      </c>
      <c r="F35" s="869" t="s">
        <v>2683</v>
      </c>
      <c r="G35" s="855" t="s">
        <v>2684</v>
      </c>
      <c r="H35" s="855" t="s">
        <v>2685</v>
      </c>
      <c r="I35" s="855" t="s">
        <v>2686</v>
      </c>
      <c r="J35" s="868" t="s">
        <v>2329</v>
      </c>
      <c r="K35" s="390" t="s">
        <v>2687</v>
      </c>
      <c r="L35" s="855" t="s">
        <v>2662</v>
      </c>
      <c r="M35" s="855" t="s">
        <v>2688</v>
      </c>
      <c r="N35" s="855" t="s">
        <v>2248</v>
      </c>
      <c r="O35" s="855" t="s">
        <v>2689</v>
      </c>
      <c r="P35" s="403" t="s">
        <v>1747</v>
      </c>
      <c r="Q35" s="855" t="s">
        <v>30</v>
      </c>
      <c r="R35" s="878">
        <v>0.91</v>
      </c>
      <c r="S35" s="868" t="s">
        <v>2248</v>
      </c>
      <c r="T35" s="467">
        <v>0.95</v>
      </c>
      <c r="U35" s="394">
        <v>0.93</v>
      </c>
      <c r="V35" s="394">
        <v>0.95</v>
      </c>
      <c r="W35" s="394">
        <f>+U35/V35</f>
        <v>0.97894736842105268</v>
      </c>
      <c r="X35" s="396" t="s">
        <v>2690</v>
      </c>
      <c r="Y35" s="395" t="s">
        <v>2666</v>
      </c>
      <c r="Z35" s="394">
        <v>0.93</v>
      </c>
      <c r="AA35" s="394">
        <v>0.95</v>
      </c>
      <c r="AB35" s="394">
        <f>+Z35/AA35</f>
        <v>0.97894736842105268</v>
      </c>
      <c r="AC35" s="396" t="s">
        <v>2691</v>
      </c>
      <c r="AD35" s="395" t="s">
        <v>2666</v>
      </c>
      <c r="AE35" s="394">
        <v>0.93</v>
      </c>
      <c r="AF35" s="394">
        <v>0.95</v>
      </c>
      <c r="AG35" s="394">
        <f>+AE35/AF35</f>
        <v>0.97894736842105268</v>
      </c>
      <c r="AH35" s="395" t="s">
        <v>2692</v>
      </c>
      <c r="AI35" s="395" t="s">
        <v>2693</v>
      </c>
      <c r="AJ35" s="394">
        <v>0.96</v>
      </c>
      <c r="AK35" s="394">
        <v>0.95</v>
      </c>
      <c r="AL35" s="394">
        <f>+AJ35/AK35</f>
        <v>1.0105263157894737</v>
      </c>
      <c r="AM35" s="396" t="s">
        <v>2694</v>
      </c>
      <c r="AN35" s="395" t="s">
        <v>2695</v>
      </c>
      <c r="AO35" s="468">
        <v>0.92</v>
      </c>
      <c r="AP35" s="394">
        <v>0.95</v>
      </c>
      <c r="AQ35" s="394">
        <f>+AO35/AP35</f>
        <v>0.96842105263157907</v>
      </c>
      <c r="AR35" s="395" t="s">
        <v>2696</v>
      </c>
      <c r="AS35" s="395" t="s">
        <v>2697</v>
      </c>
      <c r="AT35" s="394">
        <v>0.92</v>
      </c>
      <c r="AU35" s="394">
        <f>+AP35</f>
        <v>0.95</v>
      </c>
      <c r="AV35" s="394">
        <f>+AT35/AU35</f>
        <v>0.96842105263157907</v>
      </c>
      <c r="AW35" s="396" t="s">
        <v>2698</v>
      </c>
      <c r="AX35" s="862" t="s">
        <v>2699</v>
      </c>
      <c r="AY35" s="394">
        <v>0.95</v>
      </c>
      <c r="AZ35" s="394">
        <v>0.95</v>
      </c>
      <c r="BA35" s="394">
        <f>+AY35/AZ35</f>
        <v>1</v>
      </c>
      <c r="BB35" s="395" t="s">
        <v>2700</v>
      </c>
      <c r="BC35" s="862" t="s">
        <v>2701</v>
      </c>
      <c r="BD35" s="394">
        <v>0.92</v>
      </c>
      <c r="BE35" s="394">
        <v>0.95</v>
      </c>
      <c r="BF35" s="394">
        <f>+BD35/BE35</f>
        <v>0.96842105263157907</v>
      </c>
      <c r="BG35" s="396" t="s">
        <v>2702</v>
      </c>
      <c r="BH35" s="862" t="s">
        <v>2548</v>
      </c>
      <c r="BI35" s="394">
        <v>0.97</v>
      </c>
      <c r="BJ35" s="394">
        <v>0.95</v>
      </c>
      <c r="BK35" s="394">
        <f>+BI35/BJ35</f>
        <v>1.0210526315789474</v>
      </c>
      <c r="BL35" s="410" t="s">
        <v>2703</v>
      </c>
      <c r="BM35" s="862" t="s">
        <v>2550</v>
      </c>
      <c r="BN35" s="394">
        <v>0.98</v>
      </c>
      <c r="BO35" s="394">
        <v>0.95</v>
      </c>
      <c r="BP35" s="394">
        <v>1.03</v>
      </c>
      <c r="BQ35" s="395" t="s">
        <v>5313</v>
      </c>
      <c r="BR35" s="862" t="s">
        <v>5312</v>
      </c>
      <c r="BS35" s="394">
        <v>0.97</v>
      </c>
      <c r="BT35" s="394">
        <v>0.95</v>
      </c>
      <c r="BU35" s="394">
        <f>+BS35/BT35</f>
        <v>1.0210526315789474</v>
      </c>
      <c r="BV35" s="396" t="s">
        <v>5311</v>
      </c>
      <c r="BW35" s="862" t="s">
        <v>5310</v>
      </c>
      <c r="BX35" s="394">
        <v>0.93</v>
      </c>
      <c r="BY35" s="394">
        <v>0.95</v>
      </c>
      <c r="BZ35" s="394">
        <v>0.98</v>
      </c>
      <c r="CA35" s="396" t="s">
        <v>5309</v>
      </c>
      <c r="CB35" s="862" t="s">
        <v>5165</v>
      </c>
      <c r="CC35" s="851" t="s">
        <v>5308</v>
      </c>
      <c r="CE35" s="416">
        <f>(+U35+Z35+AE35+AJ35+AO35+AT35+AY35+BD35+BI35+BN35+BS35+BX35)/12</f>
        <v>0.9425</v>
      </c>
      <c r="CF35" s="416">
        <f>(+V35+AA35+AF35+AK35+AP35+AU35+AZ35+BE35+BJ35+BO35+BT35+BY35)/12</f>
        <v>0.94999999999999984</v>
      </c>
      <c r="CG35" s="416">
        <f>+CE35/CF35</f>
        <v>0.99210526315789493</v>
      </c>
      <c r="CH35" s="416">
        <f>CE35</f>
        <v>0.9425</v>
      </c>
      <c r="CI35" s="416">
        <f>+T35</f>
        <v>0.95</v>
      </c>
      <c r="CJ35" s="416">
        <f>+CH35/CI35</f>
        <v>0.99210526315789482</v>
      </c>
      <c r="CK35" s="415"/>
    </row>
    <row r="36" spans="1:90" s="401" customFormat="1" ht="168" x14ac:dyDescent="0.25">
      <c r="B36" s="402" t="s">
        <v>137</v>
      </c>
      <c r="C36" s="470" t="s">
        <v>2238</v>
      </c>
      <c r="D36" s="439" t="s">
        <v>2728</v>
      </c>
      <c r="E36" s="471" t="s">
        <v>2729</v>
      </c>
      <c r="F36" s="406" t="s">
        <v>2730</v>
      </c>
      <c r="G36" s="439" t="s">
        <v>2731</v>
      </c>
      <c r="H36" s="439" t="s">
        <v>2732</v>
      </c>
      <c r="I36" s="439" t="s">
        <v>2733</v>
      </c>
      <c r="J36" s="440" t="s">
        <v>2271</v>
      </c>
      <c r="K36" s="406" t="s">
        <v>2734</v>
      </c>
      <c r="L36" s="439" t="s">
        <v>2735</v>
      </c>
      <c r="M36" s="439" t="s">
        <v>2736</v>
      </c>
      <c r="N36" s="438" t="s">
        <v>2248</v>
      </c>
      <c r="O36" s="406" t="s">
        <v>2737</v>
      </c>
      <c r="P36" s="440" t="s">
        <v>1777</v>
      </c>
      <c r="Q36" s="408" t="s">
        <v>30</v>
      </c>
      <c r="R36" s="377">
        <v>0.7</v>
      </c>
      <c r="S36" s="440" t="s">
        <v>2248</v>
      </c>
      <c r="T36" s="377">
        <v>0.71</v>
      </c>
      <c r="U36" s="393"/>
      <c r="V36" s="393"/>
      <c r="W36" s="394"/>
      <c r="X36" s="410" t="s">
        <v>2738</v>
      </c>
      <c r="Y36" s="410" t="s">
        <v>2739</v>
      </c>
      <c r="Z36" s="393"/>
      <c r="AA36" s="393"/>
      <c r="AB36" s="394"/>
      <c r="AC36" s="411" t="s">
        <v>2740</v>
      </c>
      <c r="AD36" s="411" t="s">
        <v>2739</v>
      </c>
      <c r="AE36" s="392"/>
      <c r="AF36" s="393"/>
      <c r="AG36" s="394"/>
      <c r="AH36" s="410" t="s">
        <v>2741</v>
      </c>
      <c r="AI36" s="410" t="s">
        <v>2742</v>
      </c>
      <c r="AJ36" s="393"/>
      <c r="AK36" s="393"/>
      <c r="AL36" s="394"/>
      <c r="AM36" s="411" t="s">
        <v>2743</v>
      </c>
      <c r="AN36" s="411" t="s">
        <v>2744</v>
      </c>
      <c r="AO36" s="392"/>
      <c r="AP36" s="393"/>
      <c r="AQ36" s="394"/>
      <c r="AR36" s="410" t="s">
        <v>2745</v>
      </c>
      <c r="AS36" s="411" t="s">
        <v>2746</v>
      </c>
      <c r="AT36" s="393">
        <v>108</v>
      </c>
      <c r="AU36" s="393">
        <v>146</v>
      </c>
      <c r="AV36" s="394">
        <f>+AT36/AU36</f>
        <v>0.73972602739726023</v>
      </c>
      <c r="AW36" s="410" t="s">
        <v>2747</v>
      </c>
      <c r="AX36" s="411" t="s">
        <v>2748</v>
      </c>
      <c r="AY36" s="392"/>
      <c r="AZ36" s="393"/>
      <c r="BA36" s="394"/>
      <c r="BB36" s="410" t="s">
        <v>2749</v>
      </c>
      <c r="BC36" s="410" t="s">
        <v>2750</v>
      </c>
      <c r="BD36" s="393"/>
      <c r="BE36" s="393"/>
      <c r="BF36" s="394"/>
      <c r="BG36" s="411" t="s">
        <v>2751</v>
      </c>
      <c r="BH36" s="411" t="s">
        <v>2752</v>
      </c>
      <c r="BI36" s="392">
        <v>60</v>
      </c>
      <c r="BJ36" s="393">
        <v>64</v>
      </c>
      <c r="BK36" s="394">
        <f>+BI36/BJ36</f>
        <v>0.9375</v>
      </c>
      <c r="BL36" s="411" t="s">
        <v>2753</v>
      </c>
      <c r="BM36" s="410" t="s">
        <v>2754</v>
      </c>
      <c r="BN36" s="393"/>
      <c r="BO36" s="393"/>
      <c r="BP36" s="394"/>
      <c r="BQ36" s="411" t="s">
        <v>5307</v>
      </c>
      <c r="BR36" s="877" t="s">
        <v>5283</v>
      </c>
      <c r="BS36" s="392"/>
      <c r="BT36" s="393"/>
      <c r="BU36" s="394"/>
      <c r="BV36" s="411" t="s">
        <v>5306</v>
      </c>
      <c r="BW36" s="877" t="s">
        <v>5281</v>
      </c>
      <c r="BX36" s="393">
        <v>71</v>
      </c>
      <c r="BY36" s="393">
        <v>98</v>
      </c>
      <c r="BZ36" s="394">
        <f>+BX36/BY36</f>
        <v>0.72448979591836737</v>
      </c>
      <c r="CA36" s="411" t="s">
        <v>5305</v>
      </c>
      <c r="CB36" s="411" t="s">
        <v>5279</v>
      </c>
      <c r="CC36" s="851" t="s">
        <v>5304</v>
      </c>
      <c r="CE36" s="415">
        <f>+AT36+BI36+BX36</f>
        <v>239</v>
      </c>
      <c r="CF36" s="415">
        <f>+AU36+BJ36+BY36</f>
        <v>308</v>
      </c>
      <c r="CG36" s="416">
        <f>+CE36/CF36</f>
        <v>0.77597402597402598</v>
      </c>
      <c r="CH36" s="416">
        <f>CG36</f>
        <v>0.77597402597402598</v>
      </c>
      <c r="CI36" s="416">
        <f>T36</f>
        <v>0.71</v>
      </c>
      <c r="CJ36" s="416">
        <f>+CH36/CI36</f>
        <v>1.0929211633436986</v>
      </c>
      <c r="CK36" s="415"/>
    </row>
    <row r="37" spans="1:90" s="389" customFormat="1" ht="288" x14ac:dyDescent="0.25">
      <c r="B37" s="402" t="s">
        <v>137</v>
      </c>
      <c r="C37" s="470" t="s">
        <v>2238</v>
      </c>
      <c r="D37" s="439" t="s">
        <v>65</v>
      </c>
      <c r="E37" s="471" t="s">
        <v>2755</v>
      </c>
      <c r="F37" s="372" t="s">
        <v>2730</v>
      </c>
      <c r="G37" s="439" t="s">
        <v>2756</v>
      </c>
      <c r="H37" s="439" t="s">
        <v>2757</v>
      </c>
      <c r="I37" s="439" t="s">
        <v>2758</v>
      </c>
      <c r="J37" s="440" t="s">
        <v>2329</v>
      </c>
      <c r="K37" s="439" t="s">
        <v>2759</v>
      </c>
      <c r="L37" s="439" t="s">
        <v>2760</v>
      </c>
      <c r="M37" s="439" t="s">
        <v>2761</v>
      </c>
      <c r="N37" s="438" t="s">
        <v>2248</v>
      </c>
      <c r="O37" s="439" t="s">
        <v>2762</v>
      </c>
      <c r="P37" s="440" t="s">
        <v>1777</v>
      </c>
      <c r="Q37" s="420" t="s">
        <v>30</v>
      </c>
      <c r="R37" s="373">
        <v>0.96</v>
      </c>
      <c r="S37" s="440" t="s">
        <v>2248</v>
      </c>
      <c r="T37" s="373">
        <v>0.96</v>
      </c>
      <c r="U37" s="393"/>
      <c r="V37" s="393"/>
      <c r="W37" s="394"/>
      <c r="X37" s="410" t="s">
        <v>2763</v>
      </c>
      <c r="Y37" s="410" t="s">
        <v>2739</v>
      </c>
      <c r="Z37" s="393"/>
      <c r="AA37" s="393"/>
      <c r="AB37" s="394"/>
      <c r="AC37" s="411" t="s">
        <v>2764</v>
      </c>
      <c r="AD37" s="411" t="s">
        <v>2739</v>
      </c>
      <c r="AE37" s="380">
        <v>407</v>
      </c>
      <c r="AF37" s="393">
        <v>416</v>
      </c>
      <c r="AG37" s="394">
        <f>+AE37/AF37</f>
        <v>0.97836538461538458</v>
      </c>
      <c r="AH37" s="410" t="s">
        <v>2765</v>
      </c>
      <c r="AI37" s="410" t="s">
        <v>2766</v>
      </c>
      <c r="AJ37" s="393"/>
      <c r="AK37" s="393"/>
      <c r="AL37" s="394"/>
      <c r="AM37" s="411" t="s">
        <v>2767</v>
      </c>
      <c r="AN37" s="411" t="s">
        <v>2744</v>
      </c>
      <c r="AO37" s="392"/>
      <c r="AP37" s="393"/>
      <c r="AQ37" s="394"/>
      <c r="AR37" s="410" t="s">
        <v>2768</v>
      </c>
      <c r="AS37" s="411" t="s">
        <v>2746</v>
      </c>
      <c r="AT37" s="393">
        <v>3441</v>
      </c>
      <c r="AU37" s="393">
        <v>3809</v>
      </c>
      <c r="AV37" s="394">
        <f>+AT37/AU37</f>
        <v>0.90338671567340512</v>
      </c>
      <c r="AW37" s="411" t="s">
        <v>2769</v>
      </c>
      <c r="AX37" s="411" t="s">
        <v>2770</v>
      </c>
      <c r="AY37" s="392"/>
      <c r="AZ37" s="393"/>
      <c r="BA37" s="394"/>
      <c r="BB37" s="410" t="s">
        <v>2771</v>
      </c>
      <c r="BC37" s="410" t="s">
        <v>2750</v>
      </c>
      <c r="BD37" s="393"/>
      <c r="BE37" s="393"/>
      <c r="BF37" s="394"/>
      <c r="BG37" s="411" t="s">
        <v>2772</v>
      </c>
      <c r="BH37" s="411" t="s">
        <v>2773</v>
      </c>
      <c r="BI37" s="392">
        <v>1025</v>
      </c>
      <c r="BJ37" s="393">
        <v>1315</v>
      </c>
      <c r="BK37" s="394">
        <f>+BI37/BJ37</f>
        <v>0.77946768060836502</v>
      </c>
      <c r="BL37" s="410" t="s">
        <v>2774</v>
      </c>
      <c r="BM37" s="410" t="s">
        <v>2775</v>
      </c>
      <c r="BN37" s="393"/>
      <c r="BO37" s="393"/>
      <c r="BP37" s="394"/>
      <c r="BQ37" s="411" t="s">
        <v>5303</v>
      </c>
      <c r="BR37" s="877" t="s">
        <v>5283</v>
      </c>
      <c r="BS37" s="392"/>
      <c r="BT37" s="393"/>
      <c r="BU37" s="394"/>
      <c r="BV37" s="411" t="s">
        <v>5302</v>
      </c>
      <c r="BW37" s="877" t="s">
        <v>5281</v>
      </c>
      <c r="BX37" s="393">
        <v>995</v>
      </c>
      <c r="BY37" s="393">
        <v>1156</v>
      </c>
      <c r="BZ37" s="394">
        <f>+BX37/BY37</f>
        <v>0.86072664359861595</v>
      </c>
      <c r="CA37" s="411" t="s">
        <v>5301</v>
      </c>
      <c r="CB37" s="411" t="s">
        <v>5279</v>
      </c>
      <c r="CC37" s="851" t="s">
        <v>5300</v>
      </c>
      <c r="CE37" s="415">
        <f>+U37+Z37+AE37+AJ37+AO37+AT37+AY37+BD37+BI37+BN37+BS37+BX37</f>
        <v>5868</v>
      </c>
      <c r="CF37" s="415">
        <f>+V37+AA37+AF37+AK37+AP37+AU37+AZ37+BE37+BJ37+BO37+BT37+BY37</f>
        <v>6696</v>
      </c>
      <c r="CG37" s="416">
        <f>+CE37/CF37</f>
        <v>0.87634408602150538</v>
      </c>
      <c r="CH37" s="416">
        <f>+CG37</f>
        <v>0.87634408602150538</v>
      </c>
      <c r="CI37" s="416">
        <f>+T37</f>
        <v>0.96</v>
      </c>
      <c r="CJ37" s="416">
        <f>+CH37/CI37</f>
        <v>0.91285842293906816</v>
      </c>
      <c r="CK37" s="388"/>
    </row>
    <row r="38" spans="1:90" s="389" customFormat="1" ht="204" x14ac:dyDescent="0.25">
      <c r="B38" s="369" t="s">
        <v>137</v>
      </c>
      <c r="C38" s="369" t="s">
        <v>2238</v>
      </c>
      <c r="D38" s="472" t="s">
        <v>65</v>
      </c>
      <c r="E38" s="370" t="s">
        <v>2776</v>
      </c>
      <c r="F38" s="372" t="s">
        <v>2730</v>
      </c>
      <c r="G38" s="473" t="s">
        <v>2777</v>
      </c>
      <c r="H38" s="473" t="s">
        <v>2778</v>
      </c>
      <c r="I38" s="473" t="s">
        <v>2779</v>
      </c>
      <c r="J38" s="474" t="s">
        <v>2329</v>
      </c>
      <c r="K38" s="372" t="s">
        <v>2780</v>
      </c>
      <c r="L38" s="473" t="s">
        <v>2781</v>
      </c>
      <c r="M38" s="473" t="s">
        <v>2782</v>
      </c>
      <c r="N38" s="475" t="s">
        <v>2248</v>
      </c>
      <c r="O38" s="473" t="s">
        <v>2783</v>
      </c>
      <c r="P38" s="474" t="s">
        <v>1777</v>
      </c>
      <c r="Q38" s="420" t="s">
        <v>60</v>
      </c>
      <c r="R38" s="373">
        <v>1</v>
      </c>
      <c r="S38" s="474" t="s">
        <v>2248</v>
      </c>
      <c r="T38" s="373">
        <v>1</v>
      </c>
      <c r="U38" s="393"/>
      <c r="V38" s="393"/>
      <c r="W38" s="394"/>
      <c r="X38" s="410" t="s">
        <v>2784</v>
      </c>
      <c r="Y38" s="410" t="s">
        <v>2739</v>
      </c>
      <c r="Z38" s="393"/>
      <c r="AA38" s="393"/>
      <c r="AB38" s="394"/>
      <c r="AC38" s="411" t="s">
        <v>2785</v>
      </c>
      <c r="AD38" s="411" t="s">
        <v>2739</v>
      </c>
      <c r="AE38" s="425">
        <v>1105</v>
      </c>
      <c r="AF38" s="421">
        <v>2175</v>
      </c>
      <c r="AG38" s="422">
        <f>+AE38/AF38</f>
        <v>0.50804597701149423</v>
      </c>
      <c r="AH38" s="424" t="s">
        <v>2786</v>
      </c>
      <c r="AI38" s="410" t="s">
        <v>2787</v>
      </c>
      <c r="AJ38" s="393"/>
      <c r="AK38" s="393"/>
      <c r="AL38" s="394"/>
      <c r="AM38" s="411" t="s">
        <v>2788</v>
      </c>
      <c r="AN38" s="411" t="s">
        <v>2744</v>
      </c>
      <c r="AO38" s="392"/>
      <c r="AP38" s="393"/>
      <c r="AQ38" s="394"/>
      <c r="AR38" s="410" t="s">
        <v>2789</v>
      </c>
      <c r="AS38" s="411" t="s">
        <v>2790</v>
      </c>
      <c r="AT38" s="376">
        <v>1766</v>
      </c>
      <c r="AU38" s="376">
        <v>1766</v>
      </c>
      <c r="AV38" s="394">
        <f>+AT38/AU38</f>
        <v>1</v>
      </c>
      <c r="AW38" s="411" t="s">
        <v>2791</v>
      </c>
      <c r="AX38" s="411" t="s">
        <v>2792</v>
      </c>
      <c r="AY38" s="392"/>
      <c r="AZ38" s="393"/>
      <c r="BA38" s="394"/>
      <c r="BB38" s="410" t="s">
        <v>2793</v>
      </c>
      <c r="BC38" s="410" t="s">
        <v>2750</v>
      </c>
      <c r="BD38" s="393"/>
      <c r="BE38" s="393"/>
      <c r="BF38" s="394"/>
      <c r="BG38" s="411" t="s">
        <v>2794</v>
      </c>
      <c r="BH38" s="411" t="s">
        <v>2773</v>
      </c>
      <c r="BI38" s="392"/>
      <c r="BJ38" s="393"/>
      <c r="BK38" s="394"/>
      <c r="BL38" s="410" t="s">
        <v>2795</v>
      </c>
      <c r="BM38" s="411" t="s">
        <v>2796</v>
      </c>
      <c r="BN38" s="393"/>
      <c r="BO38" s="393"/>
      <c r="BP38" s="394"/>
      <c r="BQ38" s="411" t="s">
        <v>5299</v>
      </c>
      <c r="BR38" s="877" t="s">
        <v>5283</v>
      </c>
      <c r="BS38" s="392"/>
      <c r="BT38" s="393"/>
      <c r="BU38" s="394"/>
      <c r="BV38" s="411" t="s">
        <v>5298</v>
      </c>
      <c r="BW38" s="877" t="s">
        <v>5281</v>
      </c>
      <c r="BX38" s="393"/>
      <c r="BY38" s="393"/>
      <c r="BZ38" s="394"/>
      <c r="CA38" s="411" t="s">
        <v>5297</v>
      </c>
      <c r="CB38" s="411" t="s">
        <v>5279</v>
      </c>
      <c r="CC38" s="851" t="s">
        <v>5296</v>
      </c>
      <c r="CE38" s="415">
        <v>1766</v>
      </c>
      <c r="CF38" s="415">
        <v>1766</v>
      </c>
      <c r="CG38" s="416">
        <f>+CE38/CF38</f>
        <v>1</v>
      </c>
      <c r="CH38" s="416">
        <f>+CG38</f>
        <v>1</v>
      </c>
      <c r="CI38" s="416">
        <f>+T38</f>
        <v>1</v>
      </c>
      <c r="CJ38" s="416">
        <f>+CH38/CI38</f>
        <v>1</v>
      </c>
      <c r="CK38" s="388"/>
    </row>
    <row r="39" spans="1:90" s="389" customFormat="1" ht="228" x14ac:dyDescent="0.25">
      <c r="B39" s="402" t="s">
        <v>137</v>
      </c>
      <c r="C39" s="402" t="s">
        <v>2238</v>
      </c>
      <c r="D39" s="439" t="s">
        <v>65</v>
      </c>
      <c r="E39" s="403" t="s">
        <v>2797</v>
      </c>
      <c r="F39" s="369" t="s">
        <v>2798</v>
      </c>
      <c r="G39" s="439" t="s">
        <v>2799</v>
      </c>
      <c r="H39" s="439" t="s">
        <v>2800</v>
      </c>
      <c r="I39" s="439" t="s">
        <v>2801</v>
      </c>
      <c r="J39" s="440" t="s">
        <v>2329</v>
      </c>
      <c r="K39" s="372" t="s">
        <v>2802</v>
      </c>
      <c r="L39" s="439" t="s">
        <v>2803</v>
      </c>
      <c r="M39" s="372" t="s">
        <v>2804</v>
      </c>
      <c r="N39" s="438" t="s">
        <v>2248</v>
      </c>
      <c r="O39" s="439" t="s">
        <v>2805</v>
      </c>
      <c r="P39" s="440" t="s">
        <v>1747</v>
      </c>
      <c r="Q39" s="420" t="s">
        <v>30</v>
      </c>
      <c r="R39" s="476">
        <v>6.0000000000000001E-3</v>
      </c>
      <c r="S39" s="440" t="s">
        <v>2248</v>
      </c>
      <c r="T39" s="476">
        <v>0.02</v>
      </c>
      <c r="U39" s="393">
        <v>52</v>
      </c>
      <c r="V39" s="393">
        <v>10411</v>
      </c>
      <c r="W39" s="477">
        <f>+U39/V39</f>
        <v>4.9947171261166077E-3</v>
      </c>
      <c r="X39" s="410" t="s">
        <v>2806</v>
      </c>
      <c r="Y39" s="410" t="s">
        <v>2739</v>
      </c>
      <c r="Z39" s="393">
        <v>42</v>
      </c>
      <c r="AA39" s="393">
        <v>10263</v>
      </c>
      <c r="AB39" s="477">
        <f>+Z39/AA39</f>
        <v>4.0923706518561824E-3</v>
      </c>
      <c r="AC39" s="411" t="s">
        <v>2807</v>
      </c>
      <c r="AD39" s="411" t="s">
        <v>2739</v>
      </c>
      <c r="AE39" s="392">
        <v>46</v>
      </c>
      <c r="AF39" s="393">
        <v>10385</v>
      </c>
      <c r="AG39" s="478">
        <f>+AE39/AF39</f>
        <v>4.4294655753490614E-3</v>
      </c>
      <c r="AH39" s="424" t="s">
        <v>5295</v>
      </c>
      <c r="AI39" s="410" t="s">
        <v>2742</v>
      </c>
      <c r="AJ39" s="393">
        <v>37</v>
      </c>
      <c r="AK39" s="393">
        <v>10382</v>
      </c>
      <c r="AL39" s="478">
        <f>+AJ39/AK39</f>
        <v>3.5638605278366401E-3</v>
      </c>
      <c r="AM39" s="411" t="s">
        <v>2808</v>
      </c>
      <c r="AN39" s="411" t="s">
        <v>2744</v>
      </c>
      <c r="AO39" s="393">
        <v>46</v>
      </c>
      <c r="AP39" s="393">
        <v>10485</v>
      </c>
      <c r="AQ39" s="478">
        <f>+AO39/AP39</f>
        <v>4.3872198378636148E-3</v>
      </c>
      <c r="AR39" s="410" t="s">
        <v>2809</v>
      </c>
      <c r="AS39" s="411" t="s">
        <v>2790</v>
      </c>
      <c r="AT39" s="393">
        <v>19</v>
      </c>
      <c r="AU39" s="393">
        <v>8964</v>
      </c>
      <c r="AV39" s="478">
        <f>+AT39/AU39</f>
        <v>2.1195894689870595E-3</v>
      </c>
      <c r="AW39" s="411" t="s">
        <v>2810</v>
      </c>
      <c r="AX39" s="411" t="s">
        <v>2811</v>
      </c>
      <c r="AY39" s="392">
        <v>30</v>
      </c>
      <c r="AZ39" s="393">
        <v>3450</v>
      </c>
      <c r="BA39" s="478">
        <f>+AY39/AZ39</f>
        <v>8.6956521739130436E-3</v>
      </c>
      <c r="BB39" s="410" t="s">
        <v>2812</v>
      </c>
      <c r="BC39" s="410" t="s">
        <v>2750</v>
      </c>
      <c r="BD39" s="393">
        <v>40</v>
      </c>
      <c r="BE39" s="393">
        <v>9253</v>
      </c>
      <c r="BF39" s="478">
        <f>+BD39/BE39</f>
        <v>4.322922295471739E-3</v>
      </c>
      <c r="BG39" s="411" t="s">
        <v>2813</v>
      </c>
      <c r="BH39" s="411" t="s">
        <v>2773</v>
      </c>
      <c r="BI39" s="392">
        <v>43</v>
      </c>
      <c r="BJ39" s="393">
        <v>9908</v>
      </c>
      <c r="BK39" s="478">
        <f>+BI39/BJ39</f>
        <v>4.3399273314493336E-3</v>
      </c>
      <c r="BL39" s="410" t="s">
        <v>5294</v>
      </c>
      <c r="BM39" s="411" t="s">
        <v>2796</v>
      </c>
      <c r="BN39" s="393">
        <v>29</v>
      </c>
      <c r="BO39" s="393">
        <v>9930</v>
      </c>
      <c r="BP39" s="478">
        <f>+BN39/BO39</f>
        <v>2.9204431017119839E-3</v>
      </c>
      <c r="BQ39" s="411" t="s">
        <v>5293</v>
      </c>
      <c r="BR39" s="877" t="s">
        <v>5283</v>
      </c>
      <c r="BS39" s="392">
        <v>36</v>
      </c>
      <c r="BT39" s="393">
        <v>10032</v>
      </c>
      <c r="BU39" s="478">
        <f>+BS39/BT39</f>
        <v>3.5885167464114833E-3</v>
      </c>
      <c r="BV39" s="411" t="s">
        <v>5292</v>
      </c>
      <c r="BW39" s="877" t="s">
        <v>5291</v>
      </c>
      <c r="BX39" s="393">
        <v>22</v>
      </c>
      <c r="BY39" s="393">
        <v>7908</v>
      </c>
      <c r="BZ39" s="478">
        <f>+BX39/BY39</f>
        <v>2.7819929185634801E-3</v>
      </c>
      <c r="CA39" s="411" t="s">
        <v>5290</v>
      </c>
      <c r="CB39" s="411" t="s">
        <v>5279</v>
      </c>
      <c r="CC39" s="851" t="s">
        <v>5289</v>
      </c>
      <c r="CE39" s="415">
        <f>+(U39+Z39+AE39+AJ39+AO39+AT39+AY39+BD39+BI39+BN39+BS39+BX39)/12</f>
        <v>36.833333333333336</v>
      </c>
      <c r="CF39" s="415">
        <f>+(V39+AA39+AF39+AK39+AP39+AU39+AZ39+BE39+BJ39+BO39+BT39+BY39)/12</f>
        <v>9280.9166666666661</v>
      </c>
      <c r="CG39" s="479">
        <f>+CE39/CF39</f>
        <v>3.9687171705381115E-3</v>
      </c>
      <c r="CH39" s="479">
        <f>+CG39</f>
        <v>3.9687171705381115E-3</v>
      </c>
      <c r="CI39" s="480">
        <f>+T39</f>
        <v>0.02</v>
      </c>
      <c r="CJ39" s="416">
        <v>1</v>
      </c>
      <c r="CK39" s="388"/>
    </row>
    <row r="40" spans="1:90" s="389" customFormat="1" ht="336" x14ac:dyDescent="0.25">
      <c r="B40" s="369" t="s">
        <v>137</v>
      </c>
      <c r="C40" s="369" t="s">
        <v>2238</v>
      </c>
      <c r="D40" s="439" t="s">
        <v>2728</v>
      </c>
      <c r="E40" s="370" t="s">
        <v>2814</v>
      </c>
      <c r="F40" s="369" t="s">
        <v>2798</v>
      </c>
      <c r="G40" s="481" t="s">
        <v>2815</v>
      </c>
      <c r="H40" s="481" t="s">
        <v>2816</v>
      </c>
      <c r="I40" s="482" t="s">
        <v>2817</v>
      </c>
      <c r="J40" s="483" t="s">
        <v>2329</v>
      </c>
      <c r="K40" s="372" t="s">
        <v>2818</v>
      </c>
      <c r="L40" s="481" t="s">
        <v>2819</v>
      </c>
      <c r="M40" s="372" t="s">
        <v>2820</v>
      </c>
      <c r="N40" s="484" t="s">
        <v>2248</v>
      </c>
      <c r="O40" s="481" t="s">
        <v>2821</v>
      </c>
      <c r="P40" s="483" t="s">
        <v>1777</v>
      </c>
      <c r="Q40" s="420" t="s">
        <v>30</v>
      </c>
      <c r="R40" s="476">
        <v>3.5999999999999999E-3</v>
      </c>
      <c r="S40" s="440" t="s">
        <v>2248</v>
      </c>
      <c r="T40" s="476">
        <v>1.7999999999999999E-2</v>
      </c>
      <c r="U40" s="393"/>
      <c r="V40" s="393"/>
      <c r="W40" s="394"/>
      <c r="X40" s="410" t="s">
        <v>2822</v>
      </c>
      <c r="Y40" s="410" t="s">
        <v>2739</v>
      </c>
      <c r="Z40" s="393"/>
      <c r="AA40" s="393"/>
      <c r="AB40" s="394"/>
      <c r="AC40" s="411" t="s">
        <v>2823</v>
      </c>
      <c r="AD40" s="411" t="s">
        <v>2739</v>
      </c>
      <c r="AE40" s="392">
        <v>2207</v>
      </c>
      <c r="AF40" s="393">
        <v>641950</v>
      </c>
      <c r="AG40" s="477">
        <f>+AE40/AF40</f>
        <v>3.4379624581353688E-3</v>
      </c>
      <c r="AH40" s="410" t="s">
        <v>2824</v>
      </c>
      <c r="AI40" s="410" t="s">
        <v>2742</v>
      </c>
      <c r="AJ40" s="393"/>
      <c r="AK40" s="393"/>
      <c r="AL40" s="394"/>
      <c r="AM40" s="411" t="s">
        <v>2825</v>
      </c>
      <c r="AN40" s="411" t="s">
        <v>2744</v>
      </c>
      <c r="AO40" s="392"/>
      <c r="AP40" s="393"/>
      <c r="AQ40" s="394"/>
      <c r="AR40" s="410" t="s">
        <v>2826</v>
      </c>
      <c r="AS40" s="411" t="s">
        <v>2790</v>
      </c>
      <c r="AT40" s="393">
        <v>1515</v>
      </c>
      <c r="AU40" s="393">
        <v>596723</v>
      </c>
      <c r="AV40" s="478">
        <f>+AT40/AU40</f>
        <v>2.5388664422185837E-3</v>
      </c>
      <c r="AW40" s="411" t="s">
        <v>2827</v>
      </c>
      <c r="AX40" s="411" t="s">
        <v>2828</v>
      </c>
      <c r="AY40" s="392"/>
      <c r="AZ40" s="393"/>
      <c r="BA40" s="394"/>
      <c r="BB40" s="410" t="s">
        <v>2829</v>
      </c>
      <c r="BC40" s="410" t="s">
        <v>2750</v>
      </c>
      <c r="BD40" s="393"/>
      <c r="BE40" s="393"/>
      <c r="BF40" s="394"/>
      <c r="BG40" s="411" t="s">
        <v>2830</v>
      </c>
      <c r="BH40" s="411" t="s">
        <v>2773</v>
      </c>
      <c r="BI40" s="392">
        <v>3061</v>
      </c>
      <c r="BJ40" s="393">
        <v>487092</v>
      </c>
      <c r="BK40" s="478">
        <f>+BI40/BJ40</f>
        <v>6.284233779244989E-3</v>
      </c>
      <c r="BL40" s="410" t="s">
        <v>2831</v>
      </c>
      <c r="BM40" s="411" t="s">
        <v>2832</v>
      </c>
      <c r="BN40" s="393"/>
      <c r="BO40" s="393"/>
      <c r="BP40" s="394"/>
      <c r="BQ40" s="411" t="s">
        <v>5288</v>
      </c>
      <c r="BR40" s="877" t="s">
        <v>5283</v>
      </c>
      <c r="BS40" s="392"/>
      <c r="BT40" s="393"/>
      <c r="BU40" s="394"/>
      <c r="BV40" s="411" t="s">
        <v>5287</v>
      </c>
      <c r="BW40" s="877" t="s">
        <v>5281</v>
      </c>
      <c r="BX40" s="393">
        <v>1898</v>
      </c>
      <c r="BY40" s="393">
        <v>565308</v>
      </c>
      <c r="BZ40" s="478">
        <f>+BX40/BY40</f>
        <v>3.3574617730511508E-3</v>
      </c>
      <c r="CA40" s="411" t="s">
        <v>5286</v>
      </c>
      <c r="CB40" s="411" t="s">
        <v>5279</v>
      </c>
      <c r="CC40" s="414" t="s">
        <v>5285</v>
      </c>
      <c r="CE40" s="415">
        <f>+(U40+Z40+AE40+AJ40+AO40+AT40+AY40+BD40+BI40+BN40+BS40+BX40)/4</f>
        <v>2170.25</v>
      </c>
      <c r="CF40" s="415">
        <f>+(V40+AA40+AF40+AK40+AP40+AU40+AZ40+BE40+BJ40+BO40+BT40+BY40)/4</f>
        <v>572768.25</v>
      </c>
      <c r="CG40" s="479">
        <f>+CE40/CF40</f>
        <v>3.7890542990118604E-3</v>
      </c>
      <c r="CH40" s="479">
        <f>+CG40</f>
        <v>3.7890542990118604E-3</v>
      </c>
      <c r="CI40" s="479">
        <f>+T40</f>
        <v>1.7999999999999999E-2</v>
      </c>
      <c r="CJ40" s="416">
        <v>1</v>
      </c>
      <c r="CK40" s="388"/>
    </row>
    <row r="41" spans="1:90" s="621" customFormat="1" ht="178.5" customHeight="1" x14ac:dyDescent="0.25">
      <c r="B41" s="369" t="s">
        <v>137</v>
      </c>
      <c r="C41" s="369" t="s">
        <v>2238</v>
      </c>
      <c r="D41" s="372" t="s">
        <v>2728</v>
      </c>
      <c r="E41" s="370" t="s">
        <v>2833</v>
      </c>
      <c r="F41" s="372" t="s">
        <v>2730</v>
      </c>
      <c r="G41" s="481" t="s">
        <v>2834</v>
      </c>
      <c r="H41" s="481" t="s">
        <v>2835</v>
      </c>
      <c r="I41" s="481" t="s">
        <v>2836</v>
      </c>
      <c r="J41" s="483" t="s">
        <v>2329</v>
      </c>
      <c r="K41" s="372" t="s">
        <v>2837</v>
      </c>
      <c r="L41" s="481" t="s">
        <v>2838</v>
      </c>
      <c r="M41" s="372" t="s">
        <v>2839</v>
      </c>
      <c r="N41" s="484" t="s">
        <v>2248</v>
      </c>
      <c r="O41" s="481" t="s">
        <v>2840</v>
      </c>
      <c r="P41" s="483" t="s">
        <v>1777</v>
      </c>
      <c r="Q41" s="420" t="s">
        <v>30</v>
      </c>
      <c r="R41" s="476">
        <v>0</v>
      </c>
      <c r="S41" s="440" t="s">
        <v>2291</v>
      </c>
      <c r="T41" s="476">
        <v>0.8</v>
      </c>
      <c r="U41" s="393"/>
      <c r="V41" s="393"/>
      <c r="W41" s="394"/>
      <c r="X41" s="409"/>
      <c r="Y41" s="410"/>
      <c r="Z41" s="393"/>
      <c r="AA41" s="393"/>
      <c r="AB41" s="394"/>
      <c r="AC41" s="394"/>
      <c r="AD41" s="411"/>
      <c r="AE41" s="392">
        <f>1186+62+1+330+30+168</f>
        <v>1777</v>
      </c>
      <c r="AF41" s="393">
        <v>2175</v>
      </c>
      <c r="AG41" s="394">
        <f>+AE41/AF41</f>
        <v>0.81701149425287356</v>
      </c>
      <c r="AH41" s="410" t="s">
        <v>2841</v>
      </c>
      <c r="AI41" s="410" t="s">
        <v>2842</v>
      </c>
      <c r="AJ41" s="393"/>
      <c r="AK41" s="393"/>
      <c r="AL41" s="394"/>
      <c r="AM41" s="411" t="s">
        <v>2843</v>
      </c>
      <c r="AN41" s="411" t="s">
        <v>2744</v>
      </c>
      <c r="AO41" s="392"/>
      <c r="AP41" s="393"/>
      <c r="AQ41" s="394"/>
      <c r="AR41" s="410" t="s">
        <v>2844</v>
      </c>
      <c r="AS41" s="411" t="s">
        <v>2790</v>
      </c>
      <c r="AT41" s="393">
        <v>1775</v>
      </c>
      <c r="AU41" s="393">
        <v>2175</v>
      </c>
      <c r="AV41" s="485">
        <f>+AT41/AU41</f>
        <v>0.81609195402298851</v>
      </c>
      <c r="AW41" s="411" t="s">
        <v>2845</v>
      </c>
      <c r="AX41" s="411" t="s">
        <v>2846</v>
      </c>
      <c r="AY41" s="392"/>
      <c r="AZ41" s="393"/>
      <c r="BA41" s="394"/>
      <c r="BB41" s="410" t="s">
        <v>2847</v>
      </c>
      <c r="BC41" s="410" t="s">
        <v>2750</v>
      </c>
      <c r="BD41" s="393"/>
      <c r="BE41" s="393"/>
      <c r="BF41" s="394"/>
      <c r="BG41" s="411" t="s">
        <v>2848</v>
      </c>
      <c r="BH41" s="411" t="s">
        <v>2773</v>
      </c>
      <c r="BI41" s="392">
        <v>1762</v>
      </c>
      <c r="BJ41" s="393">
        <v>2175</v>
      </c>
      <c r="BK41" s="485">
        <f>+BI41/BJ41</f>
        <v>0.81011494252873562</v>
      </c>
      <c r="BL41" s="410" t="s">
        <v>2849</v>
      </c>
      <c r="BM41" s="410" t="s">
        <v>2850</v>
      </c>
      <c r="BN41" s="393"/>
      <c r="BO41" s="393"/>
      <c r="BP41" s="394"/>
      <c r="BQ41" s="411" t="s">
        <v>5284</v>
      </c>
      <c r="BR41" s="877" t="s">
        <v>5283</v>
      </c>
      <c r="BS41" s="392"/>
      <c r="BT41" s="393"/>
      <c r="BU41" s="394"/>
      <c r="BV41" s="411" t="s">
        <v>5282</v>
      </c>
      <c r="BW41" s="877" t="s">
        <v>5281</v>
      </c>
      <c r="BX41" s="393">
        <v>1798</v>
      </c>
      <c r="BY41" s="393">
        <v>2175</v>
      </c>
      <c r="BZ41" s="485">
        <f>+BX41/BY41</f>
        <v>0.82666666666666666</v>
      </c>
      <c r="CA41" s="411" t="s">
        <v>5280</v>
      </c>
      <c r="CB41" s="411" t="s">
        <v>5279</v>
      </c>
      <c r="CC41" s="414" t="s">
        <v>5278</v>
      </c>
      <c r="CD41" s="389"/>
      <c r="CE41" s="415">
        <f>+U41+Z41+AE41+AJ41+AO41+AT41+AY41+BD41+BI41+BN41+BS41+BX41</f>
        <v>7112</v>
      </c>
      <c r="CF41" s="415">
        <f>+V41+AA41+AF41+AK41+AP41+AU41+AZ41+BE41+BJ41+BO41+BT41+BY41</f>
        <v>8700</v>
      </c>
      <c r="CG41" s="416">
        <f>+CE41/CF41</f>
        <v>0.81747126436781614</v>
      </c>
      <c r="CH41" s="416">
        <f>+CG41</f>
        <v>0.81747126436781614</v>
      </c>
      <c r="CI41" s="416">
        <f>+T41</f>
        <v>0.8</v>
      </c>
      <c r="CJ41" s="416">
        <f>+CH41/CI41</f>
        <v>1.0218390804597701</v>
      </c>
      <c r="CK41" s="388"/>
      <c r="CL41" s="389"/>
    </row>
    <row r="42" spans="1:90" s="389" customFormat="1" ht="192" x14ac:dyDescent="0.25">
      <c r="B42" s="369" t="s">
        <v>137</v>
      </c>
      <c r="C42" s="369" t="s">
        <v>138</v>
      </c>
      <c r="D42" s="369" t="s">
        <v>65</v>
      </c>
      <c r="E42" s="370" t="s">
        <v>2851</v>
      </c>
      <c r="F42" s="372" t="s">
        <v>2798</v>
      </c>
      <c r="G42" s="418" t="s">
        <v>2852</v>
      </c>
      <c r="H42" s="418" t="s">
        <v>2853</v>
      </c>
      <c r="I42" s="418" t="s">
        <v>2854</v>
      </c>
      <c r="J42" s="370" t="s">
        <v>2329</v>
      </c>
      <c r="K42" s="372" t="s">
        <v>2855</v>
      </c>
      <c r="L42" s="372" t="s">
        <v>2856</v>
      </c>
      <c r="M42" s="372" t="s">
        <v>2857</v>
      </c>
      <c r="N42" s="369" t="s">
        <v>2248</v>
      </c>
      <c r="O42" s="372" t="s">
        <v>2858</v>
      </c>
      <c r="P42" s="419" t="s">
        <v>1777</v>
      </c>
      <c r="Q42" s="377" t="s">
        <v>60</v>
      </c>
      <c r="R42" s="373">
        <v>0.97</v>
      </c>
      <c r="S42" s="486" t="s">
        <v>2248</v>
      </c>
      <c r="T42" s="476">
        <v>0.98</v>
      </c>
      <c r="U42" s="393"/>
      <c r="V42" s="393"/>
      <c r="W42" s="394"/>
      <c r="X42" s="410" t="s">
        <v>2859</v>
      </c>
      <c r="Y42" s="487" t="s">
        <v>2860</v>
      </c>
      <c r="Z42" s="393"/>
      <c r="AA42" s="393"/>
      <c r="AB42" s="394"/>
      <c r="AC42" s="410" t="s">
        <v>2861</v>
      </c>
      <c r="AD42" s="411" t="s">
        <v>2862</v>
      </c>
      <c r="AE42" s="392"/>
      <c r="AF42" s="393"/>
      <c r="AG42" s="394">
        <v>0</v>
      </c>
      <c r="AH42" s="410" t="s">
        <v>2863</v>
      </c>
      <c r="AI42" s="411" t="s">
        <v>2864</v>
      </c>
      <c r="AJ42" s="393"/>
      <c r="AK42" s="393"/>
      <c r="AL42" s="394"/>
      <c r="AM42" s="411" t="s">
        <v>2865</v>
      </c>
      <c r="AN42" s="411" t="s">
        <v>2866</v>
      </c>
      <c r="AO42" s="392"/>
      <c r="AP42" s="393"/>
      <c r="AQ42" s="394"/>
      <c r="AR42" s="410" t="s">
        <v>2867</v>
      </c>
      <c r="AS42" s="411" t="s">
        <v>2868</v>
      </c>
      <c r="AT42" s="393">
        <v>113648398233</v>
      </c>
      <c r="AU42" s="393">
        <v>121583513245</v>
      </c>
      <c r="AV42" s="394">
        <f>+AT42/AU42</f>
        <v>0.9347352712533471</v>
      </c>
      <c r="AW42" s="410" t="s">
        <v>2869</v>
      </c>
      <c r="AX42" s="411" t="s">
        <v>2870</v>
      </c>
      <c r="AY42" s="392"/>
      <c r="AZ42" s="393"/>
      <c r="BA42" s="394"/>
      <c r="BB42" s="411" t="s">
        <v>2871</v>
      </c>
      <c r="BC42" s="410" t="s">
        <v>2872</v>
      </c>
      <c r="BD42" s="393"/>
      <c r="BE42" s="393"/>
      <c r="BF42" s="394"/>
      <c r="BG42" s="411" t="s">
        <v>2873</v>
      </c>
      <c r="BH42" s="411" t="s">
        <v>2874</v>
      </c>
      <c r="BI42" s="488">
        <v>179932522036</v>
      </c>
      <c r="BJ42" s="488">
        <v>187867865209</v>
      </c>
      <c r="BK42" s="394">
        <f>+BI42/BJ42</f>
        <v>0.95776104037711796</v>
      </c>
      <c r="BL42" s="411" t="s">
        <v>2875</v>
      </c>
      <c r="BM42" s="410" t="s">
        <v>2876</v>
      </c>
      <c r="BN42" s="393"/>
      <c r="BO42" s="393"/>
      <c r="BP42" s="394"/>
      <c r="BQ42" s="411" t="s">
        <v>5277</v>
      </c>
      <c r="BR42" s="411" t="s">
        <v>5276</v>
      </c>
      <c r="BS42" s="392"/>
      <c r="BT42" s="393"/>
      <c r="BU42" s="394"/>
      <c r="BV42" s="411" t="s">
        <v>5275</v>
      </c>
      <c r="BW42" s="411" t="s">
        <v>5270</v>
      </c>
      <c r="BX42" s="393">
        <v>281962680211</v>
      </c>
      <c r="BY42" s="393">
        <v>290706482669</v>
      </c>
      <c r="BZ42" s="485">
        <f>+BX42/BY42</f>
        <v>0.96992223091235386</v>
      </c>
      <c r="CA42" s="411" t="s">
        <v>5274</v>
      </c>
      <c r="CB42" s="460" t="s">
        <v>5268</v>
      </c>
      <c r="CC42" s="851" t="s">
        <v>5273</v>
      </c>
      <c r="CE42" s="495">
        <f>+BX42</f>
        <v>281962680211</v>
      </c>
      <c r="CF42" s="495">
        <f>+BY42</f>
        <v>290706482669</v>
      </c>
      <c r="CG42" s="416">
        <f>+CE42/CF42</f>
        <v>0.96992223091235386</v>
      </c>
      <c r="CH42" s="416">
        <f>+CG42</f>
        <v>0.96992223091235386</v>
      </c>
      <c r="CI42" s="416">
        <f>+T42</f>
        <v>0.98</v>
      </c>
      <c r="CJ42" s="416">
        <f>+CH42/CI42</f>
        <v>0.98971656215546311</v>
      </c>
      <c r="CK42" s="388"/>
    </row>
    <row r="43" spans="1:90" s="389" customFormat="1" ht="228" x14ac:dyDescent="0.25">
      <c r="B43" s="369" t="s">
        <v>137</v>
      </c>
      <c r="C43" s="369" t="s">
        <v>138</v>
      </c>
      <c r="D43" s="369" t="s">
        <v>65</v>
      </c>
      <c r="E43" s="370" t="s">
        <v>2877</v>
      </c>
      <c r="F43" s="372" t="s">
        <v>2798</v>
      </c>
      <c r="G43" s="418" t="s">
        <v>2878</v>
      </c>
      <c r="H43" s="418" t="s">
        <v>2879</v>
      </c>
      <c r="I43" s="418" t="s">
        <v>2880</v>
      </c>
      <c r="J43" s="370" t="s">
        <v>2329</v>
      </c>
      <c r="K43" s="372" t="s">
        <v>2881</v>
      </c>
      <c r="L43" s="372" t="s">
        <v>2882</v>
      </c>
      <c r="M43" s="372" t="s">
        <v>2883</v>
      </c>
      <c r="N43" s="369" t="s">
        <v>2248</v>
      </c>
      <c r="O43" s="372" t="s">
        <v>2884</v>
      </c>
      <c r="P43" s="419" t="s">
        <v>1747</v>
      </c>
      <c r="Q43" s="377" t="s">
        <v>30</v>
      </c>
      <c r="R43" s="373">
        <v>0.94</v>
      </c>
      <c r="S43" s="486" t="s">
        <v>2248</v>
      </c>
      <c r="T43" s="373">
        <v>1</v>
      </c>
      <c r="U43" s="393">
        <v>6</v>
      </c>
      <c r="V43" s="393">
        <v>6</v>
      </c>
      <c r="W43" s="394">
        <f>+U43/V43</f>
        <v>1</v>
      </c>
      <c r="X43" s="410" t="s">
        <v>2885</v>
      </c>
      <c r="Y43" s="487" t="s">
        <v>2886</v>
      </c>
      <c r="Z43" s="393">
        <v>21</v>
      </c>
      <c r="AA43" s="393">
        <v>22</v>
      </c>
      <c r="AB43" s="394">
        <f>+Z43/AA43</f>
        <v>0.95454545454545459</v>
      </c>
      <c r="AC43" s="410" t="s">
        <v>2887</v>
      </c>
      <c r="AD43" s="489" t="s">
        <v>2888</v>
      </c>
      <c r="AE43" s="392">
        <v>23</v>
      </c>
      <c r="AF43" s="393">
        <v>23</v>
      </c>
      <c r="AG43" s="394">
        <f>+AE43/AF43</f>
        <v>1</v>
      </c>
      <c r="AH43" s="410" t="s">
        <v>2889</v>
      </c>
      <c r="AI43" s="411" t="s">
        <v>2890</v>
      </c>
      <c r="AJ43" s="393">
        <v>22</v>
      </c>
      <c r="AK43" s="393">
        <v>22</v>
      </c>
      <c r="AL43" s="394">
        <v>1</v>
      </c>
      <c r="AM43" s="411" t="s">
        <v>2891</v>
      </c>
      <c r="AN43" s="411" t="s">
        <v>2892</v>
      </c>
      <c r="AO43" s="392">
        <v>23</v>
      </c>
      <c r="AP43" s="393">
        <v>23</v>
      </c>
      <c r="AQ43" s="394">
        <v>1</v>
      </c>
      <c r="AR43" s="411" t="s">
        <v>2893</v>
      </c>
      <c r="AS43" s="411" t="s">
        <v>2868</v>
      </c>
      <c r="AT43" s="393">
        <v>23</v>
      </c>
      <c r="AU43" s="393">
        <v>23</v>
      </c>
      <c r="AV43" s="394">
        <f>+AT43/AU43</f>
        <v>1</v>
      </c>
      <c r="AW43" s="411" t="s">
        <v>2894</v>
      </c>
      <c r="AX43" s="411" t="s">
        <v>2895</v>
      </c>
      <c r="AY43" s="392">
        <v>27</v>
      </c>
      <c r="AZ43" s="393">
        <v>27</v>
      </c>
      <c r="BA43" s="394">
        <f>+AZ43/AY43</f>
        <v>1</v>
      </c>
      <c r="BB43" s="411" t="s">
        <v>2896</v>
      </c>
      <c r="BC43" s="410" t="s">
        <v>2872</v>
      </c>
      <c r="BD43" s="490">
        <v>22.666599999999999</v>
      </c>
      <c r="BE43" s="393">
        <v>23</v>
      </c>
      <c r="BF43" s="394">
        <f>+BD43/BE43</f>
        <v>0.98550434782608687</v>
      </c>
      <c r="BG43" s="411" t="s">
        <v>2897</v>
      </c>
      <c r="BH43" s="411" t="s">
        <v>2898</v>
      </c>
      <c r="BI43" s="392">
        <v>23</v>
      </c>
      <c r="BJ43" s="393">
        <v>23</v>
      </c>
      <c r="BK43" s="394">
        <f>+BI43/BJ43</f>
        <v>1</v>
      </c>
      <c r="BL43" s="411" t="s">
        <v>2899</v>
      </c>
      <c r="BM43" s="410" t="s">
        <v>2900</v>
      </c>
      <c r="BN43" s="393">
        <v>22</v>
      </c>
      <c r="BO43" s="393">
        <v>22</v>
      </c>
      <c r="BP43" s="394">
        <f>+BO43/BN43</f>
        <v>1</v>
      </c>
      <c r="BQ43" s="411" t="s">
        <v>5271</v>
      </c>
      <c r="BR43" s="411" t="s">
        <v>5272</v>
      </c>
      <c r="BS43" s="392">
        <v>22</v>
      </c>
      <c r="BT43" s="393">
        <v>22</v>
      </c>
      <c r="BU43" s="394">
        <f>+BT43/BS43</f>
        <v>1</v>
      </c>
      <c r="BV43" s="411" t="s">
        <v>5271</v>
      </c>
      <c r="BW43" s="411" t="s">
        <v>5270</v>
      </c>
      <c r="BX43" s="393">
        <v>26</v>
      </c>
      <c r="BY43" s="393">
        <v>26</v>
      </c>
      <c r="BZ43" s="394">
        <f>+BX43/BY43</f>
        <v>1</v>
      </c>
      <c r="CA43" s="411" t="s">
        <v>5269</v>
      </c>
      <c r="CB43" s="460" t="s">
        <v>5268</v>
      </c>
      <c r="CC43" s="851" t="s">
        <v>5267</v>
      </c>
      <c r="CE43" s="415">
        <f>+U43+Z43+AE43+AJ43+AO43+AT43+AY43+BD43+BI43+BN43+BS43+BX43</f>
        <v>260.66660000000002</v>
      </c>
      <c r="CF43" s="415">
        <f>+V43+AA43+AF43+AK43+AP43+AU43+AZ43+BE43+BJ43+BO43+BT43+BY43</f>
        <v>262</v>
      </c>
      <c r="CG43" s="416">
        <f>+CE43/CF43</f>
        <v>0.99491068702290086</v>
      </c>
      <c r="CH43" s="416">
        <f>+CG43</f>
        <v>0.99491068702290086</v>
      </c>
      <c r="CI43" s="416">
        <f>+T43</f>
        <v>1</v>
      </c>
      <c r="CJ43" s="416">
        <f>+CH43/CI43</f>
        <v>0.99491068702290086</v>
      </c>
      <c r="CK43" s="388"/>
    </row>
    <row r="44" spans="1:90" s="389" customFormat="1" ht="373.5" customHeight="1" x14ac:dyDescent="0.25">
      <c r="B44" s="369" t="s">
        <v>147</v>
      </c>
      <c r="C44" s="369" t="s">
        <v>2238</v>
      </c>
      <c r="D44" s="372" t="s">
        <v>91</v>
      </c>
      <c r="E44" s="370" t="s">
        <v>2704</v>
      </c>
      <c r="F44" s="371" t="s">
        <v>2705</v>
      </c>
      <c r="G44" s="418" t="s">
        <v>2706</v>
      </c>
      <c r="H44" s="418" t="s">
        <v>2707</v>
      </c>
      <c r="I44" s="418" t="s">
        <v>2708</v>
      </c>
      <c r="J44" s="370" t="s">
        <v>2244</v>
      </c>
      <c r="K44" s="372" t="s">
        <v>2709</v>
      </c>
      <c r="L44" s="372" t="s">
        <v>2710</v>
      </c>
      <c r="M44" s="372" t="s">
        <v>2711</v>
      </c>
      <c r="N44" s="369" t="s">
        <v>2248</v>
      </c>
      <c r="O44" s="372" t="s">
        <v>2712</v>
      </c>
      <c r="P44" s="370" t="s">
        <v>1777</v>
      </c>
      <c r="Q44" s="442" t="s">
        <v>60</v>
      </c>
      <c r="R44" s="373">
        <v>1</v>
      </c>
      <c r="S44" s="369" t="s">
        <v>2248</v>
      </c>
      <c r="T44" s="373">
        <v>1</v>
      </c>
      <c r="U44" s="394"/>
      <c r="V44" s="394"/>
      <c r="W44" s="394"/>
      <c r="X44" s="410" t="s">
        <v>2713</v>
      </c>
      <c r="Y44" s="469" t="s">
        <v>2714</v>
      </c>
      <c r="Z44" s="394">
        <v>0.01</v>
      </c>
      <c r="AA44" s="394">
        <v>0.01</v>
      </c>
      <c r="AB44" s="394">
        <f>+Z44/AA44</f>
        <v>1</v>
      </c>
      <c r="AC44" s="411" t="s">
        <v>2715</v>
      </c>
      <c r="AD44" s="411" t="s">
        <v>2716</v>
      </c>
      <c r="AE44" s="394">
        <v>0.02</v>
      </c>
      <c r="AF44" s="394">
        <v>0.02</v>
      </c>
      <c r="AG44" s="394">
        <f>+AE44/AF44</f>
        <v>1</v>
      </c>
      <c r="AH44" s="410" t="s">
        <v>2717</v>
      </c>
      <c r="AI44" s="410" t="s">
        <v>2718</v>
      </c>
      <c r="AJ44" s="394"/>
      <c r="AK44" s="394"/>
      <c r="AL44" s="394"/>
      <c r="AM44" s="411" t="s">
        <v>2719</v>
      </c>
      <c r="AN44" s="411" t="s">
        <v>2501</v>
      </c>
      <c r="AO44" s="392"/>
      <c r="AP44" s="393"/>
      <c r="AQ44" s="394"/>
      <c r="AR44" s="410" t="s">
        <v>2720</v>
      </c>
      <c r="AS44" s="410" t="s">
        <v>2721</v>
      </c>
      <c r="AT44" s="394">
        <v>0.22</v>
      </c>
      <c r="AU44" s="394">
        <v>0.22</v>
      </c>
      <c r="AV44" s="394">
        <f>+AT44/AU44</f>
        <v>1</v>
      </c>
      <c r="AW44" s="411" t="s">
        <v>2722</v>
      </c>
      <c r="AX44" s="411" t="s">
        <v>2723</v>
      </c>
      <c r="AY44" s="392"/>
      <c r="AZ44" s="393"/>
      <c r="BA44" s="394"/>
      <c r="BB44" s="410" t="s">
        <v>2724</v>
      </c>
      <c r="BC44" s="410" t="s">
        <v>2505</v>
      </c>
      <c r="BD44" s="393"/>
      <c r="BE44" s="393"/>
      <c r="BF44" s="394"/>
      <c r="BG44" s="410" t="s">
        <v>2725</v>
      </c>
      <c r="BH44" s="411" t="s">
        <v>2726</v>
      </c>
      <c r="BI44" s="394">
        <v>0.28999999999999998</v>
      </c>
      <c r="BJ44" s="394">
        <v>0.28999999999999998</v>
      </c>
      <c r="BK44" s="394">
        <f>+BI44/BJ44</f>
        <v>1</v>
      </c>
      <c r="BL44" s="396" t="s">
        <v>2727</v>
      </c>
      <c r="BM44" s="410" t="s">
        <v>2507</v>
      </c>
      <c r="BN44" s="393"/>
      <c r="BO44" s="393"/>
      <c r="BP44" s="394"/>
      <c r="BQ44" s="411" t="s">
        <v>5266</v>
      </c>
      <c r="BR44" s="411" t="s">
        <v>5076</v>
      </c>
      <c r="BS44" s="392"/>
      <c r="BT44" s="393"/>
      <c r="BU44" s="394"/>
      <c r="BV44" s="396" t="s">
        <v>5265</v>
      </c>
      <c r="BW44" s="411" t="s">
        <v>5074</v>
      </c>
      <c r="BX44" s="394">
        <v>0.47</v>
      </c>
      <c r="BY44" s="394">
        <v>0.47</v>
      </c>
      <c r="BZ44" s="394">
        <f>+BX44/BY44</f>
        <v>1</v>
      </c>
      <c r="CA44" s="396" t="s">
        <v>5264</v>
      </c>
      <c r="CB44" s="411" t="s">
        <v>5072</v>
      </c>
      <c r="CC44" s="851" t="s">
        <v>5263</v>
      </c>
      <c r="CE44" s="435">
        <f>+AE44+AT44+BI44+BX44</f>
        <v>1</v>
      </c>
      <c r="CF44" s="435">
        <f>AF44+AU44+BJ44+BY44</f>
        <v>1</v>
      </c>
      <c r="CG44" s="435">
        <f>+CE44/CF44</f>
        <v>1</v>
      </c>
      <c r="CH44" s="435">
        <f>+CG44</f>
        <v>1</v>
      </c>
      <c r="CI44" s="435">
        <f>+T44</f>
        <v>1</v>
      </c>
      <c r="CJ44" s="435">
        <f>+CH44/CI44</f>
        <v>1</v>
      </c>
      <c r="CK44" s="388"/>
    </row>
    <row r="45" spans="1:90" s="389" customFormat="1" ht="237" customHeight="1" x14ac:dyDescent="0.25">
      <c r="B45" s="369" t="s">
        <v>2901</v>
      </c>
      <c r="C45" s="369" t="s">
        <v>2238</v>
      </c>
      <c r="D45" s="406" t="s">
        <v>91</v>
      </c>
      <c r="E45" s="403" t="s">
        <v>2902</v>
      </c>
      <c r="F45" s="404" t="s">
        <v>2903</v>
      </c>
      <c r="G45" s="406" t="s">
        <v>2904</v>
      </c>
      <c r="H45" s="406" t="s">
        <v>2905</v>
      </c>
      <c r="I45" s="406" t="s">
        <v>2906</v>
      </c>
      <c r="J45" s="370" t="s">
        <v>2329</v>
      </c>
      <c r="K45" s="406" t="s">
        <v>2907</v>
      </c>
      <c r="L45" s="406" t="s">
        <v>2908</v>
      </c>
      <c r="M45" s="406" t="s">
        <v>2909</v>
      </c>
      <c r="N45" s="406" t="s">
        <v>2248</v>
      </c>
      <c r="O45" s="406" t="s">
        <v>2908</v>
      </c>
      <c r="P45" s="370" t="s">
        <v>2366</v>
      </c>
      <c r="Q45" s="420" t="s">
        <v>60</v>
      </c>
      <c r="R45" s="377">
        <v>0.26</v>
      </c>
      <c r="S45" s="405" t="s">
        <v>2248</v>
      </c>
      <c r="T45" s="377">
        <v>1</v>
      </c>
      <c r="U45" s="393"/>
      <c r="V45" s="393"/>
      <c r="W45" s="394"/>
      <c r="X45" s="395" t="s">
        <v>2910</v>
      </c>
      <c r="Y45" s="395" t="s">
        <v>2911</v>
      </c>
      <c r="Z45" s="393"/>
      <c r="AA45" s="393"/>
      <c r="AB45" s="394"/>
      <c r="AC45" s="395" t="s">
        <v>2912</v>
      </c>
      <c r="AD45" s="395" t="s">
        <v>2913</v>
      </c>
      <c r="AE45" s="393"/>
      <c r="AF45" s="393"/>
      <c r="AG45" s="394"/>
      <c r="AH45" s="395" t="s">
        <v>2914</v>
      </c>
      <c r="AI45" s="395" t="s">
        <v>2915</v>
      </c>
      <c r="AJ45" s="393"/>
      <c r="AK45" s="393"/>
      <c r="AL45" s="394"/>
      <c r="AM45" s="395" t="s">
        <v>2916</v>
      </c>
      <c r="AN45" s="395" t="s">
        <v>2917</v>
      </c>
      <c r="AO45" s="393"/>
      <c r="AP45" s="393"/>
      <c r="AQ45" s="394"/>
      <c r="AR45" s="395" t="s">
        <v>2918</v>
      </c>
      <c r="AS45" s="395" t="s">
        <v>2919</v>
      </c>
      <c r="AT45" s="436">
        <v>24</v>
      </c>
      <c r="AU45" s="436">
        <v>47</v>
      </c>
      <c r="AV45" s="394">
        <f>AT45/AU45</f>
        <v>0.51063829787234039</v>
      </c>
      <c r="AW45" s="395" t="s">
        <v>2920</v>
      </c>
      <c r="AX45" s="395" t="s">
        <v>2921</v>
      </c>
      <c r="AY45" s="436"/>
      <c r="AZ45" s="393"/>
      <c r="BA45" s="394"/>
      <c r="BB45" s="379" t="s">
        <v>2922</v>
      </c>
      <c r="BC45" s="379" t="s">
        <v>2923</v>
      </c>
      <c r="BD45" s="393"/>
      <c r="BE45" s="393"/>
      <c r="BF45" s="394"/>
      <c r="BG45" s="491" t="s">
        <v>2924</v>
      </c>
      <c r="BH45" s="379" t="s">
        <v>2925</v>
      </c>
      <c r="BI45" s="393"/>
      <c r="BJ45" s="393"/>
      <c r="BK45" s="394"/>
      <c r="BL45" s="492" t="s">
        <v>2926</v>
      </c>
      <c r="BM45" s="379" t="s">
        <v>2927</v>
      </c>
      <c r="BN45" s="393"/>
      <c r="BO45" s="393"/>
      <c r="BP45" s="394"/>
      <c r="BQ45" s="378" t="s">
        <v>5262</v>
      </c>
      <c r="BR45" s="379" t="s">
        <v>5253</v>
      </c>
      <c r="BS45" s="393"/>
      <c r="BT45" s="393"/>
      <c r="BU45" s="394"/>
      <c r="BV45" s="378" t="s">
        <v>5261</v>
      </c>
      <c r="BW45" s="379" t="s">
        <v>5260</v>
      </c>
      <c r="BX45" s="393">
        <v>45</v>
      </c>
      <c r="BY45" s="393">
        <v>45</v>
      </c>
      <c r="BZ45" s="394">
        <f>BX45/BY45</f>
        <v>1</v>
      </c>
      <c r="CA45" s="396" t="s">
        <v>5259</v>
      </c>
      <c r="CB45" s="396" t="s">
        <v>5197</v>
      </c>
      <c r="CC45" s="851" t="s">
        <v>5258</v>
      </c>
      <c r="CE45" s="386">
        <f>BX45</f>
        <v>45</v>
      </c>
      <c r="CF45" s="386">
        <f>BY45</f>
        <v>45</v>
      </c>
      <c r="CG45" s="387">
        <f>+CE45/CF45</f>
        <v>1</v>
      </c>
      <c r="CH45" s="387">
        <f>+CG45</f>
        <v>1</v>
      </c>
      <c r="CI45" s="387">
        <f>+T45</f>
        <v>1</v>
      </c>
      <c r="CJ45" s="387">
        <f>+CH45/CI45</f>
        <v>1</v>
      </c>
      <c r="CK45" s="432"/>
    </row>
    <row r="46" spans="1:90" s="385" customFormat="1" ht="409.5" x14ac:dyDescent="0.25">
      <c r="B46" s="369" t="s">
        <v>2901</v>
      </c>
      <c r="C46" s="369" t="s">
        <v>2238</v>
      </c>
      <c r="D46" s="406" t="s">
        <v>91</v>
      </c>
      <c r="E46" s="403" t="s">
        <v>2928</v>
      </c>
      <c r="F46" s="404" t="s">
        <v>5257</v>
      </c>
      <c r="G46" s="406" t="s">
        <v>2929</v>
      </c>
      <c r="H46" s="406" t="s">
        <v>2930</v>
      </c>
      <c r="I46" s="406" t="s">
        <v>2931</v>
      </c>
      <c r="J46" s="370" t="s">
        <v>2244</v>
      </c>
      <c r="K46" s="372" t="s">
        <v>2932</v>
      </c>
      <c r="L46" s="372" t="s">
        <v>2933</v>
      </c>
      <c r="M46" s="372" t="s">
        <v>2934</v>
      </c>
      <c r="N46" s="418" t="s">
        <v>2248</v>
      </c>
      <c r="O46" s="406" t="s">
        <v>5256</v>
      </c>
      <c r="P46" s="370" t="s">
        <v>1747</v>
      </c>
      <c r="Q46" s="420" t="s">
        <v>60</v>
      </c>
      <c r="R46" s="373" t="s">
        <v>2291</v>
      </c>
      <c r="S46" s="418" t="s">
        <v>2291</v>
      </c>
      <c r="T46" s="373">
        <v>0.5</v>
      </c>
      <c r="U46" s="376"/>
      <c r="V46" s="376"/>
      <c r="W46" s="377"/>
      <c r="X46" s="494"/>
      <c r="Y46" s="412"/>
      <c r="Z46" s="376"/>
      <c r="AA46" s="376"/>
      <c r="AB46" s="377"/>
      <c r="AC46" s="395" t="s">
        <v>2935</v>
      </c>
      <c r="AD46" s="395" t="s">
        <v>2911</v>
      </c>
      <c r="AE46" s="376"/>
      <c r="AF46" s="376"/>
      <c r="AG46" s="377"/>
      <c r="AH46" s="395" t="s">
        <v>2936</v>
      </c>
      <c r="AI46" s="395" t="s">
        <v>2937</v>
      </c>
      <c r="AJ46" s="376"/>
      <c r="AK46" s="376"/>
      <c r="AL46" s="377"/>
      <c r="AM46" s="395" t="s">
        <v>2938</v>
      </c>
      <c r="AN46" s="395" t="s">
        <v>2939</v>
      </c>
      <c r="AO46" s="393"/>
      <c r="AP46" s="376"/>
      <c r="AQ46" s="377"/>
      <c r="AR46" s="395" t="s">
        <v>2940</v>
      </c>
      <c r="AS46" s="395" t="s">
        <v>2919</v>
      </c>
      <c r="AT46" s="376">
        <v>1272.75</v>
      </c>
      <c r="AU46" s="376">
        <v>5581.75</v>
      </c>
      <c r="AV46" s="394">
        <f>AT46/AU46</f>
        <v>0.22801988623639541</v>
      </c>
      <c r="AW46" s="395" t="s">
        <v>5255</v>
      </c>
      <c r="AX46" s="395" t="s">
        <v>2941</v>
      </c>
      <c r="AY46" s="376"/>
      <c r="AZ46" s="376"/>
      <c r="BA46" s="377"/>
      <c r="BB46" s="379" t="s">
        <v>2942</v>
      </c>
      <c r="BC46" s="379" t="s">
        <v>2943</v>
      </c>
      <c r="BD46" s="376"/>
      <c r="BE46" s="376"/>
      <c r="BF46" s="377"/>
      <c r="BG46" s="378" t="s">
        <v>2944</v>
      </c>
      <c r="BH46" s="379" t="s">
        <v>2945</v>
      </c>
      <c r="BI46" s="376"/>
      <c r="BJ46" s="376"/>
      <c r="BK46" s="377"/>
      <c r="BL46" s="379" t="s">
        <v>2946</v>
      </c>
      <c r="BM46" s="379" t="s">
        <v>2927</v>
      </c>
      <c r="BN46" s="376"/>
      <c r="BO46" s="376"/>
      <c r="BP46" s="377"/>
      <c r="BQ46" s="378" t="s">
        <v>5254</v>
      </c>
      <c r="BR46" s="379" t="s">
        <v>5253</v>
      </c>
      <c r="BS46" s="876">
        <v>5289</v>
      </c>
      <c r="BT46" s="876">
        <v>8898.25</v>
      </c>
      <c r="BU46" s="394">
        <f>BS46/BT46</f>
        <v>0.59438653667856034</v>
      </c>
      <c r="BV46" s="378" t="s">
        <v>5252</v>
      </c>
      <c r="BW46" s="379" t="s">
        <v>5251</v>
      </c>
      <c r="BX46" s="393">
        <v>5670.75</v>
      </c>
      <c r="BY46" s="393">
        <v>9280</v>
      </c>
      <c r="BZ46" s="394">
        <f>BX46/BY46</f>
        <v>0.61107219827586212</v>
      </c>
      <c r="CA46" s="378" t="s">
        <v>5250</v>
      </c>
      <c r="CB46" s="396" t="s">
        <v>5197</v>
      </c>
      <c r="CC46" s="875" t="s">
        <v>5249</v>
      </c>
      <c r="CE46" s="386">
        <f>BX46</f>
        <v>5670.75</v>
      </c>
      <c r="CF46" s="386">
        <f>BY46</f>
        <v>9280</v>
      </c>
      <c r="CG46" s="387">
        <f>+CE46/CF46</f>
        <v>0.61107219827586212</v>
      </c>
      <c r="CH46" s="387">
        <f>+CG46</f>
        <v>0.61107219827586212</v>
      </c>
      <c r="CI46" s="387">
        <f>+T46</f>
        <v>0.5</v>
      </c>
      <c r="CJ46" s="387">
        <f>+CH46/CI46</f>
        <v>1.2221443965517242</v>
      </c>
      <c r="CK46" s="432"/>
    </row>
    <row r="47" spans="1:90" s="389" customFormat="1" ht="165" customHeight="1" x14ac:dyDescent="0.25">
      <c r="B47" s="369" t="s">
        <v>177</v>
      </c>
      <c r="C47" s="369" t="s">
        <v>2291</v>
      </c>
      <c r="D47" s="369" t="s">
        <v>91</v>
      </c>
      <c r="E47" s="370" t="s">
        <v>2947</v>
      </c>
      <c r="F47" s="371" t="s">
        <v>2948</v>
      </c>
      <c r="G47" s="372" t="s">
        <v>2949</v>
      </c>
      <c r="H47" s="372" t="s">
        <v>2950</v>
      </c>
      <c r="I47" s="372" t="s">
        <v>2951</v>
      </c>
      <c r="J47" s="370" t="s">
        <v>2329</v>
      </c>
      <c r="K47" s="372" t="s">
        <v>2952</v>
      </c>
      <c r="L47" s="372" t="s">
        <v>2953</v>
      </c>
      <c r="M47" s="406" t="s">
        <v>2954</v>
      </c>
      <c r="N47" s="372" t="s">
        <v>2955</v>
      </c>
      <c r="O47" s="372" t="s">
        <v>2956</v>
      </c>
      <c r="P47" s="419" t="s">
        <v>1747</v>
      </c>
      <c r="Q47" s="420" t="s">
        <v>30</v>
      </c>
      <c r="R47" s="373">
        <v>0.90728566590186488</v>
      </c>
      <c r="S47" s="369" t="s">
        <v>2248</v>
      </c>
      <c r="T47" s="373">
        <v>1</v>
      </c>
      <c r="U47" s="393">
        <v>14483225643</v>
      </c>
      <c r="V47" s="393">
        <v>18585853137</v>
      </c>
      <c r="W47" s="394">
        <f>+U47/V47</f>
        <v>0.77926073859732337</v>
      </c>
      <c r="X47" s="395" t="s">
        <v>2957</v>
      </c>
      <c r="Y47" s="395" t="s">
        <v>2293</v>
      </c>
      <c r="Z47" s="393">
        <v>37780056026</v>
      </c>
      <c r="AA47" s="393">
        <v>44896472072</v>
      </c>
      <c r="AB47" s="394">
        <f>+Z47/AA47</f>
        <v>0.841492756166064</v>
      </c>
      <c r="AC47" s="395" t="s">
        <v>2958</v>
      </c>
      <c r="AD47" s="396" t="s">
        <v>2293</v>
      </c>
      <c r="AE47" s="392">
        <v>51925881011</v>
      </c>
      <c r="AF47" s="393">
        <v>61514086090</v>
      </c>
      <c r="AG47" s="394">
        <f>+AE47/AF47</f>
        <v>0.84412992716868629</v>
      </c>
      <c r="AH47" s="395" t="s">
        <v>2959</v>
      </c>
      <c r="AI47" s="396" t="s">
        <v>2253</v>
      </c>
      <c r="AJ47" s="393">
        <v>67953563280</v>
      </c>
      <c r="AK47" s="393">
        <v>68078631851</v>
      </c>
      <c r="AL47" s="485">
        <f>+AJ47/AK47</f>
        <v>0.99816288066314651</v>
      </c>
      <c r="AM47" s="395" t="s">
        <v>2960</v>
      </c>
      <c r="AN47" s="396" t="s">
        <v>2961</v>
      </c>
      <c r="AO47" s="392">
        <v>81620998021</v>
      </c>
      <c r="AP47" s="393">
        <v>85286152777</v>
      </c>
      <c r="AQ47" s="394">
        <f>+AO47/AP47</f>
        <v>0.95702520706282324</v>
      </c>
      <c r="AR47" s="395" t="s">
        <v>2962</v>
      </c>
      <c r="AS47" s="396" t="s">
        <v>2963</v>
      </c>
      <c r="AT47" s="393">
        <v>96222698973</v>
      </c>
      <c r="AU47" s="393">
        <v>98822284155</v>
      </c>
      <c r="AV47" s="394">
        <f>+AT47/AU47</f>
        <v>0.97369434228091079</v>
      </c>
      <c r="AW47" s="395" t="s">
        <v>2964</v>
      </c>
      <c r="AX47" s="396" t="s">
        <v>2965</v>
      </c>
      <c r="AY47" s="393">
        <v>83477825270</v>
      </c>
      <c r="AZ47" s="393">
        <v>84438464097</v>
      </c>
      <c r="BA47" s="394">
        <f>+AY47/AZ47</f>
        <v>0.98862320818748606</v>
      </c>
      <c r="BB47" s="395" t="s">
        <v>2966</v>
      </c>
      <c r="BC47" s="396" t="s">
        <v>2261</v>
      </c>
      <c r="BD47" s="393">
        <v>96066218317</v>
      </c>
      <c r="BE47" s="393">
        <v>96070355659</v>
      </c>
      <c r="BF47" s="394">
        <f>+BD47/BE47</f>
        <v>0.99995693424915921</v>
      </c>
      <c r="BG47" s="395" t="s">
        <v>2967</v>
      </c>
      <c r="BH47" s="396" t="s">
        <v>2968</v>
      </c>
      <c r="BI47" s="392">
        <v>98776877692</v>
      </c>
      <c r="BJ47" s="393">
        <v>98850799563</v>
      </c>
      <c r="BK47" s="394">
        <f>+BI47/BJ47</f>
        <v>0.99925218742461575</v>
      </c>
      <c r="BL47" s="395" t="s">
        <v>2969</v>
      </c>
      <c r="BM47" s="395" t="s">
        <v>2970</v>
      </c>
      <c r="BN47" s="393">
        <v>104807037039</v>
      </c>
      <c r="BO47" s="393">
        <v>113246618689</v>
      </c>
      <c r="BP47" s="485">
        <f>+BN47/BO47</f>
        <v>0.92547608266188552</v>
      </c>
      <c r="BQ47" s="395" t="s">
        <v>5248</v>
      </c>
      <c r="BR47" s="518" t="s">
        <v>5242</v>
      </c>
      <c r="BS47" s="392">
        <v>97400887473</v>
      </c>
      <c r="BT47" s="393">
        <v>113562908973</v>
      </c>
      <c r="BU47" s="394">
        <f>+BS47/BT47</f>
        <v>0.85768221643703602</v>
      </c>
      <c r="BV47" s="395" t="s">
        <v>5247</v>
      </c>
      <c r="BW47" s="518" t="s">
        <v>5246</v>
      </c>
      <c r="BX47" s="380">
        <v>211469945728</v>
      </c>
      <c r="BY47" s="376">
        <v>224277345441</v>
      </c>
      <c r="BZ47" s="394">
        <f>+BX47/BY47</f>
        <v>0.94289481317064539</v>
      </c>
      <c r="CA47" s="395" t="s">
        <v>5245</v>
      </c>
      <c r="CB47" s="396" t="s">
        <v>5197</v>
      </c>
      <c r="CC47" s="851" t="s">
        <v>5244</v>
      </c>
      <c r="CE47" s="495">
        <f>+U47+Z47+AE47+AJ47+AO47+AT47+AY47+BD47+BI47+BN47+BS47+BX47</f>
        <v>1041985214473</v>
      </c>
      <c r="CF47" s="495">
        <f>+V47+AA47+AF47+AK47+AP47+AU47+AZ47+BE47+BJ47+BO47+BT47+BY47</f>
        <v>1107629972504</v>
      </c>
      <c r="CG47" s="435">
        <f>+CE47/CF47</f>
        <v>0.94073403604039529</v>
      </c>
      <c r="CH47" s="435">
        <f>+CG47</f>
        <v>0.94073403604039529</v>
      </c>
      <c r="CI47" s="435">
        <f>+T47</f>
        <v>1</v>
      </c>
      <c r="CJ47" s="435">
        <f>+CH47/CI47</f>
        <v>0.94073403604039529</v>
      </c>
      <c r="CK47" s="388"/>
    </row>
    <row r="48" spans="1:90" s="389" customFormat="1" ht="193.5" customHeight="1" x14ac:dyDescent="0.25">
      <c r="B48" s="369" t="s">
        <v>177</v>
      </c>
      <c r="C48" s="369" t="s">
        <v>2291</v>
      </c>
      <c r="D48" s="369" t="s">
        <v>91</v>
      </c>
      <c r="E48" s="370" t="s">
        <v>2971</v>
      </c>
      <c r="F48" s="371" t="s">
        <v>2948</v>
      </c>
      <c r="G48" s="372" t="s">
        <v>2972</v>
      </c>
      <c r="H48" s="372" t="s">
        <v>2973</v>
      </c>
      <c r="I48" s="372" t="s">
        <v>2974</v>
      </c>
      <c r="J48" s="370" t="s">
        <v>2329</v>
      </c>
      <c r="K48" s="372" t="s">
        <v>2975</v>
      </c>
      <c r="L48" s="372" t="s">
        <v>2976</v>
      </c>
      <c r="M48" s="372" t="s">
        <v>2977</v>
      </c>
      <c r="N48" s="372" t="s">
        <v>2955</v>
      </c>
      <c r="O48" s="372" t="s">
        <v>2978</v>
      </c>
      <c r="P48" s="419" t="s">
        <v>1747</v>
      </c>
      <c r="Q48" s="420" t="s">
        <v>30</v>
      </c>
      <c r="R48" s="373">
        <v>0.8</v>
      </c>
      <c r="S48" s="369" t="s">
        <v>2248</v>
      </c>
      <c r="T48" s="373">
        <v>1</v>
      </c>
      <c r="U48" s="393">
        <v>13</v>
      </c>
      <c r="V48" s="393">
        <v>13</v>
      </c>
      <c r="W48" s="394">
        <f>+U48/V48</f>
        <v>1</v>
      </c>
      <c r="X48" s="395" t="s">
        <v>2979</v>
      </c>
      <c r="Y48" s="395" t="s">
        <v>2293</v>
      </c>
      <c r="Z48" s="393">
        <v>10</v>
      </c>
      <c r="AA48" s="393">
        <v>12</v>
      </c>
      <c r="AB48" s="394">
        <f>+Z48/AA48</f>
        <v>0.83333333333333337</v>
      </c>
      <c r="AC48" s="395" t="s">
        <v>2980</v>
      </c>
      <c r="AD48" s="396" t="s">
        <v>2293</v>
      </c>
      <c r="AE48" s="392">
        <v>12</v>
      </c>
      <c r="AF48" s="393">
        <v>13</v>
      </c>
      <c r="AG48" s="394">
        <f>+AE48/AF48</f>
        <v>0.92307692307692313</v>
      </c>
      <c r="AH48" s="395" t="s">
        <v>2981</v>
      </c>
      <c r="AI48" s="396" t="s">
        <v>2253</v>
      </c>
      <c r="AJ48" s="393">
        <v>15</v>
      </c>
      <c r="AK48" s="393">
        <v>15</v>
      </c>
      <c r="AL48" s="394">
        <f>+AJ48/AK48</f>
        <v>1</v>
      </c>
      <c r="AM48" s="395" t="s">
        <v>2982</v>
      </c>
      <c r="AN48" s="396" t="s">
        <v>2961</v>
      </c>
      <c r="AO48" s="392">
        <v>14</v>
      </c>
      <c r="AP48" s="393">
        <v>14</v>
      </c>
      <c r="AQ48" s="394">
        <f>+AO48/AP48</f>
        <v>1</v>
      </c>
      <c r="AR48" s="395" t="s">
        <v>2983</v>
      </c>
      <c r="AS48" s="396" t="s">
        <v>2963</v>
      </c>
      <c r="AT48" s="393">
        <v>14</v>
      </c>
      <c r="AU48" s="393">
        <v>15</v>
      </c>
      <c r="AV48" s="394">
        <f>+AT48/AU48</f>
        <v>0.93333333333333335</v>
      </c>
      <c r="AW48" s="395" t="s">
        <v>2984</v>
      </c>
      <c r="AX48" s="396" t="s">
        <v>2965</v>
      </c>
      <c r="AY48" s="393">
        <v>15</v>
      </c>
      <c r="AZ48" s="393">
        <v>16</v>
      </c>
      <c r="BA48" s="394">
        <f>+AY48/AZ48</f>
        <v>0.9375</v>
      </c>
      <c r="BB48" s="395" t="s">
        <v>2985</v>
      </c>
      <c r="BC48" s="396" t="s">
        <v>2261</v>
      </c>
      <c r="BD48" s="393">
        <v>14</v>
      </c>
      <c r="BE48" s="393">
        <v>15</v>
      </c>
      <c r="BF48" s="394">
        <f>+BD48/BE48</f>
        <v>0.93333333333333335</v>
      </c>
      <c r="BG48" s="395" t="s">
        <v>2986</v>
      </c>
      <c r="BH48" s="396" t="s">
        <v>2968</v>
      </c>
      <c r="BI48" s="392">
        <v>15</v>
      </c>
      <c r="BJ48" s="393">
        <v>15</v>
      </c>
      <c r="BK48" s="394">
        <f>+BI48/BJ48</f>
        <v>1</v>
      </c>
      <c r="BL48" s="395" t="s">
        <v>2987</v>
      </c>
      <c r="BM48" s="395" t="s">
        <v>2970</v>
      </c>
      <c r="BN48" s="393">
        <v>16</v>
      </c>
      <c r="BO48" s="393">
        <v>16</v>
      </c>
      <c r="BP48" s="394">
        <f>+BN48/BO48</f>
        <v>1</v>
      </c>
      <c r="BQ48" s="395" t="s">
        <v>5243</v>
      </c>
      <c r="BR48" s="518" t="s">
        <v>5242</v>
      </c>
      <c r="BS48" s="392">
        <v>15</v>
      </c>
      <c r="BT48" s="393">
        <v>15</v>
      </c>
      <c r="BU48" s="394">
        <f>+BS48/BT48</f>
        <v>1</v>
      </c>
      <c r="BV48" s="395" t="s">
        <v>5241</v>
      </c>
      <c r="BW48" s="518" t="s">
        <v>5240</v>
      </c>
      <c r="BX48" s="380">
        <v>15</v>
      </c>
      <c r="BY48" s="376">
        <v>15</v>
      </c>
      <c r="BZ48" s="394">
        <f>+BX48/BY48</f>
        <v>1</v>
      </c>
      <c r="CA48" s="395" t="s">
        <v>5239</v>
      </c>
      <c r="CB48" s="396" t="s">
        <v>5197</v>
      </c>
      <c r="CC48" s="851" t="s">
        <v>5238</v>
      </c>
      <c r="CE48" s="388">
        <f>+U48+Z48+AE48+AJ48+AO48+AT48+AY48+BD48+BI48+BN48+BS48+BX48</f>
        <v>168</v>
      </c>
      <c r="CF48" s="388">
        <f>+V48+AA48+AF48+AK48+AP48+AU48+AZ48+BE48+BJ48+BO48+BT48+BY48</f>
        <v>174</v>
      </c>
      <c r="CG48" s="435">
        <f>+CE48/CF48</f>
        <v>0.96551724137931039</v>
      </c>
      <c r="CH48" s="435">
        <f>+CG48</f>
        <v>0.96551724137931039</v>
      </c>
      <c r="CI48" s="435">
        <f>+T48</f>
        <v>1</v>
      </c>
      <c r="CJ48" s="435">
        <f>+CH48/CI48</f>
        <v>0.96551724137931039</v>
      </c>
      <c r="CK48" s="388"/>
    </row>
    <row r="49" spans="1:89" s="401" customFormat="1" ht="252" x14ac:dyDescent="0.25">
      <c r="B49" s="402" t="s">
        <v>187</v>
      </c>
      <c r="C49" s="402" t="s">
        <v>2291</v>
      </c>
      <c r="D49" s="402" t="s">
        <v>65</v>
      </c>
      <c r="E49" s="402" t="s">
        <v>2988</v>
      </c>
      <c r="F49" s="406" t="s">
        <v>2730</v>
      </c>
      <c r="G49" s="438" t="s">
        <v>2989</v>
      </c>
      <c r="H49" s="438" t="s">
        <v>2990</v>
      </c>
      <c r="I49" s="438" t="s">
        <v>2991</v>
      </c>
      <c r="J49" s="438" t="s">
        <v>2329</v>
      </c>
      <c r="K49" s="438" t="s">
        <v>2992</v>
      </c>
      <c r="L49" s="438" t="s">
        <v>2993</v>
      </c>
      <c r="M49" s="438" t="s">
        <v>2994</v>
      </c>
      <c r="N49" s="438" t="s">
        <v>2995</v>
      </c>
      <c r="O49" s="438" t="s">
        <v>2996</v>
      </c>
      <c r="P49" s="438" t="s">
        <v>2366</v>
      </c>
      <c r="Q49" s="408" t="s">
        <v>30</v>
      </c>
      <c r="R49" s="497">
        <v>0.95</v>
      </c>
      <c r="S49" s="402" t="s">
        <v>2248</v>
      </c>
      <c r="T49" s="377">
        <v>1</v>
      </c>
      <c r="U49" s="443"/>
      <c r="V49" s="443"/>
      <c r="W49" s="444"/>
      <c r="X49" s="410" t="s">
        <v>2997</v>
      </c>
      <c r="Y49" s="410" t="s">
        <v>2998</v>
      </c>
      <c r="Z49" s="443"/>
      <c r="AA49" s="443"/>
      <c r="AB49" s="444"/>
      <c r="AC49" s="410" t="s">
        <v>2999</v>
      </c>
      <c r="AD49" s="411" t="s">
        <v>2998</v>
      </c>
      <c r="AE49" s="498"/>
      <c r="AF49" s="443"/>
      <c r="AG49" s="444"/>
      <c r="AH49" s="499" t="s">
        <v>3000</v>
      </c>
      <c r="AI49" s="411" t="s">
        <v>3001</v>
      </c>
      <c r="AJ49" s="443"/>
      <c r="AK49" s="443"/>
      <c r="AL49" s="444"/>
      <c r="AM49" s="499" t="s">
        <v>3002</v>
      </c>
      <c r="AN49" s="411" t="s">
        <v>3003</v>
      </c>
      <c r="AO49" s="498"/>
      <c r="AP49" s="443"/>
      <c r="AQ49" s="444"/>
      <c r="AR49" s="410" t="s">
        <v>3004</v>
      </c>
      <c r="AS49" s="411" t="s">
        <v>3005</v>
      </c>
      <c r="AT49" s="393">
        <v>18</v>
      </c>
      <c r="AU49" s="393">
        <v>18</v>
      </c>
      <c r="AV49" s="377">
        <f>AT49/AU49*100%</f>
        <v>1</v>
      </c>
      <c r="AW49" s="410" t="s">
        <v>3006</v>
      </c>
      <c r="AX49" s="411" t="s">
        <v>3007</v>
      </c>
      <c r="AY49" s="498"/>
      <c r="AZ49" s="443"/>
      <c r="BA49" s="444"/>
      <c r="BB49" s="410"/>
      <c r="BC49" s="411"/>
      <c r="BD49" s="443"/>
      <c r="BE49" s="443"/>
      <c r="BF49" s="444"/>
      <c r="BG49" s="410"/>
      <c r="BH49" s="411"/>
      <c r="BI49" s="498"/>
      <c r="BJ49" s="443"/>
      <c r="BK49" s="444"/>
      <c r="BL49" s="410" t="s">
        <v>3008</v>
      </c>
      <c r="BM49" s="411" t="s">
        <v>3009</v>
      </c>
      <c r="BN49" s="443"/>
      <c r="BO49" s="443"/>
      <c r="BP49" s="444"/>
      <c r="BQ49" s="499" t="s">
        <v>5237</v>
      </c>
      <c r="BR49" s="411" t="s">
        <v>5220</v>
      </c>
      <c r="BS49" s="392"/>
      <c r="BT49" s="393"/>
      <c r="BU49" s="394"/>
      <c r="BV49" s="499" t="s">
        <v>5236</v>
      </c>
      <c r="BW49" s="411" t="s">
        <v>5218</v>
      </c>
      <c r="BX49" s="393">
        <v>30</v>
      </c>
      <c r="BY49" s="393">
        <v>30</v>
      </c>
      <c r="BZ49" s="394">
        <f>BX49/BY49*100%</f>
        <v>1</v>
      </c>
      <c r="CA49" s="411" t="s">
        <v>5235</v>
      </c>
      <c r="CB49" s="411" t="s">
        <v>5223</v>
      </c>
      <c r="CC49" s="411" t="s">
        <v>5234</v>
      </c>
      <c r="CE49" s="874">
        <f>+AT49+BX49</f>
        <v>48</v>
      </c>
      <c r="CF49" s="874">
        <f>+AU49+BY49</f>
        <v>48</v>
      </c>
      <c r="CG49" s="416">
        <f>+CE49/CF49</f>
        <v>1</v>
      </c>
      <c r="CH49" s="416">
        <f>+CG49</f>
        <v>1</v>
      </c>
      <c r="CI49" s="416">
        <f>+T49</f>
        <v>1</v>
      </c>
      <c r="CJ49" s="416">
        <f>+CH49/CI49</f>
        <v>1</v>
      </c>
      <c r="CK49" s="415"/>
    </row>
    <row r="50" spans="1:89" s="389" customFormat="1" ht="182.25" customHeight="1" x14ac:dyDescent="0.25">
      <c r="B50" s="369" t="s">
        <v>187</v>
      </c>
      <c r="C50" s="369" t="s">
        <v>2291</v>
      </c>
      <c r="D50" s="369" t="s">
        <v>65</v>
      </c>
      <c r="E50" s="369" t="s">
        <v>3010</v>
      </c>
      <c r="F50" s="372" t="s">
        <v>2730</v>
      </c>
      <c r="G50" s="496" t="s">
        <v>3011</v>
      </c>
      <c r="H50" s="496" t="s">
        <v>3012</v>
      </c>
      <c r="I50" s="496" t="s">
        <v>3013</v>
      </c>
      <c r="J50" s="496" t="s">
        <v>2329</v>
      </c>
      <c r="K50" s="496" t="s">
        <v>3014</v>
      </c>
      <c r="L50" s="496" t="s">
        <v>3015</v>
      </c>
      <c r="M50" s="496" t="s">
        <v>3016</v>
      </c>
      <c r="N50" s="496" t="s">
        <v>2995</v>
      </c>
      <c r="O50" s="438" t="s">
        <v>3017</v>
      </c>
      <c r="P50" s="496" t="s">
        <v>2366</v>
      </c>
      <c r="Q50" s="420" t="s">
        <v>30</v>
      </c>
      <c r="R50" s="501">
        <v>1</v>
      </c>
      <c r="S50" s="369" t="s">
        <v>2248</v>
      </c>
      <c r="T50" s="373">
        <v>1</v>
      </c>
      <c r="U50" s="443"/>
      <c r="V50" s="443"/>
      <c r="W50" s="444"/>
      <c r="X50" s="410" t="s">
        <v>3018</v>
      </c>
      <c r="Y50" s="410" t="s">
        <v>2998</v>
      </c>
      <c r="Z50" s="443"/>
      <c r="AA50" s="443"/>
      <c r="AB50" s="444"/>
      <c r="AC50" s="410" t="s">
        <v>3019</v>
      </c>
      <c r="AD50" s="411" t="s">
        <v>2998</v>
      </c>
      <c r="AE50" s="498"/>
      <c r="AF50" s="443"/>
      <c r="AG50" s="444"/>
      <c r="AH50" s="410" t="s">
        <v>3020</v>
      </c>
      <c r="AI50" s="411" t="s">
        <v>3001</v>
      </c>
      <c r="AJ50" s="443"/>
      <c r="AK50" s="443"/>
      <c r="AL50" s="444"/>
      <c r="AM50" s="410" t="s">
        <v>3021</v>
      </c>
      <c r="AN50" s="411" t="s">
        <v>3003</v>
      </c>
      <c r="AO50" s="498"/>
      <c r="AP50" s="443"/>
      <c r="AQ50" s="444"/>
      <c r="AR50" s="410" t="s">
        <v>3022</v>
      </c>
      <c r="AS50" s="411" t="s">
        <v>3005</v>
      </c>
      <c r="AT50" s="393">
        <v>281</v>
      </c>
      <c r="AU50" s="393">
        <v>309</v>
      </c>
      <c r="AV50" s="373">
        <f>AT50/AU50*100%</f>
        <v>0.90938511326860838</v>
      </c>
      <c r="AW50" s="410" t="s">
        <v>3023</v>
      </c>
      <c r="AX50" s="411" t="s">
        <v>3024</v>
      </c>
      <c r="AY50" s="498"/>
      <c r="AZ50" s="443"/>
      <c r="BA50" s="444"/>
      <c r="BB50" s="410"/>
      <c r="BC50" s="411"/>
      <c r="BD50" s="443"/>
      <c r="BE50" s="443"/>
      <c r="BF50" s="444"/>
      <c r="BG50" s="410"/>
      <c r="BH50" s="411"/>
      <c r="BI50" s="498"/>
      <c r="BJ50" s="443"/>
      <c r="BK50" s="444"/>
      <c r="BL50" s="410" t="s">
        <v>5233</v>
      </c>
      <c r="BM50" s="411" t="s">
        <v>3025</v>
      </c>
      <c r="BN50" s="443"/>
      <c r="BO50" s="443"/>
      <c r="BP50" s="444"/>
      <c r="BQ50" s="410" t="s">
        <v>5232</v>
      </c>
      <c r="BR50" s="411" t="s">
        <v>5220</v>
      </c>
      <c r="BS50" s="392"/>
      <c r="BT50" s="393"/>
      <c r="BU50" s="394"/>
      <c r="BV50" s="410" t="s">
        <v>5231</v>
      </c>
      <c r="BW50" s="411" t="s">
        <v>5218</v>
      </c>
      <c r="BX50" s="393">
        <v>214</v>
      </c>
      <c r="BY50" s="376">
        <v>220</v>
      </c>
      <c r="BZ50" s="394">
        <f>BX50/BY50*100%</f>
        <v>0.97272727272727277</v>
      </c>
      <c r="CA50" s="410" t="s">
        <v>5230</v>
      </c>
      <c r="CB50" s="381" t="s">
        <v>5229</v>
      </c>
      <c r="CC50" s="872" t="s">
        <v>5228</v>
      </c>
      <c r="CE50" s="500">
        <f>+AT50+BX50</f>
        <v>495</v>
      </c>
      <c r="CF50" s="500">
        <f>+AU50+BY50</f>
        <v>529</v>
      </c>
      <c r="CG50" s="435">
        <f>+CE50/CF50</f>
        <v>0.93572778827977321</v>
      </c>
      <c r="CH50" s="435">
        <f>+CG50</f>
        <v>0.93572778827977321</v>
      </c>
      <c r="CI50" s="435">
        <f>+T50</f>
        <v>1</v>
      </c>
      <c r="CJ50" s="435">
        <f>+CH50/CI50</f>
        <v>0.93572778827977321</v>
      </c>
      <c r="CK50" s="388"/>
    </row>
    <row r="51" spans="1:89" s="389" customFormat="1" ht="291" customHeight="1" x14ac:dyDescent="0.25">
      <c r="B51" s="369" t="s">
        <v>187</v>
      </c>
      <c r="C51" s="369" t="s">
        <v>2291</v>
      </c>
      <c r="D51" s="369" t="s">
        <v>65</v>
      </c>
      <c r="E51" s="369" t="s">
        <v>3026</v>
      </c>
      <c r="F51" s="372" t="s">
        <v>2730</v>
      </c>
      <c r="G51" s="438" t="s">
        <v>3027</v>
      </c>
      <c r="H51" s="438" t="s">
        <v>3028</v>
      </c>
      <c r="I51" s="438" t="s">
        <v>3029</v>
      </c>
      <c r="J51" s="438" t="s">
        <v>2244</v>
      </c>
      <c r="K51" s="438" t="s">
        <v>3030</v>
      </c>
      <c r="L51" s="438" t="s">
        <v>3031</v>
      </c>
      <c r="M51" s="438" t="s">
        <v>3032</v>
      </c>
      <c r="N51" s="438" t="s">
        <v>2995</v>
      </c>
      <c r="O51" s="438" t="s">
        <v>3033</v>
      </c>
      <c r="P51" s="438" t="s">
        <v>2366</v>
      </c>
      <c r="Q51" s="420" t="s">
        <v>30</v>
      </c>
      <c r="R51" s="497">
        <v>0.84</v>
      </c>
      <c r="S51" s="402" t="s">
        <v>2248</v>
      </c>
      <c r="T51" s="377">
        <v>0.85</v>
      </c>
      <c r="U51" s="443"/>
      <c r="V51" s="443"/>
      <c r="W51" s="444"/>
      <c r="X51" s="410" t="s">
        <v>3034</v>
      </c>
      <c r="Y51" s="410" t="s">
        <v>2998</v>
      </c>
      <c r="Z51" s="443"/>
      <c r="AA51" s="443"/>
      <c r="AB51" s="444"/>
      <c r="AC51" s="410" t="s">
        <v>3035</v>
      </c>
      <c r="AD51" s="411" t="s">
        <v>2998</v>
      </c>
      <c r="AE51" s="498"/>
      <c r="AF51" s="443"/>
      <c r="AG51" s="444"/>
      <c r="AH51" s="410" t="s">
        <v>3036</v>
      </c>
      <c r="AI51" s="411" t="s">
        <v>3001</v>
      </c>
      <c r="AJ51" s="443"/>
      <c r="AK51" s="443"/>
      <c r="AL51" s="444"/>
      <c r="AM51" s="410" t="s">
        <v>3037</v>
      </c>
      <c r="AN51" s="411" t="s">
        <v>3003</v>
      </c>
      <c r="AO51" s="498"/>
      <c r="AP51" s="443"/>
      <c r="AQ51" s="444"/>
      <c r="AR51" s="410" t="s">
        <v>3038</v>
      </c>
      <c r="AS51" s="411" t="s">
        <v>3005</v>
      </c>
      <c r="AT51" s="393">
        <v>397</v>
      </c>
      <c r="AU51" s="393">
        <v>437</v>
      </c>
      <c r="AV51" s="377">
        <f>AT51/AU51*100%</f>
        <v>0.90846681922196793</v>
      </c>
      <c r="AW51" s="412" t="s">
        <v>5227</v>
      </c>
      <c r="AX51" s="460" t="s">
        <v>3039</v>
      </c>
      <c r="AY51" s="498"/>
      <c r="AZ51" s="443"/>
      <c r="BA51" s="444"/>
      <c r="BB51" s="410"/>
      <c r="BC51" s="411"/>
      <c r="BD51" s="443"/>
      <c r="BE51" s="443"/>
      <c r="BF51" s="444"/>
      <c r="BG51" s="410"/>
      <c r="BH51" s="411"/>
      <c r="BI51" s="498"/>
      <c r="BJ51" s="443"/>
      <c r="BK51" s="444"/>
      <c r="BL51" s="410" t="s">
        <v>3040</v>
      </c>
      <c r="BM51" s="411" t="s">
        <v>3009</v>
      </c>
      <c r="BN51" s="443"/>
      <c r="BO51" s="443"/>
      <c r="BP51" s="444"/>
      <c r="BQ51" s="410" t="s">
        <v>5226</v>
      </c>
      <c r="BR51" s="411" t="s">
        <v>5220</v>
      </c>
      <c r="BS51" s="392"/>
      <c r="BT51" s="393"/>
      <c r="BU51" s="394"/>
      <c r="BV51" s="410" t="s">
        <v>5225</v>
      </c>
      <c r="BW51" s="411" t="s">
        <v>5218</v>
      </c>
      <c r="BX51" s="376">
        <v>698</v>
      </c>
      <c r="BY51" s="393">
        <v>666</v>
      </c>
      <c r="BZ51" s="394">
        <f>BX51/BY51*100%</f>
        <v>1.0480480480480481</v>
      </c>
      <c r="CA51" s="424" t="s">
        <v>5224</v>
      </c>
      <c r="CB51" s="381" t="s">
        <v>5223</v>
      </c>
      <c r="CC51" s="872" t="s">
        <v>5222</v>
      </c>
      <c r="CE51" s="500">
        <f>+AT51+BX51</f>
        <v>1095</v>
      </c>
      <c r="CF51" s="500">
        <f>+AU51+BY51</f>
        <v>1103</v>
      </c>
      <c r="CG51" s="435">
        <f>+CE51/CF51</f>
        <v>0.99274705349048054</v>
      </c>
      <c r="CH51" s="435">
        <f>+CG51</f>
        <v>0.99274705349048054</v>
      </c>
      <c r="CI51" s="435">
        <f>+T51</f>
        <v>0.85</v>
      </c>
      <c r="CJ51" s="435">
        <f>+CH51/CI51</f>
        <v>1.1679377099888006</v>
      </c>
      <c r="CK51" s="388"/>
    </row>
    <row r="52" spans="1:89" s="389" customFormat="1" ht="206.25" customHeight="1" x14ac:dyDescent="0.25">
      <c r="B52" s="369" t="s">
        <v>187</v>
      </c>
      <c r="C52" s="369" t="s">
        <v>2291</v>
      </c>
      <c r="D52" s="369" t="s">
        <v>65</v>
      </c>
      <c r="E52" s="369" t="s">
        <v>3041</v>
      </c>
      <c r="F52" s="372" t="s">
        <v>3042</v>
      </c>
      <c r="G52" s="438" t="s">
        <v>3043</v>
      </c>
      <c r="H52" s="438" t="s">
        <v>3044</v>
      </c>
      <c r="I52" s="438" t="s">
        <v>3045</v>
      </c>
      <c r="J52" s="438" t="s">
        <v>2244</v>
      </c>
      <c r="K52" s="438" t="s">
        <v>3046</v>
      </c>
      <c r="L52" s="438" t="s">
        <v>3047</v>
      </c>
      <c r="M52" s="438" t="s">
        <v>3048</v>
      </c>
      <c r="N52" s="438" t="s">
        <v>2995</v>
      </c>
      <c r="O52" s="438" t="s">
        <v>3049</v>
      </c>
      <c r="P52" s="438" t="s">
        <v>1747</v>
      </c>
      <c r="Q52" s="420" t="s">
        <v>30</v>
      </c>
      <c r="R52" s="497">
        <v>0.72</v>
      </c>
      <c r="S52" s="402" t="s">
        <v>2248</v>
      </c>
      <c r="T52" s="377">
        <v>0.75</v>
      </c>
      <c r="U52" s="393"/>
      <c r="V52" s="393"/>
      <c r="W52" s="394"/>
      <c r="X52" s="410" t="s">
        <v>3050</v>
      </c>
      <c r="Y52" s="410" t="s">
        <v>2998</v>
      </c>
      <c r="Z52" s="393">
        <v>81</v>
      </c>
      <c r="AA52" s="393">
        <v>89</v>
      </c>
      <c r="AB52" s="394">
        <f>Z52/AA52*100%</f>
        <v>0.9101123595505618</v>
      </c>
      <c r="AC52" s="410" t="s">
        <v>3051</v>
      </c>
      <c r="AD52" s="411" t="s">
        <v>2998</v>
      </c>
      <c r="AE52" s="393">
        <v>99</v>
      </c>
      <c r="AF52" s="393">
        <v>107</v>
      </c>
      <c r="AG52" s="394">
        <f>AE52/AF52*100%</f>
        <v>0.92523364485981308</v>
      </c>
      <c r="AH52" s="410" t="s">
        <v>3052</v>
      </c>
      <c r="AI52" s="411" t="s">
        <v>3001</v>
      </c>
      <c r="AJ52" s="393">
        <v>72</v>
      </c>
      <c r="AK52" s="393">
        <v>74</v>
      </c>
      <c r="AL52" s="394">
        <f>AJ52/AK52*100%</f>
        <v>0.97297297297297303</v>
      </c>
      <c r="AM52" s="410" t="s">
        <v>3053</v>
      </c>
      <c r="AN52" s="411" t="s">
        <v>3003</v>
      </c>
      <c r="AO52" s="393">
        <v>77</v>
      </c>
      <c r="AP52" s="393">
        <v>83</v>
      </c>
      <c r="AQ52" s="394">
        <f>AO52/AP52*100%</f>
        <v>0.92771084337349397</v>
      </c>
      <c r="AR52" s="410" t="s">
        <v>3054</v>
      </c>
      <c r="AS52" s="411" t="s">
        <v>3005</v>
      </c>
      <c r="AT52" s="393">
        <v>80</v>
      </c>
      <c r="AU52" s="393">
        <v>91</v>
      </c>
      <c r="AV52" s="394">
        <f>AT52/AU52*100%</f>
        <v>0.87912087912087911</v>
      </c>
      <c r="AW52" s="410" t="s">
        <v>3055</v>
      </c>
      <c r="AX52" s="460" t="s">
        <v>3056</v>
      </c>
      <c r="AY52" s="393"/>
      <c r="AZ52" s="393"/>
      <c r="BA52" s="394"/>
      <c r="BB52" s="410"/>
      <c r="BC52" s="410"/>
      <c r="BD52" s="393"/>
      <c r="BE52" s="393"/>
      <c r="BF52" s="394"/>
      <c r="BG52" s="410"/>
      <c r="BH52" s="411"/>
      <c r="BI52" s="393">
        <v>225</v>
      </c>
      <c r="BJ52" s="393">
        <v>237</v>
      </c>
      <c r="BK52" s="394">
        <f>BI52/BJ52*100%</f>
        <v>0.94936708860759489</v>
      </c>
      <c r="BL52" s="410" t="s">
        <v>3057</v>
      </c>
      <c r="BM52" s="411" t="s">
        <v>3058</v>
      </c>
      <c r="BN52" s="393">
        <v>56</v>
      </c>
      <c r="BO52" s="393">
        <v>61</v>
      </c>
      <c r="BP52" s="394">
        <f>BN52/BO52*100%</f>
        <v>0.91803278688524592</v>
      </c>
      <c r="BQ52" s="410" t="s">
        <v>5221</v>
      </c>
      <c r="BR52" s="411" t="s">
        <v>5220</v>
      </c>
      <c r="BS52" s="392">
        <v>68</v>
      </c>
      <c r="BT52" s="393">
        <v>70</v>
      </c>
      <c r="BU52" s="394">
        <f>BS52/BT52*100%</f>
        <v>0.97142857142857142</v>
      </c>
      <c r="BV52" s="410" t="s">
        <v>5219</v>
      </c>
      <c r="BW52" s="411" t="s">
        <v>5218</v>
      </c>
      <c r="BX52" s="393">
        <v>55</v>
      </c>
      <c r="BY52" s="393">
        <v>56</v>
      </c>
      <c r="BZ52" s="394">
        <f>BX52/BY52*100%</f>
        <v>0.9821428571428571</v>
      </c>
      <c r="CA52" s="414" t="s">
        <v>5217</v>
      </c>
      <c r="CB52" s="381" t="s">
        <v>5216</v>
      </c>
      <c r="CC52" s="872" t="s">
        <v>5215</v>
      </c>
      <c r="CE52" s="388">
        <f>+U52+Z52+AE52+AJ52+AO52+AT52+AY52+BD52+BI52+BN52+BS52+BX52</f>
        <v>813</v>
      </c>
      <c r="CF52" s="388">
        <f>+V52+AA52+AF52+AK52+AP52+AU52+AZ52+BE52+BJ52+BO52+BT52+BY52</f>
        <v>868</v>
      </c>
      <c r="CG52" s="435">
        <f>+CE52/CF52</f>
        <v>0.93663594470046085</v>
      </c>
      <c r="CH52" s="435">
        <f>+CG52</f>
        <v>0.93663594470046085</v>
      </c>
      <c r="CI52" s="435">
        <f>+T52</f>
        <v>0.75</v>
      </c>
      <c r="CJ52" s="435">
        <f>+CH52/CI52</f>
        <v>1.2488479262672811</v>
      </c>
      <c r="CK52" s="388"/>
    </row>
    <row r="53" spans="1:89" s="401" customFormat="1" ht="216" x14ac:dyDescent="0.25">
      <c r="B53" s="402" t="s">
        <v>195</v>
      </c>
      <c r="C53" s="402" t="s">
        <v>2238</v>
      </c>
      <c r="D53" s="406" t="s">
        <v>65</v>
      </c>
      <c r="E53" s="403" t="s">
        <v>3059</v>
      </c>
      <c r="F53" s="404" t="s">
        <v>2325</v>
      </c>
      <c r="G53" s="402" t="s">
        <v>3060</v>
      </c>
      <c r="H53" s="406" t="s">
        <v>3061</v>
      </c>
      <c r="I53" s="406" t="s">
        <v>3062</v>
      </c>
      <c r="J53" s="402" t="s">
        <v>2329</v>
      </c>
      <c r="K53" s="406" t="s">
        <v>3063</v>
      </c>
      <c r="L53" s="406" t="s">
        <v>3064</v>
      </c>
      <c r="M53" s="406" t="s">
        <v>3065</v>
      </c>
      <c r="N53" s="402" t="s">
        <v>2248</v>
      </c>
      <c r="O53" s="502" t="s">
        <v>3066</v>
      </c>
      <c r="P53" s="403" t="s">
        <v>1747</v>
      </c>
      <c r="Q53" s="503" t="s">
        <v>30</v>
      </c>
      <c r="R53" s="504">
        <v>1</v>
      </c>
      <c r="S53" s="504" t="s">
        <v>2248</v>
      </c>
      <c r="T53" s="504">
        <v>1</v>
      </c>
      <c r="U53" s="393"/>
      <c r="V53" s="393"/>
      <c r="W53" s="394"/>
      <c r="X53" s="411"/>
      <c r="Y53" s="410"/>
      <c r="Z53" s="393"/>
      <c r="AA53" s="393"/>
      <c r="AB53" s="394"/>
      <c r="AC53" s="411"/>
      <c r="AD53" s="410"/>
      <c r="AE53" s="393"/>
      <c r="AF53" s="393"/>
      <c r="AG53" s="394"/>
      <c r="AH53" s="411"/>
      <c r="AI53" s="410"/>
      <c r="AJ53" s="393">
        <v>4319</v>
      </c>
      <c r="AK53" s="393">
        <v>4319</v>
      </c>
      <c r="AL53" s="394">
        <v>1</v>
      </c>
      <c r="AM53" s="411" t="s">
        <v>3068</v>
      </c>
      <c r="AN53" s="411" t="s">
        <v>3069</v>
      </c>
      <c r="AO53" s="393">
        <v>4351</v>
      </c>
      <c r="AP53" s="393">
        <v>4351</v>
      </c>
      <c r="AQ53" s="394">
        <v>1</v>
      </c>
      <c r="AR53" s="411" t="s">
        <v>3070</v>
      </c>
      <c r="AS53" s="411" t="s">
        <v>3071</v>
      </c>
      <c r="AT53" s="393">
        <v>5435</v>
      </c>
      <c r="AU53" s="393">
        <v>5435</v>
      </c>
      <c r="AV53" s="394">
        <f>AT53/AU53</f>
        <v>1</v>
      </c>
      <c r="AW53" s="411" t="s">
        <v>3072</v>
      </c>
      <c r="AX53" s="506" t="s">
        <v>3073</v>
      </c>
      <c r="AY53" s="392"/>
      <c r="AZ53" s="393"/>
      <c r="BA53" s="394"/>
      <c r="BB53" s="381"/>
      <c r="BC53" s="460" t="s">
        <v>5214</v>
      </c>
      <c r="BD53" s="393">
        <v>5491</v>
      </c>
      <c r="BE53" s="393">
        <v>5491</v>
      </c>
      <c r="BF53" s="394">
        <f>BD53/BE53</f>
        <v>1</v>
      </c>
      <c r="BG53" s="411" t="s">
        <v>3074</v>
      </c>
      <c r="BH53" s="460" t="s">
        <v>3075</v>
      </c>
      <c r="BI53" s="393">
        <f>649+1409+39+139+2658+224+6+30+12+49+39+29</f>
        <v>5283</v>
      </c>
      <c r="BJ53" s="393">
        <f>649+1409+39+139+2658+224+6+30+12+49+39+29</f>
        <v>5283</v>
      </c>
      <c r="BK53" s="394">
        <f>BI53/BJ53</f>
        <v>1</v>
      </c>
      <c r="BL53" s="411" t="s">
        <v>3076</v>
      </c>
      <c r="BM53" s="460" t="s">
        <v>3077</v>
      </c>
      <c r="BN53" s="392">
        <f>645+37+222+224+1464+43+48+1439+29</f>
        <v>4151</v>
      </c>
      <c r="BO53" s="392">
        <f>645+37+222+224+1464+43+48+1439+29</f>
        <v>4151</v>
      </c>
      <c r="BP53" s="394">
        <f>BN53/BO53</f>
        <v>1</v>
      </c>
      <c r="BQ53" s="411" t="s">
        <v>5213</v>
      </c>
      <c r="BR53" s="460" t="s">
        <v>5194</v>
      </c>
      <c r="BS53" s="392">
        <f>641+48+67+40+29+10+72+53+90+19+199+264+70+60+1877+29</f>
        <v>3568</v>
      </c>
      <c r="BT53" s="392">
        <v>3568</v>
      </c>
      <c r="BU53" s="394">
        <f>BS53/BT53</f>
        <v>1</v>
      </c>
      <c r="BV53" s="396" t="s">
        <v>5212</v>
      </c>
      <c r="BW53" s="561" t="s">
        <v>5211</v>
      </c>
      <c r="BX53" s="393">
        <f>660+91+224+912+44+59+499+29</f>
        <v>2518</v>
      </c>
      <c r="BY53" s="393">
        <f>660+91+224+912+44+59+499+29</f>
        <v>2518</v>
      </c>
      <c r="BZ53" s="394">
        <f>BX53/BY53</f>
        <v>1</v>
      </c>
      <c r="CA53" s="396" t="s">
        <v>5210</v>
      </c>
      <c r="CB53" s="396" t="s">
        <v>5197</v>
      </c>
      <c r="CC53" s="872" t="s">
        <v>5209</v>
      </c>
      <c r="CE53" s="388">
        <f>AJ53+AO53+AT53+AY53+BD53+BI53+BN53+BS53+BX53</f>
        <v>35116</v>
      </c>
      <c r="CF53" s="388">
        <f>AK53+AP53+AU53+AZ53+BE53+BJ53+BO53+BT53+BY53</f>
        <v>35116</v>
      </c>
      <c r="CG53" s="435">
        <f>+CE53/CF53</f>
        <v>1</v>
      </c>
      <c r="CH53" s="435">
        <f>+CG53</f>
        <v>1</v>
      </c>
      <c r="CI53" s="435">
        <f>+T53</f>
        <v>1</v>
      </c>
      <c r="CJ53" s="435">
        <f>+CH53/CI53</f>
        <v>1</v>
      </c>
      <c r="CK53" s="388"/>
    </row>
    <row r="54" spans="1:89" s="401" customFormat="1" ht="152.25" customHeight="1" x14ac:dyDescent="0.25">
      <c r="B54" s="402" t="s">
        <v>195</v>
      </c>
      <c r="C54" s="402" t="s">
        <v>2238</v>
      </c>
      <c r="D54" s="406" t="s">
        <v>65</v>
      </c>
      <c r="E54" s="403" t="s">
        <v>3078</v>
      </c>
      <c r="F54" s="404" t="s">
        <v>2325</v>
      </c>
      <c r="G54" s="402" t="s">
        <v>3079</v>
      </c>
      <c r="H54" s="406" t="s">
        <v>3080</v>
      </c>
      <c r="I54" s="406" t="s">
        <v>3081</v>
      </c>
      <c r="J54" s="402" t="s">
        <v>2329</v>
      </c>
      <c r="K54" s="406" t="s">
        <v>3082</v>
      </c>
      <c r="L54" s="406" t="s">
        <v>3083</v>
      </c>
      <c r="M54" s="406" t="s">
        <v>3084</v>
      </c>
      <c r="N54" s="402" t="s">
        <v>2248</v>
      </c>
      <c r="O54" s="369" t="s">
        <v>3085</v>
      </c>
      <c r="P54" s="403" t="s">
        <v>2366</v>
      </c>
      <c r="Q54" s="503" t="s">
        <v>30</v>
      </c>
      <c r="R54" s="394">
        <v>1</v>
      </c>
      <c r="S54" s="504" t="s">
        <v>2248</v>
      </c>
      <c r="T54" s="504">
        <v>1</v>
      </c>
      <c r="U54" s="443"/>
      <c r="V54" s="443"/>
      <c r="W54" s="444"/>
      <c r="X54" s="411"/>
      <c r="Y54" s="410"/>
      <c r="Z54" s="443"/>
      <c r="AA54" s="443"/>
      <c r="AB54" s="444"/>
      <c r="AC54" s="411"/>
      <c r="AD54" s="410"/>
      <c r="AE54" s="393"/>
      <c r="AF54" s="393"/>
      <c r="AG54" s="394"/>
      <c r="AH54" s="411"/>
      <c r="AI54" s="410"/>
      <c r="AJ54" s="443"/>
      <c r="AK54" s="443"/>
      <c r="AL54" s="444"/>
      <c r="AM54" s="411" t="s">
        <v>3086</v>
      </c>
      <c r="AN54" s="410" t="s">
        <v>3087</v>
      </c>
      <c r="AO54" s="393"/>
      <c r="AP54" s="393"/>
      <c r="AQ54" s="394"/>
      <c r="AR54" s="411" t="s">
        <v>3088</v>
      </c>
      <c r="AS54" s="410" t="s">
        <v>3089</v>
      </c>
      <c r="AT54" s="873">
        <v>0.45</v>
      </c>
      <c r="AU54" s="421">
        <v>1</v>
      </c>
      <c r="AV54" s="394">
        <f>AT54/AU54</f>
        <v>0.45</v>
      </c>
      <c r="AW54" s="381" t="s">
        <v>3090</v>
      </c>
      <c r="AX54" s="506" t="s">
        <v>3091</v>
      </c>
      <c r="AY54" s="498"/>
      <c r="AZ54" s="443"/>
      <c r="BA54" s="444"/>
      <c r="BB54" s="410"/>
      <c r="BC54" s="460"/>
      <c r="BD54" s="443"/>
      <c r="BE54" s="443"/>
      <c r="BF54" s="444"/>
      <c r="BG54" s="410" t="s">
        <v>3092</v>
      </c>
      <c r="BH54" s="460" t="s">
        <v>3075</v>
      </c>
      <c r="BI54" s="392"/>
      <c r="BJ54" s="393"/>
      <c r="BK54" s="394"/>
      <c r="BL54" s="412" t="s">
        <v>5208</v>
      </c>
      <c r="BM54" s="460" t="s">
        <v>3093</v>
      </c>
      <c r="BN54" s="443"/>
      <c r="BO54" s="443"/>
      <c r="BP54" s="444"/>
      <c r="BQ54" s="410" t="s">
        <v>5207</v>
      </c>
      <c r="BR54" s="460" t="s">
        <v>5194</v>
      </c>
      <c r="BS54" s="392"/>
      <c r="BT54" s="393"/>
      <c r="BU54" s="394"/>
      <c r="BV54" s="396" t="s">
        <v>5206</v>
      </c>
      <c r="BW54" s="561" t="s">
        <v>5205</v>
      </c>
      <c r="BX54" s="393">
        <v>1.55</v>
      </c>
      <c r="BY54" s="393">
        <v>1</v>
      </c>
      <c r="BZ54" s="394">
        <f>BX54/BY54</f>
        <v>1.55</v>
      </c>
      <c r="CA54" s="396" t="s">
        <v>5204</v>
      </c>
      <c r="CB54" s="396" t="s">
        <v>5197</v>
      </c>
      <c r="CC54" s="872" t="s">
        <v>5203</v>
      </c>
      <c r="CE54" s="388">
        <f>BX54+AT54</f>
        <v>2</v>
      </c>
      <c r="CF54" s="388">
        <f>BY54+AU54</f>
        <v>2</v>
      </c>
      <c r="CG54" s="435">
        <f>+CE54/CF54</f>
        <v>1</v>
      </c>
      <c r="CH54" s="435">
        <f>+CG54</f>
        <v>1</v>
      </c>
      <c r="CI54" s="435">
        <f>+T54</f>
        <v>1</v>
      </c>
      <c r="CJ54" s="435">
        <f>+CH54/CI54</f>
        <v>1</v>
      </c>
      <c r="CK54" s="388"/>
    </row>
    <row r="55" spans="1:89" s="401" customFormat="1" ht="156" x14ac:dyDescent="0.25">
      <c r="B55" s="402" t="s">
        <v>195</v>
      </c>
      <c r="C55" s="402" t="s">
        <v>2238</v>
      </c>
      <c r="D55" s="406" t="s">
        <v>65</v>
      </c>
      <c r="E55" s="403" t="s">
        <v>3094</v>
      </c>
      <c r="F55" s="404" t="s">
        <v>2325</v>
      </c>
      <c r="G55" s="402" t="s">
        <v>3095</v>
      </c>
      <c r="H55" s="406" t="s">
        <v>3096</v>
      </c>
      <c r="I55" s="406" t="s">
        <v>3097</v>
      </c>
      <c r="J55" s="402" t="s">
        <v>2329</v>
      </c>
      <c r="K55" s="406" t="s">
        <v>3098</v>
      </c>
      <c r="L55" s="406" t="s">
        <v>3099</v>
      </c>
      <c r="M55" s="406" t="s">
        <v>3100</v>
      </c>
      <c r="N55" s="402" t="s">
        <v>2248</v>
      </c>
      <c r="O55" s="369" t="s">
        <v>3101</v>
      </c>
      <c r="P55" s="403" t="s">
        <v>1777</v>
      </c>
      <c r="Q55" s="503" t="s">
        <v>30</v>
      </c>
      <c r="R55" s="394">
        <v>0.8</v>
      </c>
      <c r="S55" s="504" t="s">
        <v>2248</v>
      </c>
      <c r="T55" s="504">
        <v>1</v>
      </c>
      <c r="U55" s="443"/>
      <c r="V55" s="443"/>
      <c r="W55" s="444"/>
      <c r="X55" s="411"/>
      <c r="Y55" s="410"/>
      <c r="Z55" s="443"/>
      <c r="AA55" s="443"/>
      <c r="AB55" s="444"/>
      <c r="AC55" s="411"/>
      <c r="AD55" s="410"/>
      <c r="AE55" s="393"/>
      <c r="AF55" s="393"/>
      <c r="AG55" s="394"/>
      <c r="AH55" s="411"/>
      <c r="AI55" s="410"/>
      <c r="AJ55" s="443"/>
      <c r="AK55" s="443"/>
      <c r="AL55" s="444"/>
      <c r="AM55" s="411" t="s">
        <v>3102</v>
      </c>
      <c r="AN55" s="410" t="s">
        <v>3087</v>
      </c>
      <c r="AO55" s="393"/>
      <c r="AP55" s="393"/>
      <c r="AQ55" s="394"/>
      <c r="AR55" s="411" t="s">
        <v>3103</v>
      </c>
      <c r="AS55" s="410" t="s">
        <v>3089</v>
      </c>
      <c r="AT55" s="393">
        <v>2069</v>
      </c>
      <c r="AU55" s="393">
        <v>2069</v>
      </c>
      <c r="AV55" s="394">
        <f>AT55/AU55</f>
        <v>1</v>
      </c>
      <c r="AW55" s="381" t="s">
        <v>3104</v>
      </c>
      <c r="AX55" s="506" t="s">
        <v>5202</v>
      </c>
      <c r="AY55" s="498"/>
      <c r="AZ55" s="443"/>
      <c r="BA55" s="444"/>
      <c r="BB55" s="411"/>
      <c r="BC55" s="460"/>
      <c r="BD55" s="443"/>
      <c r="BE55" s="443"/>
      <c r="BF55" s="444"/>
      <c r="BG55" s="411" t="s">
        <v>3105</v>
      </c>
      <c r="BH55" s="460" t="s">
        <v>3075</v>
      </c>
      <c r="BI55" s="392">
        <v>2011</v>
      </c>
      <c r="BJ55" s="393">
        <v>2011</v>
      </c>
      <c r="BK55" s="394">
        <f>BI55/BJ55</f>
        <v>1</v>
      </c>
      <c r="BL55" s="381" t="s">
        <v>3106</v>
      </c>
      <c r="BM55" s="460" t="s">
        <v>3077</v>
      </c>
      <c r="BN55" s="443"/>
      <c r="BO55" s="443"/>
      <c r="BP55" s="444"/>
      <c r="BQ55" s="411" t="s">
        <v>5201</v>
      </c>
      <c r="BR55" s="505" t="s">
        <v>5200</v>
      </c>
      <c r="BS55" s="392"/>
      <c r="BT55" s="393"/>
      <c r="BU55" s="394"/>
      <c r="BV55" s="396" t="s">
        <v>5199</v>
      </c>
      <c r="BW55" s="561" t="s">
        <v>5192</v>
      </c>
      <c r="BX55" s="393">
        <v>1804</v>
      </c>
      <c r="BY55" s="393">
        <v>1804</v>
      </c>
      <c r="BZ55" s="394">
        <f>BX55/BY55</f>
        <v>1</v>
      </c>
      <c r="CA55" s="396" t="s">
        <v>5198</v>
      </c>
      <c r="CB55" s="396" t="s">
        <v>5197</v>
      </c>
      <c r="CC55" s="872" t="s">
        <v>5196</v>
      </c>
      <c r="CE55" s="495">
        <f>BX55+BI55+AT55</f>
        <v>5884</v>
      </c>
      <c r="CF55" s="495">
        <f>BY55+BJ55+AU55</f>
        <v>5884</v>
      </c>
      <c r="CG55" s="435">
        <f>+CE55/CF55</f>
        <v>1</v>
      </c>
      <c r="CH55" s="435">
        <f>+CG55</f>
        <v>1</v>
      </c>
      <c r="CI55" s="435">
        <f>+T55</f>
        <v>1</v>
      </c>
      <c r="CJ55" s="435">
        <f>+CH55/CI55</f>
        <v>1</v>
      </c>
      <c r="CK55" s="388"/>
    </row>
    <row r="56" spans="1:89" s="401" customFormat="1" ht="168" x14ac:dyDescent="0.25">
      <c r="B56" s="402" t="s">
        <v>195</v>
      </c>
      <c r="C56" s="402" t="s">
        <v>2238</v>
      </c>
      <c r="D56" s="406" t="s">
        <v>65</v>
      </c>
      <c r="E56" s="403" t="s">
        <v>3107</v>
      </c>
      <c r="F56" s="404" t="s">
        <v>2325</v>
      </c>
      <c r="G56" s="402" t="s">
        <v>3108</v>
      </c>
      <c r="H56" s="406" t="s">
        <v>3109</v>
      </c>
      <c r="I56" s="406" t="s">
        <v>3110</v>
      </c>
      <c r="J56" s="402" t="s">
        <v>2329</v>
      </c>
      <c r="K56" s="406" t="s">
        <v>3111</v>
      </c>
      <c r="L56" s="406" t="s">
        <v>3112</v>
      </c>
      <c r="M56" s="406" t="s">
        <v>3113</v>
      </c>
      <c r="N56" s="402" t="s">
        <v>2248</v>
      </c>
      <c r="O56" s="369" t="s">
        <v>3114</v>
      </c>
      <c r="P56" s="403" t="s">
        <v>2366</v>
      </c>
      <c r="Q56" s="503" t="s">
        <v>30</v>
      </c>
      <c r="R56" s="394">
        <v>1</v>
      </c>
      <c r="S56" s="504" t="s">
        <v>2248</v>
      </c>
      <c r="T56" s="504">
        <v>1</v>
      </c>
      <c r="U56" s="393"/>
      <c r="V56" s="393"/>
      <c r="W56" s="394"/>
      <c r="X56" s="411"/>
      <c r="Y56" s="410"/>
      <c r="Z56" s="393"/>
      <c r="AA56" s="393"/>
      <c r="AB56" s="394"/>
      <c r="AC56" s="411"/>
      <c r="AD56" s="410"/>
      <c r="AE56" s="393"/>
      <c r="AF56" s="393"/>
      <c r="AG56" s="394"/>
      <c r="AH56" s="411"/>
      <c r="AI56" s="410"/>
      <c r="AJ56" s="443"/>
      <c r="AK56" s="443"/>
      <c r="AL56" s="444"/>
      <c r="AM56" s="411" t="s">
        <v>3115</v>
      </c>
      <c r="AN56" s="410" t="s">
        <v>3087</v>
      </c>
      <c r="AO56" s="393"/>
      <c r="AP56" s="393"/>
      <c r="AQ56" s="394"/>
      <c r="AR56" s="411" t="s">
        <v>3116</v>
      </c>
      <c r="AS56" s="410" t="s">
        <v>3089</v>
      </c>
      <c r="AT56" s="393">
        <v>302</v>
      </c>
      <c r="AU56" s="393">
        <v>302</v>
      </c>
      <c r="AV56" s="394">
        <f>AT56/AU56</f>
        <v>1</v>
      </c>
      <c r="AW56" s="381" t="s">
        <v>3117</v>
      </c>
      <c r="AX56" s="506" t="s">
        <v>3118</v>
      </c>
      <c r="AY56" s="498"/>
      <c r="AZ56" s="443"/>
      <c r="BA56" s="444"/>
      <c r="BB56" s="410"/>
      <c r="BC56" s="460"/>
      <c r="BD56" s="443"/>
      <c r="BE56" s="443"/>
      <c r="BF56" s="444"/>
      <c r="BG56" s="410" t="s">
        <v>3119</v>
      </c>
      <c r="BH56" s="460" t="s">
        <v>3075</v>
      </c>
      <c r="BI56" s="392"/>
      <c r="BJ56" s="393"/>
      <c r="BK56" s="394"/>
      <c r="BL56" s="410" t="s">
        <v>3120</v>
      </c>
      <c r="BM56" s="460" t="s">
        <v>3077</v>
      </c>
      <c r="BN56" s="443"/>
      <c r="BO56" s="443"/>
      <c r="BP56" s="444"/>
      <c r="BQ56" s="410" t="s">
        <v>5195</v>
      </c>
      <c r="BR56" s="460" t="s">
        <v>5194</v>
      </c>
      <c r="BS56" s="392"/>
      <c r="BT56" s="393"/>
      <c r="BU56" s="394"/>
      <c r="BV56" s="396" t="s">
        <v>5193</v>
      </c>
      <c r="BW56" s="561" t="s">
        <v>5192</v>
      </c>
      <c r="BX56" s="393">
        <v>406</v>
      </c>
      <c r="BY56" s="393">
        <v>406</v>
      </c>
      <c r="BZ56" s="394">
        <f>BX56/BY56</f>
        <v>1</v>
      </c>
      <c r="CA56" s="396" t="s">
        <v>5191</v>
      </c>
      <c r="CB56" s="396" t="s">
        <v>5190</v>
      </c>
      <c r="CC56" s="872" t="s">
        <v>5189</v>
      </c>
      <c r="CE56" s="388">
        <f>BX56+AT56</f>
        <v>708</v>
      </c>
      <c r="CF56" s="388">
        <f>BY56+AU56</f>
        <v>708</v>
      </c>
      <c r="CG56" s="435">
        <f>+CE56/CF56</f>
        <v>1</v>
      </c>
      <c r="CH56" s="435">
        <f>+CG56</f>
        <v>1</v>
      </c>
      <c r="CI56" s="435">
        <f>+T56</f>
        <v>1</v>
      </c>
      <c r="CJ56" s="435">
        <f>+CH56/CI56</f>
        <v>1</v>
      </c>
      <c r="CK56" s="388"/>
    </row>
    <row r="57" spans="1:89" s="385" customFormat="1" ht="168" x14ac:dyDescent="0.25">
      <c r="B57" s="369" t="s">
        <v>203</v>
      </c>
      <c r="C57" s="369" t="s">
        <v>2238</v>
      </c>
      <c r="D57" s="372" t="s">
        <v>65</v>
      </c>
      <c r="E57" s="370" t="s">
        <v>3121</v>
      </c>
      <c r="F57" s="371" t="s">
        <v>3122</v>
      </c>
      <c r="G57" s="372" t="s">
        <v>3123</v>
      </c>
      <c r="H57" s="372" t="s">
        <v>3124</v>
      </c>
      <c r="I57" s="372" t="s">
        <v>3125</v>
      </c>
      <c r="J57" s="370" t="s">
        <v>2329</v>
      </c>
      <c r="K57" s="372" t="s">
        <v>3126</v>
      </c>
      <c r="L57" s="372" t="s">
        <v>3127</v>
      </c>
      <c r="M57" s="372" t="s">
        <v>3128</v>
      </c>
      <c r="N57" s="372" t="s">
        <v>2248</v>
      </c>
      <c r="O57" s="372" t="s">
        <v>3129</v>
      </c>
      <c r="P57" s="369" t="s">
        <v>1777</v>
      </c>
      <c r="Q57" s="369" t="s">
        <v>60</v>
      </c>
      <c r="R57" s="373">
        <v>1</v>
      </c>
      <c r="S57" s="369" t="s">
        <v>2248</v>
      </c>
      <c r="T57" s="373">
        <v>1</v>
      </c>
      <c r="U57" s="393"/>
      <c r="V57" s="393"/>
      <c r="W57" s="394"/>
      <c r="X57" s="507" t="s">
        <v>3130</v>
      </c>
      <c r="Y57" s="507" t="s">
        <v>2497</v>
      </c>
      <c r="Z57" s="393"/>
      <c r="AA57" s="393"/>
      <c r="AB57" s="394"/>
      <c r="AC57" s="508" t="s">
        <v>3131</v>
      </c>
      <c r="AD57" s="396" t="s">
        <v>2497</v>
      </c>
      <c r="AE57" s="392">
        <v>2</v>
      </c>
      <c r="AF57" s="393">
        <v>15</v>
      </c>
      <c r="AG57" s="394">
        <f>+AE57/AF57</f>
        <v>0.13333333333333333</v>
      </c>
      <c r="AH57" s="507" t="s">
        <v>3132</v>
      </c>
      <c r="AI57" s="395" t="s">
        <v>3133</v>
      </c>
      <c r="AJ57" s="393"/>
      <c r="AK57" s="393"/>
      <c r="AL57" s="394"/>
      <c r="AM57" s="379" t="s">
        <v>3134</v>
      </c>
      <c r="AN57" s="508" t="s">
        <v>2501</v>
      </c>
      <c r="AO57" s="392"/>
      <c r="AP57" s="393"/>
      <c r="AQ57" s="394"/>
      <c r="AR57" s="509" t="s">
        <v>3135</v>
      </c>
      <c r="AS57" s="410" t="s">
        <v>3136</v>
      </c>
      <c r="AT57" s="393">
        <v>19</v>
      </c>
      <c r="AU57" s="393">
        <v>32</v>
      </c>
      <c r="AV57" s="394">
        <f>+AT57/AU57</f>
        <v>0.59375</v>
      </c>
      <c r="AW57" s="395" t="s">
        <v>3137</v>
      </c>
      <c r="AX57" s="510" t="s">
        <v>2723</v>
      </c>
      <c r="AY57" s="392"/>
      <c r="AZ57" s="393"/>
      <c r="BA57" s="394"/>
      <c r="BB57" s="379" t="s">
        <v>3138</v>
      </c>
      <c r="BC57" s="395" t="s">
        <v>3139</v>
      </c>
      <c r="BD57" s="393"/>
      <c r="BE57" s="393"/>
      <c r="BF57" s="394"/>
      <c r="BG57" s="379" t="s">
        <v>3140</v>
      </c>
      <c r="BH57" s="411" t="s">
        <v>3141</v>
      </c>
      <c r="BI57" s="392">
        <v>30</v>
      </c>
      <c r="BJ57" s="393">
        <v>43</v>
      </c>
      <c r="BK57" s="394">
        <f>+BI57/BJ57</f>
        <v>0.69767441860465118</v>
      </c>
      <c r="BL57" s="379" t="s">
        <v>3142</v>
      </c>
      <c r="BM57" s="410" t="s">
        <v>3143</v>
      </c>
      <c r="BN57" s="393"/>
      <c r="BO57" s="393"/>
      <c r="BP57" s="394"/>
      <c r="BQ57" s="379" t="s">
        <v>5188</v>
      </c>
      <c r="BR57" s="411" t="s">
        <v>5076</v>
      </c>
      <c r="BS57" s="392"/>
      <c r="BT57" s="393"/>
      <c r="BU57" s="394"/>
      <c r="BV57" s="411" t="s">
        <v>5187</v>
      </c>
      <c r="BW57" s="411" t="s">
        <v>5182</v>
      </c>
      <c r="BX57" s="393">
        <v>43</v>
      </c>
      <c r="BY57" s="393">
        <v>47</v>
      </c>
      <c r="BZ57" s="394">
        <f>+BX57/BY57</f>
        <v>0.91489361702127658</v>
      </c>
      <c r="CA57" s="379" t="s">
        <v>5186</v>
      </c>
      <c r="CB57" s="411" t="s">
        <v>5180</v>
      </c>
      <c r="CC57" s="414" t="s">
        <v>5185</v>
      </c>
      <c r="CD57" s="389"/>
      <c r="CE57" s="388">
        <f>BX57</f>
        <v>43</v>
      </c>
      <c r="CF57" s="388">
        <f>BY57</f>
        <v>47</v>
      </c>
      <c r="CG57" s="435">
        <f>+CE57/CF57</f>
        <v>0.91489361702127658</v>
      </c>
      <c r="CH57" s="435">
        <f>+CG57</f>
        <v>0.91489361702127658</v>
      </c>
      <c r="CI57" s="435">
        <f>+T57</f>
        <v>1</v>
      </c>
      <c r="CJ57" s="435">
        <f>+CH57/CI57</f>
        <v>0.91489361702127658</v>
      </c>
      <c r="CK57" s="386"/>
    </row>
    <row r="58" spans="1:89" s="389" customFormat="1" ht="210" customHeight="1" x14ac:dyDescent="0.25">
      <c r="B58" s="369" t="s">
        <v>203</v>
      </c>
      <c r="C58" s="369" t="s">
        <v>2238</v>
      </c>
      <c r="D58" s="372" t="s">
        <v>65</v>
      </c>
      <c r="E58" s="373" t="s">
        <v>3144</v>
      </c>
      <c r="F58" s="371" t="s">
        <v>3122</v>
      </c>
      <c r="G58" s="372" t="s">
        <v>3145</v>
      </c>
      <c r="H58" s="372" t="s">
        <v>3146</v>
      </c>
      <c r="I58" s="372" t="s">
        <v>3147</v>
      </c>
      <c r="J58" s="370" t="s">
        <v>2329</v>
      </c>
      <c r="K58" s="511" t="s">
        <v>3148</v>
      </c>
      <c r="L58" s="372" t="s">
        <v>3149</v>
      </c>
      <c r="M58" s="511" t="s">
        <v>3150</v>
      </c>
      <c r="N58" s="372" t="s">
        <v>2248</v>
      </c>
      <c r="O58" s="511" t="s">
        <v>3151</v>
      </c>
      <c r="P58" s="369" t="s">
        <v>1777</v>
      </c>
      <c r="Q58" s="369" t="s">
        <v>60</v>
      </c>
      <c r="R58" s="377" t="s">
        <v>2291</v>
      </c>
      <c r="S58" s="369" t="s">
        <v>2248</v>
      </c>
      <c r="T58" s="373">
        <v>1</v>
      </c>
      <c r="U58" s="393"/>
      <c r="V58" s="393"/>
      <c r="W58" s="394"/>
      <c r="X58" s="507" t="s">
        <v>3152</v>
      </c>
      <c r="Y58" s="507"/>
      <c r="Z58" s="393"/>
      <c r="AA58" s="393"/>
      <c r="AB58" s="394"/>
      <c r="AC58" s="508" t="s">
        <v>3152</v>
      </c>
      <c r="AD58" s="411"/>
      <c r="AE58" s="392"/>
      <c r="AF58" s="393"/>
      <c r="AG58" s="394"/>
      <c r="AH58" s="508" t="s">
        <v>3152</v>
      </c>
      <c r="AI58" s="410"/>
      <c r="AJ58" s="393"/>
      <c r="AK58" s="393"/>
      <c r="AL58" s="394"/>
      <c r="AM58" s="507" t="s">
        <v>3152</v>
      </c>
      <c r="AN58" s="508"/>
      <c r="AO58" s="392"/>
      <c r="AP58" s="393"/>
      <c r="AQ58" s="394"/>
      <c r="AR58" s="507" t="s">
        <v>3152</v>
      </c>
      <c r="AS58" s="410"/>
      <c r="AT58" s="393"/>
      <c r="AU58" s="393"/>
      <c r="AV58" s="394"/>
      <c r="AW58" s="396" t="s">
        <v>3152</v>
      </c>
      <c r="AX58" s="411"/>
      <c r="AY58" s="392"/>
      <c r="AZ58" s="393"/>
      <c r="BA58" s="394"/>
      <c r="BB58" s="395" t="s">
        <v>3152</v>
      </c>
      <c r="BC58" s="410"/>
      <c r="BD58" s="393"/>
      <c r="BE58" s="393"/>
      <c r="BF58" s="394"/>
      <c r="BG58" s="395" t="s">
        <v>3153</v>
      </c>
      <c r="BH58" s="411" t="s">
        <v>3141</v>
      </c>
      <c r="BI58" s="392">
        <v>918</v>
      </c>
      <c r="BJ58" s="393">
        <v>1128</v>
      </c>
      <c r="BK58" s="394">
        <f>+BI58/BJ58</f>
        <v>0.81382978723404253</v>
      </c>
      <c r="BL58" s="395" t="s">
        <v>3154</v>
      </c>
      <c r="BM58" s="410" t="s">
        <v>3143</v>
      </c>
      <c r="BN58" s="393"/>
      <c r="BO58" s="393"/>
      <c r="BP58" s="394"/>
      <c r="BQ58" s="395" t="s">
        <v>5184</v>
      </c>
      <c r="BR58" s="411" t="s">
        <v>5076</v>
      </c>
      <c r="BS58" s="392"/>
      <c r="BT58" s="393"/>
      <c r="BU58" s="394"/>
      <c r="BV58" s="411" t="s">
        <v>5183</v>
      </c>
      <c r="BW58" s="411" t="s">
        <v>5182</v>
      </c>
      <c r="BX58" s="393">
        <v>1142</v>
      </c>
      <c r="BY58" s="393">
        <v>1357</v>
      </c>
      <c r="BZ58" s="394">
        <f>+BX58/BY58</f>
        <v>0.84156226971260129</v>
      </c>
      <c r="CA58" s="395" t="s">
        <v>5181</v>
      </c>
      <c r="CB58" s="411" t="s">
        <v>5180</v>
      </c>
      <c r="CC58" s="414" t="s">
        <v>5179</v>
      </c>
      <c r="CE58" s="495">
        <f>BX58</f>
        <v>1142</v>
      </c>
      <c r="CF58" s="495">
        <f>BY58</f>
        <v>1357</v>
      </c>
      <c r="CG58" s="435">
        <f>+CE58/CF58</f>
        <v>0.84156226971260129</v>
      </c>
      <c r="CH58" s="435">
        <f>+CG58</f>
        <v>0.84156226971260129</v>
      </c>
      <c r="CI58" s="435">
        <f>+T58</f>
        <v>1</v>
      </c>
      <c r="CJ58" s="435">
        <f>+CH58/CI58</f>
        <v>0.84156226971260129</v>
      </c>
      <c r="CK58" s="388"/>
    </row>
    <row r="59" spans="1:89" s="437" customFormat="1" ht="372" x14ac:dyDescent="0.25">
      <c r="B59" s="402" t="s">
        <v>212</v>
      </c>
      <c r="C59" s="402" t="s">
        <v>2238</v>
      </c>
      <c r="D59" s="406" t="s">
        <v>65</v>
      </c>
      <c r="E59" s="403" t="s">
        <v>3155</v>
      </c>
      <c r="F59" s="404" t="s">
        <v>3156</v>
      </c>
      <c r="G59" s="402" t="s">
        <v>3157</v>
      </c>
      <c r="H59" s="406" t="s">
        <v>3158</v>
      </c>
      <c r="I59" s="406" t="s">
        <v>3159</v>
      </c>
      <c r="J59" s="512" t="s">
        <v>2244</v>
      </c>
      <c r="K59" s="406" t="s">
        <v>3160</v>
      </c>
      <c r="L59" s="406" t="s">
        <v>3161</v>
      </c>
      <c r="M59" s="406" t="s">
        <v>3162</v>
      </c>
      <c r="N59" s="402" t="s">
        <v>2955</v>
      </c>
      <c r="O59" s="406" t="s">
        <v>3161</v>
      </c>
      <c r="P59" s="403" t="s">
        <v>1747</v>
      </c>
      <c r="Q59" s="441" t="s">
        <v>30</v>
      </c>
      <c r="R59" s="377">
        <v>1</v>
      </c>
      <c r="S59" s="402" t="s">
        <v>2248</v>
      </c>
      <c r="T59" s="377">
        <v>1</v>
      </c>
      <c r="U59" s="376">
        <v>2</v>
      </c>
      <c r="V59" s="376">
        <v>2</v>
      </c>
      <c r="W59" s="377">
        <f>+U59/V59</f>
        <v>1</v>
      </c>
      <c r="X59" s="381" t="s">
        <v>3163</v>
      </c>
      <c r="Y59" s="412" t="s">
        <v>3164</v>
      </c>
      <c r="Z59" s="376">
        <v>15</v>
      </c>
      <c r="AA59" s="376">
        <v>15</v>
      </c>
      <c r="AB59" s="377">
        <f>+Z59/AA59</f>
        <v>1</v>
      </c>
      <c r="AC59" s="381" t="s">
        <v>5178</v>
      </c>
      <c r="AD59" s="381" t="s">
        <v>3165</v>
      </c>
      <c r="AE59" s="380">
        <v>4</v>
      </c>
      <c r="AF59" s="376">
        <v>4</v>
      </c>
      <c r="AG59" s="377">
        <f>+AF59/AE59</f>
        <v>1</v>
      </c>
      <c r="AH59" s="412" t="s">
        <v>3166</v>
      </c>
      <c r="AI59" s="412" t="s">
        <v>3167</v>
      </c>
      <c r="AJ59" s="376">
        <v>5</v>
      </c>
      <c r="AK59" s="376">
        <v>5</v>
      </c>
      <c r="AL59" s="377">
        <v>1</v>
      </c>
      <c r="AM59" s="412" t="s">
        <v>3168</v>
      </c>
      <c r="AN59" s="412" t="s">
        <v>3169</v>
      </c>
      <c r="AO59" s="376">
        <v>7</v>
      </c>
      <c r="AP59" s="376">
        <v>7</v>
      </c>
      <c r="AQ59" s="377">
        <v>1</v>
      </c>
      <c r="AR59" s="412" t="s">
        <v>3170</v>
      </c>
      <c r="AS59" s="412" t="s">
        <v>3171</v>
      </c>
      <c r="AT59" s="376">
        <v>13</v>
      </c>
      <c r="AU59" s="376">
        <v>13</v>
      </c>
      <c r="AV59" s="377">
        <v>1</v>
      </c>
      <c r="AW59" s="412" t="s">
        <v>3172</v>
      </c>
      <c r="AX59" s="381" t="s">
        <v>3173</v>
      </c>
      <c r="AY59" s="380">
        <v>11</v>
      </c>
      <c r="AZ59" s="376">
        <v>11</v>
      </c>
      <c r="BA59" s="377">
        <v>1</v>
      </c>
      <c r="BB59" s="412" t="s">
        <v>3174</v>
      </c>
      <c r="BC59" s="381" t="s">
        <v>3175</v>
      </c>
      <c r="BD59" s="376">
        <v>12</v>
      </c>
      <c r="BE59" s="376">
        <v>12</v>
      </c>
      <c r="BF59" s="377">
        <v>1</v>
      </c>
      <c r="BG59" s="412" t="s">
        <v>3176</v>
      </c>
      <c r="BH59" s="381" t="s">
        <v>3177</v>
      </c>
      <c r="BI59" s="380">
        <v>8</v>
      </c>
      <c r="BJ59" s="376">
        <v>8</v>
      </c>
      <c r="BK59" s="377">
        <v>1</v>
      </c>
      <c r="BL59" s="412" t="s">
        <v>3178</v>
      </c>
      <c r="BM59" s="412" t="s">
        <v>3179</v>
      </c>
      <c r="BN59" s="376">
        <v>10</v>
      </c>
      <c r="BO59" s="376">
        <v>10</v>
      </c>
      <c r="BP59" s="377">
        <v>1</v>
      </c>
      <c r="BQ59" s="379" t="s">
        <v>5177</v>
      </c>
      <c r="BR59" s="381" t="s">
        <v>5176</v>
      </c>
      <c r="BS59" s="380">
        <v>2</v>
      </c>
      <c r="BT59" s="376">
        <v>2</v>
      </c>
      <c r="BU59" s="377">
        <v>1</v>
      </c>
      <c r="BV59" s="379" t="s">
        <v>5175</v>
      </c>
      <c r="BW59" s="381" t="s">
        <v>5174</v>
      </c>
      <c r="BX59" s="380">
        <v>1</v>
      </c>
      <c r="BY59" s="376">
        <v>1</v>
      </c>
      <c r="BZ59" s="377">
        <v>1</v>
      </c>
      <c r="CA59" s="379" t="s">
        <v>5173</v>
      </c>
      <c r="CB59" s="381" t="s">
        <v>5172</v>
      </c>
      <c r="CC59" s="384" t="s">
        <v>5171</v>
      </c>
      <c r="CE59" s="432">
        <f>+U59+Z59+AE59+AJ59+AO59+AT59+AY59+BD59+BI59+BN59+BS59+BX59</f>
        <v>90</v>
      </c>
      <c r="CF59" s="432">
        <f>+V59+AA59+AF59+AK59+AP59+AU59+AZ59+BE59+BJ59+BO59+BT59+BY59</f>
        <v>90</v>
      </c>
      <c r="CG59" s="417">
        <f>+CE59/CF59</f>
        <v>1</v>
      </c>
      <c r="CH59" s="417">
        <f>+CG59</f>
        <v>1</v>
      </c>
      <c r="CI59" s="417">
        <f>+T59</f>
        <v>1</v>
      </c>
      <c r="CJ59" s="417">
        <f>+CH59/CI59</f>
        <v>1</v>
      </c>
      <c r="CK59" s="432"/>
    </row>
    <row r="60" spans="1:89" s="389" customFormat="1" ht="175.5" customHeight="1" x14ac:dyDescent="0.25">
      <c r="A60" s="871"/>
      <c r="B60" s="369" t="s">
        <v>212</v>
      </c>
      <c r="C60" s="511" t="s">
        <v>106</v>
      </c>
      <c r="D60" s="511" t="s">
        <v>65</v>
      </c>
      <c r="E60" s="369" t="s">
        <v>3180</v>
      </c>
      <c r="F60" s="869" t="s">
        <v>3122</v>
      </c>
      <c r="G60" s="511" t="s">
        <v>3181</v>
      </c>
      <c r="H60" s="511" t="s">
        <v>3182</v>
      </c>
      <c r="I60" s="511" t="s">
        <v>3183</v>
      </c>
      <c r="J60" s="870" t="s">
        <v>2329</v>
      </c>
      <c r="K60" s="869" t="s">
        <v>3184</v>
      </c>
      <c r="L60" s="855" t="s">
        <v>3185</v>
      </c>
      <c r="M60" s="855" t="s">
        <v>3186</v>
      </c>
      <c r="N60" s="511" t="s">
        <v>2248</v>
      </c>
      <c r="O60" s="855" t="s">
        <v>3187</v>
      </c>
      <c r="P60" s="868" t="s">
        <v>1777</v>
      </c>
      <c r="Q60" s="855" t="s">
        <v>30</v>
      </c>
      <c r="R60" s="493">
        <v>0.92</v>
      </c>
      <c r="S60" s="855" t="s">
        <v>2248</v>
      </c>
      <c r="T60" s="377">
        <v>0.98</v>
      </c>
      <c r="U60" s="396"/>
      <c r="V60" s="396"/>
      <c r="W60" s="396"/>
      <c r="X60" s="864" t="s">
        <v>3188</v>
      </c>
      <c r="Y60" s="395" t="s">
        <v>3189</v>
      </c>
      <c r="Z60" s="396"/>
      <c r="AA60" s="396"/>
      <c r="AB60" s="396"/>
      <c r="AC60" s="864" t="s">
        <v>3190</v>
      </c>
      <c r="AD60" s="395" t="s">
        <v>3189</v>
      </c>
      <c r="AE60" s="394">
        <v>1</v>
      </c>
      <c r="AF60" s="394">
        <v>0.95</v>
      </c>
      <c r="AG60" s="394">
        <f>+AE60/AF60</f>
        <v>1.0526315789473684</v>
      </c>
      <c r="AH60" s="395" t="s">
        <v>3191</v>
      </c>
      <c r="AI60" s="395" t="s">
        <v>3192</v>
      </c>
      <c r="AJ60" s="396"/>
      <c r="AK60" s="396"/>
      <c r="AL60" s="396"/>
      <c r="AM60" s="864" t="s">
        <v>3193</v>
      </c>
      <c r="AN60" s="395" t="s">
        <v>3194</v>
      </c>
      <c r="AO60" s="867"/>
      <c r="AP60" s="396"/>
      <c r="AQ60" s="866"/>
      <c r="AR60" s="864" t="s">
        <v>3195</v>
      </c>
      <c r="AS60" s="395" t="s">
        <v>3196</v>
      </c>
      <c r="AT60" s="394">
        <v>0.96799999999999997</v>
      </c>
      <c r="AU60" s="394">
        <f>+AF60</f>
        <v>0.95</v>
      </c>
      <c r="AV60" s="394">
        <f>+AT60/AU60</f>
        <v>1.0189473684210526</v>
      </c>
      <c r="AW60" s="395" t="s">
        <v>3197</v>
      </c>
      <c r="AX60" s="862" t="s">
        <v>3198</v>
      </c>
      <c r="AY60" s="865"/>
      <c r="AZ60" s="396"/>
      <c r="BA60" s="396"/>
      <c r="BB60" s="864" t="s">
        <v>3199</v>
      </c>
      <c r="BC60" s="395" t="s">
        <v>3200</v>
      </c>
      <c r="BD60" s="396"/>
      <c r="BE60" s="396"/>
      <c r="BF60" s="396"/>
      <c r="BG60" s="864" t="s">
        <v>3201</v>
      </c>
      <c r="BH60" s="395" t="s">
        <v>3202</v>
      </c>
      <c r="BI60" s="394">
        <v>0.98750000000000004</v>
      </c>
      <c r="BJ60" s="394">
        <v>0.98</v>
      </c>
      <c r="BK60" s="394">
        <f>BI60/BJ60</f>
        <v>1.0076530612244898</v>
      </c>
      <c r="BL60" s="864" t="s">
        <v>3203</v>
      </c>
      <c r="BM60" s="862" t="s">
        <v>2550</v>
      </c>
      <c r="BN60" s="396"/>
      <c r="BO60" s="396"/>
      <c r="BP60" s="396"/>
      <c r="BQ60" s="864" t="s">
        <v>5170</v>
      </c>
      <c r="BR60" s="862" t="s">
        <v>5169</v>
      </c>
      <c r="BS60" s="466"/>
      <c r="BT60" s="394"/>
      <c r="BU60" s="394"/>
      <c r="BV60" s="864" t="s">
        <v>5168</v>
      </c>
      <c r="BW60" s="862" t="s">
        <v>5167</v>
      </c>
      <c r="BX60" s="394">
        <v>0.92</v>
      </c>
      <c r="BY60" s="394">
        <v>0.98</v>
      </c>
      <c r="BZ60" s="394">
        <f>BX60/BY60</f>
        <v>0.93877551020408168</v>
      </c>
      <c r="CA60" s="863" t="s">
        <v>5166</v>
      </c>
      <c r="CB60" s="862" t="s">
        <v>5165</v>
      </c>
      <c r="CC60" s="851" t="s">
        <v>5164</v>
      </c>
      <c r="CE60" s="435">
        <f>(+U60+Z60+AE60+AJ60+AO60+AT60+AY60+BD60+BI60+BN60+BS60+BX60)/4</f>
        <v>0.96887499999999993</v>
      </c>
      <c r="CF60" s="435">
        <v>0.98</v>
      </c>
      <c r="CG60" s="435">
        <f>+CE60/CF60</f>
        <v>0.98864795918367343</v>
      </c>
      <c r="CH60" s="435">
        <f>+CG60</f>
        <v>0.98864795918367343</v>
      </c>
      <c r="CI60" s="435">
        <f>+T60</f>
        <v>0.98</v>
      </c>
      <c r="CJ60" s="435">
        <f>+CH60/CI60</f>
        <v>1.0088244481466055</v>
      </c>
      <c r="CK60" s="388"/>
    </row>
    <row r="61" spans="1:89" s="389" customFormat="1" ht="222.75" customHeight="1" x14ac:dyDescent="0.25">
      <c r="B61" s="369" t="s">
        <v>221</v>
      </c>
      <c r="C61" s="369" t="s">
        <v>26</v>
      </c>
      <c r="D61" s="372" t="s">
        <v>65</v>
      </c>
      <c r="E61" s="369" t="s">
        <v>3204</v>
      </c>
      <c r="F61" s="371" t="s">
        <v>3205</v>
      </c>
      <c r="G61" s="372" t="s">
        <v>3206</v>
      </c>
      <c r="H61" s="372" t="s">
        <v>3207</v>
      </c>
      <c r="I61" s="372" t="s">
        <v>3208</v>
      </c>
      <c r="J61" s="370" t="s">
        <v>2329</v>
      </c>
      <c r="K61" s="473" t="s">
        <v>3209</v>
      </c>
      <c r="L61" s="372" t="s">
        <v>3210</v>
      </c>
      <c r="M61" s="405" t="s">
        <v>3211</v>
      </c>
      <c r="N61" s="369" t="s">
        <v>2248</v>
      </c>
      <c r="O61" s="372" t="s">
        <v>3212</v>
      </c>
      <c r="P61" s="370" t="s">
        <v>1777</v>
      </c>
      <c r="Q61" s="442" t="s">
        <v>30</v>
      </c>
      <c r="R61" s="502">
        <v>0.89</v>
      </c>
      <c r="S61" s="373" t="s">
        <v>2248</v>
      </c>
      <c r="T61" s="513">
        <v>0.9</v>
      </c>
      <c r="U61" s="393"/>
      <c r="V61" s="393"/>
      <c r="W61" s="394"/>
      <c r="X61" s="411" t="s">
        <v>3213</v>
      </c>
      <c r="Y61" s="410" t="s">
        <v>3214</v>
      </c>
      <c r="Z61" s="393"/>
      <c r="AA61" s="393"/>
      <c r="AB61" s="394"/>
      <c r="AC61" s="411" t="s">
        <v>3215</v>
      </c>
      <c r="AD61" s="410" t="s">
        <v>3214</v>
      </c>
      <c r="AE61" s="393">
        <v>11578</v>
      </c>
      <c r="AF61" s="393">
        <v>12278</v>
      </c>
      <c r="AG61" s="394">
        <f>+AE61/AF61</f>
        <v>0.94298745724059296</v>
      </c>
      <c r="AH61" s="410" t="s">
        <v>3216</v>
      </c>
      <c r="AI61" s="410" t="s">
        <v>3217</v>
      </c>
      <c r="AJ61" s="393"/>
      <c r="AK61" s="393"/>
      <c r="AL61" s="394"/>
      <c r="AM61" s="411" t="s">
        <v>3218</v>
      </c>
      <c r="AN61" s="514" t="s">
        <v>3219</v>
      </c>
      <c r="AO61" s="392"/>
      <c r="AP61" s="393"/>
      <c r="AQ61" s="394"/>
      <c r="AR61" s="410" t="s">
        <v>3220</v>
      </c>
      <c r="AS61" s="514" t="s">
        <v>3221</v>
      </c>
      <c r="AT61" s="393">
        <v>25663</v>
      </c>
      <c r="AU61" s="393">
        <v>27429</v>
      </c>
      <c r="AV61" s="394">
        <f>AT61/AU61</f>
        <v>0.93561558933974986</v>
      </c>
      <c r="AW61" s="411" t="s">
        <v>3222</v>
      </c>
      <c r="AX61" s="461" t="s">
        <v>3223</v>
      </c>
      <c r="AY61" s="392"/>
      <c r="AZ61" s="393"/>
      <c r="BA61" s="394"/>
      <c r="BB61" s="411" t="s">
        <v>3224</v>
      </c>
      <c r="BC61" s="461" t="s">
        <v>3225</v>
      </c>
      <c r="BD61" s="393"/>
      <c r="BE61" s="393"/>
      <c r="BF61" s="394"/>
      <c r="BG61" s="411" t="s">
        <v>3226</v>
      </c>
      <c r="BH61" s="461" t="s">
        <v>3227</v>
      </c>
      <c r="BI61" s="515">
        <v>29.687000000000001</v>
      </c>
      <c r="BJ61" s="515">
        <v>31.884</v>
      </c>
      <c r="BK61" s="516">
        <v>0.93</v>
      </c>
      <c r="BL61" s="517" t="s">
        <v>3228</v>
      </c>
      <c r="BM61" s="461" t="s">
        <v>5163</v>
      </c>
      <c r="BN61" s="393"/>
      <c r="BO61" s="393"/>
      <c r="BP61" s="394"/>
      <c r="BQ61" s="517" t="s">
        <v>5162</v>
      </c>
      <c r="BR61" s="411" t="s">
        <v>5161</v>
      </c>
      <c r="BS61" s="392"/>
      <c r="BT61" s="393"/>
      <c r="BU61" s="394"/>
      <c r="BV61" s="517" t="s">
        <v>5160</v>
      </c>
      <c r="BW61" s="411" t="s">
        <v>5159</v>
      </c>
      <c r="BX61" s="393">
        <v>35358</v>
      </c>
      <c r="BY61" s="393">
        <v>37508</v>
      </c>
      <c r="BZ61" s="394">
        <v>0.94299999999999995</v>
      </c>
      <c r="CA61" s="411" t="s">
        <v>5158</v>
      </c>
      <c r="CB61" s="862" t="s">
        <v>5157</v>
      </c>
      <c r="CC61" s="851" t="s">
        <v>5156</v>
      </c>
      <c r="CE61" s="495">
        <f>+U61+Z61+AE61+AJ61+AO61+AT61+AY61+BD61+BI61+BN61+BS61+BX61</f>
        <v>72628.687000000005</v>
      </c>
      <c r="CF61" s="495">
        <f>+V61+AA61+AF61+AK61+AP61+AU61+AZ61+BE61+BJ61+BO61+BT61+BY61</f>
        <v>77246.883999999991</v>
      </c>
      <c r="CG61" s="435">
        <f>CE61/CF61</f>
        <v>0.94021510304545119</v>
      </c>
      <c r="CH61" s="435">
        <f>+CG61</f>
        <v>0.94021510304545119</v>
      </c>
      <c r="CI61" s="435">
        <f>+T61</f>
        <v>0.9</v>
      </c>
      <c r="CJ61" s="435">
        <f>+CH61/CI61</f>
        <v>1.0446834478282792</v>
      </c>
      <c r="CK61" s="388"/>
    </row>
    <row r="62" spans="1:89" s="389" customFormat="1" ht="208.5" customHeight="1" x14ac:dyDescent="0.25">
      <c r="B62" s="402" t="s">
        <v>3229</v>
      </c>
      <c r="C62" s="402" t="s">
        <v>56</v>
      </c>
      <c r="D62" s="372" t="s">
        <v>2485</v>
      </c>
      <c r="E62" s="370" t="s">
        <v>3230</v>
      </c>
      <c r="F62" s="371" t="s">
        <v>2486</v>
      </c>
      <c r="G62" s="372" t="s">
        <v>3231</v>
      </c>
      <c r="H62" s="372" t="s">
        <v>3232</v>
      </c>
      <c r="I62" s="418" t="s">
        <v>3233</v>
      </c>
      <c r="J62" s="370" t="s">
        <v>2329</v>
      </c>
      <c r="K62" s="372" t="s">
        <v>3234</v>
      </c>
      <c r="L62" s="372" t="s">
        <v>3235</v>
      </c>
      <c r="M62" s="372" t="s">
        <v>3236</v>
      </c>
      <c r="N62" s="369" t="s">
        <v>2248</v>
      </c>
      <c r="O62" s="372" t="s">
        <v>3237</v>
      </c>
      <c r="P62" s="370" t="s">
        <v>1777</v>
      </c>
      <c r="Q62" s="442" t="s">
        <v>30</v>
      </c>
      <c r="R62" s="373">
        <v>0.53</v>
      </c>
      <c r="S62" s="369" t="s">
        <v>2248</v>
      </c>
      <c r="T62" s="373">
        <v>0.6</v>
      </c>
      <c r="U62" s="393"/>
      <c r="V62" s="393"/>
      <c r="W62" s="394"/>
      <c r="X62" s="395" t="s">
        <v>3238</v>
      </c>
      <c r="Y62" s="460" t="s">
        <v>3239</v>
      </c>
      <c r="Z62" s="393"/>
      <c r="AA62" s="393"/>
      <c r="AB62" s="394"/>
      <c r="AC62" s="518" t="s">
        <v>3240</v>
      </c>
      <c r="AD62" s="460" t="s">
        <v>3239</v>
      </c>
      <c r="AE62" s="392">
        <v>230</v>
      </c>
      <c r="AF62" s="393">
        <v>385</v>
      </c>
      <c r="AG62" s="394">
        <f>+AE62/AF62</f>
        <v>0.59740259740259738</v>
      </c>
      <c r="AH62" s="518" t="s">
        <v>3241</v>
      </c>
      <c r="AI62" s="460" t="s">
        <v>3242</v>
      </c>
      <c r="AJ62" s="393"/>
      <c r="AK62" s="393"/>
      <c r="AL62" s="394"/>
      <c r="AM62" s="396" t="s">
        <v>3243</v>
      </c>
      <c r="AN62" s="460" t="s">
        <v>3244</v>
      </c>
      <c r="AO62" s="392"/>
      <c r="AP62" s="393"/>
      <c r="AQ62" s="394"/>
      <c r="AR62" s="396" t="s">
        <v>3245</v>
      </c>
      <c r="AS62" s="460" t="s">
        <v>3246</v>
      </c>
      <c r="AT62" s="393">
        <v>238</v>
      </c>
      <c r="AU62" s="393">
        <v>370</v>
      </c>
      <c r="AV62" s="394">
        <f>+AT62/AU62</f>
        <v>0.64324324324324322</v>
      </c>
      <c r="AW62" s="396" t="s">
        <v>3247</v>
      </c>
      <c r="AX62" s="460" t="s">
        <v>2650</v>
      </c>
      <c r="AY62" s="392"/>
      <c r="AZ62" s="393"/>
      <c r="BA62" s="394"/>
      <c r="BB62" s="396" t="s">
        <v>3248</v>
      </c>
      <c r="BC62" s="460" t="s">
        <v>2631</v>
      </c>
      <c r="BD62" s="393"/>
      <c r="BE62" s="393"/>
      <c r="BF62" s="394"/>
      <c r="BG62" s="396" t="s">
        <v>3249</v>
      </c>
      <c r="BH62" s="460" t="s">
        <v>3250</v>
      </c>
      <c r="BI62" s="392">
        <v>162</v>
      </c>
      <c r="BJ62" s="376">
        <v>267</v>
      </c>
      <c r="BK62" s="377">
        <f>+BI62/BJ62</f>
        <v>0.6067415730337079</v>
      </c>
      <c r="BL62" s="379" t="s">
        <v>3251</v>
      </c>
      <c r="BM62" s="396" t="s">
        <v>3252</v>
      </c>
      <c r="BN62" s="393"/>
      <c r="BO62" s="393"/>
      <c r="BP62" s="394"/>
      <c r="BQ62" s="396" t="s">
        <v>5155</v>
      </c>
      <c r="BR62" s="460" t="s">
        <v>4988</v>
      </c>
      <c r="BS62" s="392"/>
      <c r="BT62" s="393"/>
      <c r="BU62" s="394"/>
      <c r="BV62" s="396" t="s">
        <v>5154</v>
      </c>
      <c r="BW62" s="460" t="s">
        <v>5014</v>
      </c>
      <c r="BX62" s="393">
        <v>161</v>
      </c>
      <c r="BY62" s="393">
        <v>269</v>
      </c>
      <c r="BZ62" s="394">
        <f>BX62/BY62</f>
        <v>0.5985130111524164</v>
      </c>
      <c r="CA62" s="411" t="s">
        <v>5153</v>
      </c>
      <c r="CB62" s="411" t="s">
        <v>5152</v>
      </c>
      <c r="CC62" s="851" t="s">
        <v>5151</v>
      </c>
      <c r="CE62" s="388">
        <f>+U62+Z62+AE62+AJ62+AO62+AT62+AY62+BD62+BI62+BN62+BS62+BX62</f>
        <v>791</v>
      </c>
      <c r="CF62" s="388">
        <f>+V62+AA62+AF62+AK62+AP62+AU62+AZ62+BE62+BJ62+BO62+BT62+BY62</f>
        <v>1291</v>
      </c>
      <c r="CG62" s="435">
        <f>+CE62/CF62</f>
        <v>0.61270333075135552</v>
      </c>
      <c r="CH62" s="435">
        <f>+CG62</f>
        <v>0.61270333075135552</v>
      </c>
      <c r="CI62" s="435">
        <f>+T62</f>
        <v>0.6</v>
      </c>
      <c r="CJ62" s="435">
        <f>+CH62/CI62</f>
        <v>1.021172217918926</v>
      </c>
      <c r="CK62" s="388"/>
    </row>
    <row r="63" spans="1:89" s="389" customFormat="1" ht="208.5" customHeight="1" x14ac:dyDescent="0.25">
      <c r="B63" s="369" t="s">
        <v>221</v>
      </c>
      <c r="C63" s="369" t="s">
        <v>83</v>
      </c>
      <c r="D63" s="406" t="s">
        <v>2462</v>
      </c>
      <c r="E63" s="370" t="s">
        <v>3253</v>
      </c>
      <c r="F63" s="371" t="s">
        <v>3254</v>
      </c>
      <c r="G63" s="406" t="s">
        <v>3255</v>
      </c>
      <c r="H63" s="406" t="s">
        <v>3256</v>
      </c>
      <c r="I63" s="372" t="s">
        <v>3257</v>
      </c>
      <c r="J63" s="370" t="s">
        <v>2329</v>
      </c>
      <c r="K63" s="406" t="s">
        <v>3258</v>
      </c>
      <c r="L63" s="372" t="s">
        <v>3259</v>
      </c>
      <c r="M63" s="406" t="s">
        <v>3260</v>
      </c>
      <c r="N63" s="372" t="s">
        <v>2248</v>
      </c>
      <c r="O63" s="372" t="s">
        <v>3261</v>
      </c>
      <c r="P63" s="370" t="s">
        <v>1747</v>
      </c>
      <c r="Q63" s="402" t="s">
        <v>60</v>
      </c>
      <c r="R63" s="373" t="s">
        <v>3262</v>
      </c>
      <c r="S63" s="369" t="s">
        <v>2248</v>
      </c>
      <c r="T63" s="373">
        <v>0.4</v>
      </c>
      <c r="U63" s="519">
        <v>472</v>
      </c>
      <c r="V63" s="519">
        <v>2199</v>
      </c>
      <c r="W63" s="394">
        <f>U63/V63</f>
        <v>0.2146430195543429</v>
      </c>
      <c r="X63" s="378" t="s">
        <v>5150</v>
      </c>
      <c r="Y63" s="396" t="s">
        <v>3263</v>
      </c>
      <c r="Z63" s="519">
        <v>1766</v>
      </c>
      <c r="AA63" s="519">
        <v>6838</v>
      </c>
      <c r="AB63" s="394">
        <f>Z63/AA63</f>
        <v>0.25826264989763087</v>
      </c>
      <c r="AC63" s="378" t="s">
        <v>3264</v>
      </c>
      <c r="AD63" s="396" t="s">
        <v>3265</v>
      </c>
      <c r="AE63" s="519">
        <v>4557</v>
      </c>
      <c r="AF63" s="519">
        <v>13599</v>
      </c>
      <c r="AG63" s="394">
        <f>+AE63/AF63</f>
        <v>0.33509816898301348</v>
      </c>
      <c r="AH63" s="378" t="s">
        <v>3266</v>
      </c>
      <c r="AI63" s="396" t="s">
        <v>3267</v>
      </c>
      <c r="AJ63" s="519">
        <v>7439</v>
      </c>
      <c r="AK63" s="519">
        <v>20111</v>
      </c>
      <c r="AL63" s="394">
        <f>+AJ63/AK63</f>
        <v>0.3698970712545373</v>
      </c>
      <c r="AM63" s="378" t="s">
        <v>5149</v>
      </c>
      <c r="AN63" s="396" t="s">
        <v>3268</v>
      </c>
      <c r="AO63" s="519">
        <v>10315</v>
      </c>
      <c r="AP63" s="519">
        <v>26953</v>
      </c>
      <c r="AQ63" s="520">
        <v>0.38</v>
      </c>
      <c r="AR63" s="378" t="s">
        <v>3269</v>
      </c>
      <c r="AS63" s="396" t="s">
        <v>3270</v>
      </c>
      <c r="AT63" s="436">
        <v>12574</v>
      </c>
      <c r="AU63" s="436">
        <v>31855</v>
      </c>
      <c r="AV63" s="394">
        <f>+AT63/AU63</f>
        <v>0.39472610265264479</v>
      </c>
      <c r="AW63" s="378" t="s">
        <v>5148</v>
      </c>
      <c r="AX63" s="396" t="s">
        <v>5147</v>
      </c>
      <c r="AY63" s="519">
        <v>13201</v>
      </c>
      <c r="AZ63" s="519">
        <v>35443</v>
      </c>
      <c r="BA63" s="394">
        <f>+AY63/AZ63</f>
        <v>0.37245718477555512</v>
      </c>
      <c r="BB63" s="396" t="s">
        <v>3271</v>
      </c>
      <c r="BC63" s="396" t="s">
        <v>3272</v>
      </c>
      <c r="BD63" s="519">
        <v>15849</v>
      </c>
      <c r="BE63" s="519">
        <v>39792</v>
      </c>
      <c r="BF63" s="394">
        <f>+BD63/BE63</f>
        <v>0.39829613992762364</v>
      </c>
      <c r="BG63" s="396" t="s">
        <v>3273</v>
      </c>
      <c r="BH63" s="396" t="s">
        <v>3274</v>
      </c>
      <c r="BI63" s="392">
        <v>17402</v>
      </c>
      <c r="BJ63" s="392">
        <v>43660</v>
      </c>
      <c r="BK63" s="394">
        <f>BI63/BJ63</f>
        <v>0.39857993586807144</v>
      </c>
      <c r="BL63" s="396" t="s">
        <v>3275</v>
      </c>
      <c r="BM63" s="396" t="s">
        <v>3276</v>
      </c>
      <c r="BN63" s="393">
        <v>19113</v>
      </c>
      <c r="BO63" s="393">
        <v>46730</v>
      </c>
      <c r="BP63" s="394">
        <f>BN63/BO63</f>
        <v>0.40900920179756045</v>
      </c>
      <c r="BQ63" s="396" t="s">
        <v>5146</v>
      </c>
      <c r="BR63" s="396" t="s">
        <v>5145</v>
      </c>
      <c r="BS63" s="393">
        <v>19113</v>
      </c>
      <c r="BT63" s="393">
        <v>46730</v>
      </c>
      <c r="BU63" s="394">
        <f>BS63/BT63</f>
        <v>0.40900920179756045</v>
      </c>
      <c r="BV63" s="396" t="s">
        <v>5144</v>
      </c>
      <c r="BW63" s="396" t="s">
        <v>5143</v>
      </c>
      <c r="BX63" s="393">
        <v>19973</v>
      </c>
      <c r="BY63" s="393">
        <v>51326</v>
      </c>
      <c r="BZ63" s="394">
        <f>BX63/BY63</f>
        <v>0.38914000701398899</v>
      </c>
      <c r="CA63" s="396" t="s">
        <v>5142</v>
      </c>
      <c r="CB63" s="396" t="s">
        <v>5141</v>
      </c>
      <c r="CC63" s="851" t="s">
        <v>5140</v>
      </c>
      <c r="CE63" s="521">
        <f>BX63</f>
        <v>19973</v>
      </c>
      <c r="CF63" s="521">
        <f>BY63</f>
        <v>51326</v>
      </c>
      <c r="CG63" s="435">
        <f>+CE63/CF63</f>
        <v>0.38914000701398899</v>
      </c>
      <c r="CH63" s="435">
        <f>+CG63</f>
        <v>0.38914000701398899</v>
      </c>
      <c r="CI63" s="435">
        <f>+T63</f>
        <v>0.4</v>
      </c>
      <c r="CJ63" s="435">
        <f>+CH63/CI63</f>
        <v>0.97285001753497247</v>
      </c>
      <c r="CK63" s="388"/>
    </row>
    <row r="64" spans="1:89" s="389" customFormat="1" ht="171" customHeight="1" x14ac:dyDescent="0.25">
      <c r="B64" s="369" t="s">
        <v>221</v>
      </c>
      <c r="C64" s="369" t="s">
        <v>95</v>
      </c>
      <c r="D64" s="372" t="s">
        <v>35</v>
      </c>
      <c r="E64" s="370" t="s">
        <v>3277</v>
      </c>
      <c r="F64" s="371" t="s">
        <v>2552</v>
      </c>
      <c r="G64" s="372" t="s">
        <v>3278</v>
      </c>
      <c r="H64" s="372" t="s">
        <v>3279</v>
      </c>
      <c r="I64" s="372" t="s">
        <v>3280</v>
      </c>
      <c r="J64" s="370" t="s">
        <v>2329</v>
      </c>
      <c r="K64" s="372" t="s">
        <v>3281</v>
      </c>
      <c r="L64" s="372" t="s">
        <v>3282</v>
      </c>
      <c r="M64" s="372" t="s">
        <v>3283</v>
      </c>
      <c r="N64" s="369" t="s">
        <v>2955</v>
      </c>
      <c r="O64" s="372" t="s">
        <v>3284</v>
      </c>
      <c r="P64" s="402" t="s">
        <v>1777</v>
      </c>
      <c r="Q64" s="402" t="s">
        <v>60</v>
      </c>
      <c r="R64" s="373">
        <v>1</v>
      </c>
      <c r="S64" s="369" t="s">
        <v>2248</v>
      </c>
      <c r="T64" s="373">
        <v>1</v>
      </c>
      <c r="U64" s="393"/>
      <c r="V64" s="393"/>
      <c r="W64" s="394"/>
      <c r="X64" s="522" t="s">
        <v>3285</v>
      </c>
      <c r="Y64" s="411" t="s">
        <v>3286</v>
      </c>
      <c r="Z64" s="393"/>
      <c r="AA64" s="393"/>
      <c r="AB64" s="394"/>
      <c r="AC64" s="522" t="s">
        <v>3287</v>
      </c>
      <c r="AD64" s="411" t="s">
        <v>3286</v>
      </c>
      <c r="AE64" s="392"/>
      <c r="AF64" s="393"/>
      <c r="AG64" s="394"/>
      <c r="AH64" s="853" t="s">
        <v>3288</v>
      </c>
      <c r="AI64" s="411" t="s">
        <v>3289</v>
      </c>
      <c r="AJ64" s="393"/>
      <c r="AK64" s="393"/>
      <c r="AL64" s="394"/>
      <c r="AM64" s="854" t="s">
        <v>3290</v>
      </c>
      <c r="AN64" s="446" t="s">
        <v>3291</v>
      </c>
      <c r="AO64" s="392"/>
      <c r="AP64" s="393"/>
      <c r="AQ64" s="394"/>
      <c r="AR64" s="853" t="s">
        <v>3292</v>
      </c>
      <c r="AS64" s="410" t="s">
        <v>3293</v>
      </c>
      <c r="AT64" s="393">
        <v>6830</v>
      </c>
      <c r="AU64" s="393">
        <v>6830</v>
      </c>
      <c r="AV64" s="394">
        <f>+AT64/AU64</f>
        <v>1</v>
      </c>
      <c r="AW64" s="853" t="s">
        <v>3294</v>
      </c>
      <c r="AX64" s="506" t="s">
        <v>3295</v>
      </c>
      <c r="AY64" s="392"/>
      <c r="AZ64" s="393"/>
      <c r="BA64" s="394"/>
      <c r="BB64" s="410" t="s">
        <v>3296</v>
      </c>
      <c r="BC64" s="410" t="s">
        <v>3297</v>
      </c>
      <c r="BD64" s="393"/>
      <c r="BE64" s="393"/>
      <c r="BF64" s="394"/>
      <c r="BG64" s="411" t="s">
        <v>3298</v>
      </c>
      <c r="BH64" s="410" t="s">
        <v>3299</v>
      </c>
      <c r="BI64" s="393">
        <v>1865</v>
      </c>
      <c r="BJ64" s="393">
        <v>1865</v>
      </c>
      <c r="BK64" s="394">
        <f>+BI64/BJ64</f>
        <v>1</v>
      </c>
      <c r="BL64" s="410" t="s">
        <v>3300</v>
      </c>
      <c r="BM64" s="410" t="s">
        <v>3301</v>
      </c>
      <c r="BN64" s="393"/>
      <c r="BO64" s="393"/>
      <c r="BP64" s="394"/>
      <c r="BQ64" s="410" t="s">
        <v>5139</v>
      </c>
      <c r="BR64" s="410" t="s">
        <v>5125</v>
      </c>
      <c r="BS64" s="393"/>
      <c r="BT64" s="393"/>
      <c r="BU64" s="394"/>
      <c r="BV64" s="410" t="s">
        <v>5138</v>
      </c>
      <c r="BW64" s="410" t="s">
        <v>5123</v>
      </c>
      <c r="BX64" s="393">
        <v>872</v>
      </c>
      <c r="BY64" s="393">
        <v>872</v>
      </c>
      <c r="BZ64" s="394">
        <f>+BX64/BY64</f>
        <v>1</v>
      </c>
      <c r="CA64" s="411" t="s">
        <v>5137</v>
      </c>
      <c r="CB64" s="862" t="s">
        <v>5128</v>
      </c>
      <c r="CC64" s="851" t="s">
        <v>5136</v>
      </c>
      <c r="CE64" s="495">
        <f>+U64+Z64+AE64+AJ64+AO64+AT64+AY64+BD64+BI64+BN64+BS64+BX64</f>
        <v>9567</v>
      </c>
      <c r="CF64" s="495">
        <f>+V64+AA64+AF64+AK64+AP64+AU64+AZ64+BE64+BJ64+BO64+BT64+BY64</f>
        <v>9567</v>
      </c>
      <c r="CG64" s="435">
        <f>+CE64/CF64</f>
        <v>1</v>
      </c>
      <c r="CH64" s="435">
        <f>+CG64</f>
        <v>1</v>
      </c>
      <c r="CI64" s="435">
        <f>+T64</f>
        <v>1</v>
      </c>
      <c r="CJ64" s="435">
        <f>+CH64/CI64</f>
        <v>1</v>
      </c>
      <c r="CK64" s="388"/>
    </row>
    <row r="65" spans="1:89" s="389" customFormat="1" ht="288" customHeight="1" x14ac:dyDescent="0.25">
      <c r="B65" s="369" t="s">
        <v>221</v>
      </c>
      <c r="C65" s="369" t="s">
        <v>95</v>
      </c>
      <c r="D65" s="406" t="s">
        <v>35</v>
      </c>
      <c r="E65" s="403" t="s">
        <v>3302</v>
      </c>
      <c r="F65" s="371" t="s">
        <v>2552</v>
      </c>
      <c r="G65" s="406" t="s">
        <v>3303</v>
      </c>
      <c r="H65" s="406" t="s">
        <v>3304</v>
      </c>
      <c r="I65" s="406" t="s">
        <v>3305</v>
      </c>
      <c r="J65" s="370" t="s">
        <v>2329</v>
      </c>
      <c r="K65" s="406" t="s">
        <v>3306</v>
      </c>
      <c r="L65" s="372" t="s">
        <v>3307</v>
      </c>
      <c r="M65" s="406" t="s">
        <v>3308</v>
      </c>
      <c r="N65" s="372" t="s">
        <v>2955</v>
      </c>
      <c r="O65" s="372" t="s">
        <v>3309</v>
      </c>
      <c r="P65" s="402" t="s">
        <v>1777</v>
      </c>
      <c r="Q65" s="402" t="s">
        <v>60</v>
      </c>
      <c r="R65" s="373">
        <v>0.11</v>
      </c>
      <c r="S65" s="369" t="s">
        <v>2248</v>
      </c>
      <c r="T65" s="373">
        <v>1</v>
      </c>
      <c r="U65" s="393"/>
      <c r="V65" s="393"/>
      <c r="W65" s="394"/>
      <c r="X65" s="522" t="s">
        <v>3310</v>
      </c>
      <c r="Y65" s="411" t="s">
        <v>3286</v>
      </c>
      <c r="Z65" s="393"/>
      <c r="AA65" s="393"/>
      <c r="AB65" s="394"/>
      <c r="AC65" s="522" t="s">
        <v>3311</v>
      </c>
      <c r="AD65" s="411" t="s">
        <v>3286</v>
      </c>
      <c r="AE65" s="392"/>
      <c r="AF65" s="393"/>
      <c r="AG65" s="394"/>
      <c r="AH65" s="853" t="s">
        <v>3312</v>
      </c>
      <c r="AI65" s="411" t="s">
        <v>3289</v>
      </c>
      <c r="AJ65" s="393"/>
      <c r="AK65" s="393"/>
      <c r="AL65" s="394"/>
      <c r="AM65" s="854" t="s">
        <v>3313</v>
      </c>
      <c r="AN65" s="446" t="s">
        <v>3291</v>
      </c>
      <c r="AO65" s="392"/>
      <c r="AP65" s="393"/>
      <c r="AQ65" s="394"/>
      <c r="AR65" s="853" t="s">
        <v>3314</v>
      </c>
      <c r="AS65" s="410" t="s">
        <v>3293</v>
      </c>
      <c r="AT65" s="393">
        <v>44804</v>
      </c>
      <c r="AU65" s="393">
        <v>44804</v>
      </c>
      <c r="AV65" s="394">
        <f>+AT65/AU65</f>
        <v>1</v>
      </c>
      <c r="AW65" s="853" t="s">
        <v>3315</v>
      </c>
      <c r="AX65" s="506" t="s">
        <v>3295</v>
      </c>
      <c r="AY65" s="392"/>
      <c r="AZ65" s="393"/>
      <c r="BA65" s="394"/>
      <c r="BB65" s="410" t="s">
        <v>3316</v>
      </c>
      <c r="BC65" s="410" t="s">
        <v>3297</v>
      </c>
      <c r="BD65" s="393"/>
      <c r="BE65" s="393"/>
      <c r="BF65" s="394"/>
      <c r="BG65" s="411" t="s">
        <v>3317</v>
      </c>
      <c r="BH65" s="410" t="s">
        <v>3299</v>
      </c>
      <c r="BI65" s="393">
        <v>6783</v>
      </c>
      <c r="BJ65" s="393">
        <v>6783</v>
      </c>
      <c r="BK65" s="394">
        <f>+BI65/BJ65</f>
        <v>1</v>
      </c>
      <c r="BL65" s="410" t="s">
        <v>3318</v>
      </c>
      <c r="BM65" s="410" t="s">
        <v>3301</v>
      </c>
      <c r="BN65" s="393"/>
      <c r="BO65" s="393"/>
      <c r="BP65" s="394"/>
      <c r="BQ65" s="410" t="s">
        <v>5135</v>
      </c>
      <c r="BR65" s="410" t="s">
        <v>5125</v>
      </c>
      <c r="BS65" s="393"/>
      <c r="BT65" s="393"/>
      <c r="BU65" s="394"/>
      <c r="BV65" s="410" t="s">
        <v>5134</v>
      </c>
      <c r="BW65" s="410" t="s">
        <v>5123</v>
      </c>
      <c r="BX65" s="393">
        <v>28939</v>
      </c>
      <c r="BY65" s="393">
        <v>28939</v>
      </c>
      <c r="BZ65" s="394">
        <f>+BX65/BY65</f>
        <v>1</v>
      </c>
      <c r="CA65" s="411" t="s">
        <v>5133</v>
      </c>
      <c r="CB65" s="410" t="s">
        <v>5128</v>
      </c>
      <c r="CC65" s="411" t="s">
        <v>5132</v>
      </c>
      <c r="CE65" s="495">
        <f>+U65+Z65+AE65+AJ65+AO65+AT65+AY65+BD65+BI65+BN65+BS65+BX65</f>
        <v>80526</v>
      </c>
      <c r="CF65" s="495">
        <f>+V65+AA65+AF65+AK65+AP65+AU65+AZ65+BE65+BJ65+BO65+BT65+BY65</f>
        <v>80526</v>
      </c>
      <c r="CG65" s="435">
        <f>+CE65/CF65</f>
        <v>1</v>
      </c>
      <c r="CH65" s="435">
        <f>+CG65</f>
        <v>1</v>
      </c>
      <c r="CI65" s="435">
        <f>+T65</f>
        <v>1</v>
      </c>
      <c r="CJ65" s="435">
        <f>+CH65/CI65</f>
        <v>1</v>
      </c>
      <c r="CK65" s="388"/>
    </row>
    <row r="66" spans="1:89" s="389" customFormat="1" ht="255" customHeight="1" x14ac:dyDescent="0.25">
      <c r="B66" s="369" t="s">
        <v>221</v>
      </c>
      <c r="C66" s="369" t="s">
        <v>95</v>
      </c>
      <c r="D66" s="406" t="s">
        <v>35</v>
      </c>
      <c r="E66" s="403" t="s">
        <v>3319</v>
      </c>
      <c r="F66" s="371" t="s">
        <v>2552</v>
      </c>
      <c r="G66" s="406" t="s">
        <v>3320</v>
      </c>
      <c r="H66" s="406" t="s">
        <v>3321</v>
      </c>
      <c r="I66" s="406" t="s">
        <v>3322</v>
      </c>
      <c r="J66" s="370" t="s">
        <v>2329</v>
      </c>
      <c r="K66" s="372" t="s">
        <v>3323</v>
      </c>
      <c r="L66" s="372" t="s">
        <v>3282</v>
      </c>
      <c r="M66" s="372" t="s">
        <v>3324</v>
      </c>
      <c r="N66" s="372" t="s">
        <v>2955</v>
      </c>
      <c r="O66" s="372" t="s">
        <v>3325</v>
      </c>
      <c r="P66" s="402" t="s">
        <v>1777</v>
      </c>
      <c r="Q66" s="402" t="s">
        <v>60</v>
      </c>
      <c r="R66" s="373">
        <v>0.56999999999999995</v>
      </c>
      <c r="S66" s="369" t="s">
        <v>2248</v>
      </c>
      <c r="T66" s="373">
        <v>0.56999999999999995</v>
      </c>
      <c r="U66" s="393"/>
      <c r="V66" s="393"/>
      <c r="W66" s="394"/>
      <c r="X66" s="523" t="s">
        <v>3326</v>
      </c>
      <c r="Y66" s="411" t="s">
        <v>3286</v>
      </c>
      <c r="Z66" s="393"/>
      <c r="AA66" s="393"/>
      <c r="AB66" s="394"/>
      <c r="AC66" s="523" t="s">
        <v>3327</v>
      </c>
      <c r="AD66" s="411" t="s">
        <v>3286</v>
      </c>
      <c r="AE66" s="392"/>
      <c r="AF66" s="393"/>
      <c r="AG66" s="394"/>
      <c r="AH66" s="853" t="s">
        <v>3328</v>
      </c>
      <c r="AI66" s="411" t="s">
        <v>3289</v>
      </c>
      <c r="AJ66" s="393"/>
      <c r="AK66" s="393"/>
      <c r="AL66" s="394"/>
      <c r="AM66" s="854" t="s">
        <v>3329</v>
      </c>
      <c r="AN66" s="446" t="s">
        <v>3291</v>
      </c>
      <c r="AO66" s="392"/>
      <c r="AP66" s="393"/>
      <c r="AQ66" s="394"/>
      <c r="AR66" s="853" t="s">
        <v>3330</v>
      </c>
      <c r="AS66" s="410" t="s">
        <v>3293</v>
      </c>
      <c r="AT66" s="393">
        <v>20639</v>
      </c>
      <c r="AU66" s="393">
        <v>34725</v>
      </c>
      <c r="AV66" s="394">
        <f>+AT66/AU66</f>
        <v>0.59435565154787617</v>
      </c>
      <c r="AW66" s="853" t="s">
        <v>3331</v>
      </c>
      <c r="AX66" s="506" t="s">
        <v>3332</v>
      </c>
      <c r="AY66" s="392"/>
      <c r="AZ66" s="393"/>
      <c r="BA66" s="394"/>
      <c r="BB66" s="410" t="s">
        <v>3333</v>
      </c>
      <c r="BC66" s="410" t="s">
        <v>3334</v>
      </c>
      <c r="BD66" s="393"/>
      <c r="BE66" s="393"/>
      <c r="BF66" s="394"/>
      <c r="BG66" s="411" t="s">
        <v>3335</v>
      </c>
      <c r="BH66" s="410" t="s">
        <v>3336</v>
      </c>
      <c r="BI66" s="393">
        <v>7205</v>
      </c>
      <c r="BJ66" s="393">
        <v>13050</v>
      </c>
      <c r="BK66" s="394">
        <f>+BI66/BJ66</f>
        <v>0.55210727969348661</v>
      </c>
      <c r="BL66" s="410" t="s">
        <v>3337</v>
      </c>
      <c r="BM66" s="410" t="s">
        <v>3301</v>
      </c>
      <c r="BN66" s="393"/>
      <c r="BO66" s="393"/>
      <c r="BP66" s="394"/>
      <c r="BQ66" s="411" t="s">
        <v>5131</v>
      </c>
      <c r="BR66" s="410" t="s">
        <v>5125</v>
      </c>
      <c r="BS66" s="393"/>
      <c r="BT66" s="393"/>
      <c r="BU66" s="394"/>
      <c r="BV66" s="411" t="s">
        <v>5130</v>
      </c>
      <c r="BW66" s="410" t="s">
        <v>5123</v>
      </c>
      <c r="BX66" s="393">
        <v>11129</v>
      </c>
      <c r="BY66" s="393">
        <v>19374</v>
      </c>
      <c r="BZ66" s="394">
        <f>+BX66/BY66</f>
        <v>0.57442964798183127</v>
      </c>
      <c r="CA66" s="411" t="s">
        <v>5129</v>
      </c>
      <c r="CB66" s="410" t="s">
        <v>5128</v>
      </c>
      <c r="CC66" s="411" t="s">
        <v>5127</v>
      </c>
      <c r="CE66" s="495">
        <f>+U66+Z66+AE66+AJ66+AO66+AT66+AY66+BD66+BI66+BN66+BS66+BX66</f>
        <v>38973</v>
      </c>
      <c r="CF66" s="495">
        <f>+V66+AA66+AF66+AK66+AP66+AU66+AZ66+BE66+BJ66+BO66+BT66+BY66</f>
        <v>67149</v>
      </c>
      <c r="CG66" s="435">
        <f>+CE66/CF66</f>
        <v>0.58039583612563106</v>
      </c>
      <c r="CH66" s="435">
        <f>+CG66</f>
        <v>0.58039583612563106</v>
      </c>
      <c r="CI66" s="435">
        <f>+T66</f>
        <v>0.56999999999999995</v>
      </c>
      <c r="CJ66" s="435">
        <f>+CH66/CI66</f>
        <v>1.0182383089923353</v>
      </c>
      <c r="CK66" s="388"/>
    </row>
    <row r="67" spans="1:89" s="389" customFormat="1" ht="266.25" customHeight="1" x14ac:dyDescent="0.25">
      <c r="B67" s="369" t="s">
        <v>221</v>
      </c>
      <c r="C67" s="369" t="s">
        <v>95</v>
      </c>
      <c r="D67" s="406" t="s">
        <v>35</v>
      </c>
      <c r="E67" s="403" t="s">
        <v>3338</v>
      </c>
      <c r="F67" s="371" t="s">
        <v>2552</v>
      </c>
      <c r="G67" s="406" t="s">
        <v>3339</v>
      </c>
      <c r="H67" s="406" t="s">
        <v>3340</v>
      </c>
      <c r="I67" s="406" t="s">
        <v>3341</v>
      </c>
      <c r="J67" s="370" t="s">
        <v>2244</v>
      </c>
      <c r="K67" s="372" t="s">
        <v>3342</v>
      </c>
      <c r="L67" s="372" t="s">
        <v>3343</v>
      </c>
      <c r="M67" s="372" t="s">
        <v>3344</v>
      </c>
      <c r="N67" s="372" t="s">
        <v>2248</v>
      </c>
      <c r="O67" s="372" t="s">
        <v>3345</v>
      </c>
      <c r="P67" s="369" t="s">
        <v>2366</v>
      </c>
      <c r="Q67" s="402" t="s">
        <v>30</v>
      </c>
      <c r="R67" s="377">
        <v>0.4</v>
      </c>
      <c r="S67" s="369" t="s">
        <v>2248</v>
      </c>
      <c r="T67" s="373">
        <v>0.4</v>
      </c>
      <c r="U67" s="393"/>
      <c r="V67" s="393"/>
      <c r="W67" s="394"/>
      <c r="X67" s="522" t="s">
        <v>3346</v>
      </c>
      <c r="Y67" s="411" t="s">
        <v>3286</v>
      </c>
      <c r="Z67" s="393"/>
      <c r="AA67" s="393"/>
      <c r="AB67" s="394"/>
      <c r="AC67" s="522" t="s">
        <v>3347</v>
      </c>
      <c r="AD67" s="411" t="s">
        <v>3286</v>
      </c>
      <c r="AE67" s="392"/>
      <c r="AF67" s="393"/>
      <c r="AG67" s="394"/>
      <c r="AH67" s="853" t="s">
        <v>3348</v>
      </c>
      <c r="AI67" s="411" t="s">
        <v>3289</v>
      </c>
      <c r="AJ67" s="393"/>
      <c r="AK67" s="393"/>
      <c r="AL67" s="394"/>
      <c r="AM67" s="854" t="s">
        <v>3349</v>
      </c>
      <c r="AN67" s="446" t="s">
        <v>3291</v>
      </c>
      <c r="AO67" s="392"/>
      <c r="AP67" s="393"/>
      <c r="AQ67" s="394"/>
      <c r="AR67" s="853" t="s">
        <v>3350</v>
      </c>
      <c r="AS67" s="410" t="s">
        <v>3293</v>
      </c>
      <c r="AT67" s="393"/>
      <c r="AU67" s="393"/>
      <c r="AV67" s="394"/>
      <c r="AW67" s="853" t="s">
        <v>3351</v>
      </c>
      <c r="AX67" s="506" t="s">
        <v>3352</v>
      </c>
      <c r="AY67" s="392"/>
      <c r="AZ67" s="393"/>
      <c r="BA67" s="394"/>
      <c r="BB67" s="410" t="s">
        <v>3353</v>
      </c>
      <c r="BC67" s="410" t="s">
        <v>3297</v>
      </c>
      <c r="BD67" s="393"/>
      <c r="BE67" s="393"/>
      <c r="BF67" s="394"/>
      <c r="BG67" s="411" t="s">
        <v>3354</v>
      </c>
      <c r="BH67" s="410" t="s">
        <v>3299</v>
      </c>
      <c r="BI67" s="393"/>
      <c r="BJ67" s="393"/>
      <c r="BK67" s="394"/>
      <c r="BL67" s="410" t="s">
        <v>3355</v>
      </c>
      <c r="BM67" s="410" t="s">
        <v>3356</v>
      </c>
      <c r="BN67" s="393"/>
      <c r="BO67" s="393"/>
      <c r="BP67" s="394"/>
      <c r="BQ67" s="411" t="s">
        <v>5126</v>
      </c>
      <c r="BR67" s="410" t="s">
        <v>5125</v>
      </c>
      <c r="BS67" s="393"/>
      <c r="BT67" s="393"/>
      <c r="BU67" s="394"/>
      <c r="BV67" s="411" t="s">
        <v>5124</v>
      </c>
      <c r="BW67" s="410" t="s">
        <v>5123</v>
      </c>
      <c r="BX67" s="393">
        <v>200</v>
      </c>
      <c r="BY67" s="393">
        <v>633</v>
      </c>
      <c r="BZ67" s="394">
        <f>+BX67/BY67</f>
        <v>0.31595576619273302</v>
      </c>
      <c r="CA67" s="411" t="s">
        <v>5122</v>
      </c>
      <c r="CB67" s="410" t="s">
        <v>5121</v>
      </c>
      <c r="CC67" s="411" t="s">
        <v>5120</v>
      </c>
      <c r="CE67" s="495">
        <f>BX67</f>
        <v>200</v>
      </c>
      <c r="CF67" s="495">
        <f>BY67</f>
        <v>633</v>
      </c>
      <c r="CG67" s="435">
        <f>CE67/CF67</f>
        <v>0.31595576619273302</v>
      </c>
      <c r="CH67" s="435">
        <f>CG67</f>
        <v>0.31595576619273302</v>
      </c>
      <c r="CI67" s="435">
        <f>T67</f>
        <v>0.4</v>
      </c>
      <c r="CJ67" s="435">
        <f>CH67/CI67</f>
        <v>0.78988941548183256</v>
      </c>
      <c r="CK67" s="861"/>
    </row>
    <row r="68" spans="1:89" s="401" customFormat="1" ht="322.5" customHeight="1" x14ac:dyDescent="0.25">
      <c r="B68" s="402" t="s">
        <v>221</v>
      </c>
      <c r="C68" s="402" t="s">
        <v>117</v>
      </c>
      <c r="D68" s="402" t="s">
        <v>2462</v>
      </c>
      <c r="E68" s="403" t="s">
        <v>3510</v>
      </c>
      <c r="F68" s="404" t="s">
        <v>3358</v>
      </c>
      <c r="G68" s="402" t="s">
        <v>3511</v>
      </c>
      <c r="H68" s="402" t="s">
        <v>3512</v>
      </c>
      <c r="I68" s="402" t="s">
        <v>3513</v>
      </c>
      <c r="J68" s="403" t="s">
        <v>2329</v>
      </c>
      <c r="K68" s="402" t="s">
        <v>3514</v>
      </c>
      <c r="L68" s="402" t="s">
        <v>3515</v>
      </c>
      <c r="M68" s="402" t="s">
        <v>3516</v>
      </c>
      <c r="N68" s="402" t="s">
        <v>2248</v>
      </c>
      <c r="O68" s="402" t="s">
        <v>3517</v>
      </c>
      <c r="P68" s="403" t="s">
        <v>1747</v>
      </c>
      <c r="Q68" s="402" t="s">
        <v>30</v>
      </c>
      <c r="R68" s="377">
        <v>0.82</v>
      </c>
      <c r="S68" s="402" t="s">
        <v>2248</v>
      </c>
      <c r="T68" s="377">
        <v>0.85</v>
      </c>
      <c r="U68" s="393">
        <v>29953</v>
      </c>
      <c r="V68" s="393">
        <v>58623</v>
      </c>
      <c r="W68" s="394">
        <f>+U68/V68</f>
        <v>0.51094280401890046</v>
      </c>
      <c r="X68" s="395" t="s">
        <v>3518</v>
      </c>
      <c r="Y68" s="507" t="s">
        <v>3367</v>
      </c>
      <c r="Z68" s="393">
        <v>44054</v>
      </c>
      <c r="AA68" s="393">
        <v>60238</v>
      </c>
      <c r="AB68" s="394">
        <f>+Z68/AA68</f>
        <v>0.73133238155317237</v>
      </c>
      <c r="AC68" s="396" t="s">
        <v>3519</v>
      </c>
      <c r="AD68" s="410" t="s">
        <v>3367</v>
      </c>
      <c r="AE68" s="393">
        <v>53682</v>
      </c>
      <c r="AF68" s="393">
        <v>63122</v>
      </c>
      <c r="AG68" s="394">
        <f>+AE68/AF68</f>
        <v>0.85044833813884224</v>
      </c>
      <c r="AH68" s="395" t="s">
        <v>3520</v>
      </c>
      <c r="AI68" s="410" t="s">
        <v>3370</v>
      </c>
      <c r="AJ68" s="393">
        <v>49794</v>
      </c>
      <c r="AK68" s="393">
        <v>63098</v>
      </c>
      <c r="AL68" s="394">
        <f>+AJ68/AK68</f>
        <v>0.78915338045579897</v>
      </c>
      <c r="AM68" s="395" t="s">
        <v>3521</v>
      </c>
      <c r="AN68" s="411" t="s">
        <v>2501</v>
      </c>
      <c r="AO68" s="392">
        <v>51014</v>
      </c>
      <c r="AP68" s="393">
        <v>63517</v>
      </c>
      <c r="AQ68" s="394">
        <f>+AO68/AP68</f>
        <v>0.80315506084985122</v>
      </c>
      <c r="AR68" s="395" t="s">
        <v>3522</v>
      </c>
      <c r="AS68" s="410" t="s">
        <v>2721</v>
      </c>
      <c r="AT68" s="393">
        <v>50986</v>
      </c>
      <c r="AU68" s="393">
        <v>63059</v>
      </c>
      <c r="AV68" s="394">
        <f>+AT68/AU68</f>
        <v>0.80854437907356602</v>
      </c>
      <c r="AW68" s="395" t="s">
        <v>3523</v>
      </c>
      <c r="AX68" s="411" t="s">
        <v>3374</v>
      </c>
      <c r="AY68" s="392">
        <v>50205</v>
      </c>
      <c r="AZ68" s="393">
        <v>62420</v>
      </c>
      <c r="BA68" s="394">
        <f>+AY68/AZ68</f>
        <v>0.80430951618071134</v>
      </c>
      <c r="BB68" s="395" t="s">
        <v>3524</v>
      </c>
      <c r="BC68" s="410" t="s">
        <v>3139</v>
      </c>
      <c r="BD68" s="393">
        <v>47668</v>
      </c>
      <c r="BE68" s="393">
        <v>56133</v>
      </c>
      <c r="BF68" s="394">
        <f>+BD68/BE68</f>
        <v>0.84919744179003442</v>
      </c>
      <c r="BG68" s="395" t="s">
        <v>3525</v>
      </c>
      <c r="BH68" s="411" t="s">
        <v>3526</v>
      </c>
      <c r="BI68" s="392">
        <v>49322</v>
      </c>
      <c r="BJ68" s="393">
        <v>57841</v>
      </c>
      <c r="BK68" s="394">
        <f>+BI68/BJ68</f>
        <v>0.8527169308967687</v>
      </c>
      <c r="BL68" s="395" t="s">
        <v>3527</v>
      </c>
      <c r="BM68" s="410" t="s">
        <v>3378</v>
      </c>
      <c r="BN68" s="393">
        <v>48838</v>
      </c>
      <c r="BO68" s="393">
        <v>58081</v>
      </c>
      <c r="BP68" s="394">
        <f>+BN68/BO68</f>
        <v>0.84086017802723778</v>
      </c>
      <c r="BQ68" s="395" t="s">
        <v>5119</v>
      </c>
      <c r="BR68" s="411" t="s">
        <v>5076</v>
      </c>
      <c r="BS68" s="393">
        <v>48838</v>
      </c>
      <c r="BT68" s="393">
        <v>58081</v>
      </c>
      <c r="BU68" s="394">
        <f>+BS68/BT68</f>
        <v>0.84086017802723778</v>
      </c>
      <c r="BV68" s="396" t="s">
        <v>5118</v>
      </c>
      <c r="BW68" s="411" t="s">
        <v>5074</v>
      </c>
      <c r="BX68" s="393">
        <v>46614</v>
      </c>
      <c r="BY68" s="393">
        <v>58415</v>
      </c>
      <c r="BZ68" s="394">
        <f>+BX68/BY68</f>
        <v>0.79797997089788586</v>
      </c>
      <c r="CA68" s="396" t="s">
        <v>5117</v>
      </c>
      <c r="CB68" s="411" t="s">
        <v>5072</v>
      </c>
      <c r="CC68" s="396" t="s">
        <v>5116</v>
      </c>
      <c r="CE68" s="524">
        <f>(U68+Z68+AE68+AJ68+AO68+AT68+AY68+BD68+BI68+BN68+BS68+BX68)/12</f>
        <v>47580.666666666664</v>
      </c>
      <c r="CF68" s="524">
        <f>(V68+AA68+AF68+AK68+AP68+AU68+AZ68+BE68+BJ68+BO68+BT68+BY68)/12</f>
        <v>60219</v>
      </c>
      <c r="CG68" s="416">
        <f>+CE68/CF68</f>
        <v>0.79012714702447173</v>
      </c>
      <c r="CH68" s="416">
        <f>+CG68</f>
        <v>0.79012714702447173</v>
      </c>
      <c r="CI68" s="416">
        <f>+T68</f>
        <v>0.85</v>
      </c>
      <c r="CJ68" s="416">
        <f>+CH68/CI68</f>
        <v>0.92956134944055502</v>
      </c>
      <c r="CK68" s="415"/>
    </row>
    <row r="69" spans="1:89" s="401" customFormat="1" ht="192" customHeight="1" x14ac:dyDescent="0.25">
      <c r="B69" s="402" t="s">
        <v>221</v>
      </c>
      <c r="C69" s="402" t="s">
        <v>117</v>
      </c>
      <c r="D69" s="402" t="s">
        <v>2462</v>
      </c>
      <c r="E69" s="403" t="s">
        <v>3357</v>
      </c>
      <c r="F69" s="404" t="s">
        <v>3358</v>
      </c>
      <c r="G69" s="402" t="s">
        <v>3359</v>
      </c>
      <c r="H69" s="402" t="s">
        <v>3360</v>
      </c>
      <c r="I69" s="402" t="s">
        <v>3361</v>
      </c>
      <c r="J69" s="403" t="s">
        <v>2244</v>
      </c>
      <c r="K69" s="402" t="s">
        <v>3362</v>
      </c>
      <c r="L69" s="402" t="s">
        <v>3363</v>
      </c>
      <c r="M69" s="402" t="s">
        <v>3364</v>
      </c>
      <c r="N69" s="402" t="s">
        <v>2248</v>
      </c>
      <c r="O69" s="402" t="s">
        <v>3365</v>
      </c>
      <c r="P69" s="403" t="s">
        <v>1777</v>
      </c>
      <c r="Q69" s="402" t="s">
        <v>60</v>
      </c>
      <c r="R69" s="377">
        <v>0.85</v>
      </c>
      <c r="S69" s="402" t="s">
        <v>2248</v>
      </c>
      <c r="T69" s="377">
        <v>0.91</v>
      </c>
      <c r="U69" s="393"/>
      <c r="V69" s="393"/>
      <c r="W69" s="394"/>
      <c r="X69" s="395" t="s">
        <v>3366</v>
      </c>
      <c r="Y69" s="410" t="s">
        <v>3367</v>
      </c>
      <c r="Z69" s="393"/>
      <c r="AA69" s="393"/>
      <c r="AB69" s="394"/>
      <c r="AC69" s="396" t="s">
        <v>3368</v>
      </c>
      <c r="AD69" s="507" t="s">
        <v>3367</v>
      </c>
      <c r="AE69" s="393">
        <v>16003</v>
      </c>
      <c r="AF69" s="393">
        <v>53748</v>
      </c>
      <c r="AG69" s="394">
        <f>+AE69/AF69</f>
        <v>0.29774131130460668</v>
      </c>
      <c r="AH69" s="395" t="s">
        <v>3369</v>
      </c>
      <c r="AI69" s="410" t="s">
        <v>3370</v>
      </c>
      <c r="AJ69" s="393"/>
      <c r="AK69" s="393"/>
      <c r="AL69" s="394"/>
      <c r="AM69" s="395" t="s">
        <v>3371</v>
      </c>
      <c r="AN69" s="411" t="s">
        <v>2501</v>
      </c>
      <c r="AO69" s="392"/>
      <c r="AP69" s="393"/>
      <c r="AQ69" s="394"/>
      <c r="AR69" s="395" t="s">
        <v>3372</v>
      </c>
      <c r="AS69" s="410" t="s">
        <v>2721</v>
      </c>
      <c r="AT69" s="393">
        <v>42988</v>
      </c>
      <c r="AU69" s="393">
        <v>61214</v>
      </c>
      <c r="AV69" s="394">
        <f>+AT69/AU69</f>
        <v>0.70225765347796254</v>
      </c>
      <c r="AW69" s="395" t="s">
        <v>3373</v>
      </c>
      <c r="AX69" s="411" t="s">
        <v>3374</v>
      </c>
      <c r="AY69" s="392"/>
      <c r="AZ69" s="393"/>
      <c r="BA69" s="394"/>
      <c r="BB69" s="395" t="s">
        <v>3375</v>
      </c>
      <c r="BC69" s="410" t="s">
        <v>3139</v>
      </c>
      <c r="BD69" s="393"/>
      <c r="BE69" s="393"/>
      <c r="BF69" s="394"/>
      <c r="BG69" s="395" t="s">
        <v>3376</v>
      </c>
      <c r="BH69" s="411" t="s">
        <v>2726</v>
      </c>
      <c r="BI69" s="392">
        <v>49710</v>
      </c>
      <c r="BJ69" s="393">
        <v>64223</v>
      </c>
      <c r="BK69" s="394">
        <f>+BI69/BJ69</f>
        <v>0.7740217679024648</v>
      </c>
      <c r="BL69" s="395" t="s">
        <v>3377</v>
      </c>
      <c r="BM69" s="410" t="s">
        <v>3378</v>
      </c>
      <c r="BN69" s="393"/>
      <c r="BO69" s="393"/>
      <c r="BP69" s="394"/>
      <c r="BQ69" s="395" t="s">
        <v>5115</v>
      </c>
      <c r="BR69" s="411" t="s">
        <v>5076</v>
      </c>
      <c r="BS69" s="392"/>
      <c r="BT69" s="393"/>
      <c r="BU69" s="394"/>
      <c r="BV69" s="395" t="s">
        <v>5114</v>
      </c>
      <c r="BW69" s="411" t="s">
        <v>5074</v>
      </c>
      <c r="BX69" s="393">
        <v>52087</v>
      </c>
      <c r="BY69" s="393">
        <v>65272</v>
      </c>
      <c r="BZ69" s="394">
        <f>+BX69/BY69</f>
        <v>0.79799914205172207</v>
      </c>
      <c r="CA69" s="395" t="s">
        <v>5113</v>
      </c>
      <c r="CB69" s="411" t="s">
        <v>5072</v>
      </c>
      <c r="CC69" s="396" t="s">
        <v>5112</v>
      </c>
      <c r="CE69" s="524">
        <f>BX69</f>
        <v>52087</v>
      </c>
      <c r="CF69" s="524">
        <f>BY69</f>
        <v>65272</v>
      </c>
      <c r="CG69" s="416">
        <f>+CE69/CF69</f>
        <v>0.79799914205172207</v>
      </c>
      <c r="CH69" s="416">
        <f>+CG69</f>
        <v>0.79799914205172207</v>
      </c>
      <c r="CI69" s="416">
        <f>+T69</f>
        <v>0.91</v>
      </c>
      <c r="CJ69" s="416">
        <f>+CH69/CI69</f>
        <v>0.87692213412277142</v>
      </c>
      <c r="CK69" s="415"/>
    </row>
    <row r="70" spans="1:89" s="401" customFormat="1" ht="297" customHeight="1" x14ac:dyDescent="0.25">
      <c r="B70" s="402" t="s">
        <v>221</v>
      </c>
      <c r="C70" s="402" t="s">
        <v>117</v>
      </c>
      <c r="D70" s="402" t="s">
        <v>2462</v>
      </c>
      <c r="E70" s="403" t="s">
        <v>3379</v>
      </c>
      <c r="F70" s="404" t="s">
        <v>3358</v>
      </c>
      <c r="G70" s="402" t="s">
        <v>3380</v>
      </c>
      <c r="H70" s="402" t="s">
        <v>3381</v>
      </c>
      <c r="I70" s="402" t="s">
        <v>3382</v>
      </c>
      <c r="J70" s="403" t="s">
        <v>2329</v>
      </c>
      <c r="K70" s="402" t="s">
        <v>3383</v>
      </c>
      <c r="L70" s="402" t="s">
        <v>3384</v>
      </c>
      <c r="M70" s="402" t="s">
        <v>3385</v>
      </c>
      <c r="N70" s="402" t="s">
        <v>2248</v>
      </c>
      <c r="O70" s="402" t="s">
        <v>3386</v>
      </c>
      <c r="P70" s="403" t="s">
        <v>1747</v>
      </c>
      <c r="Q70" s="402" t="s">
        <v>30</v>
      </c>
      <c r="R70" s="377">
        <v>1.04</v>
      </c>
      <c r="S70" s="402" t="s">
        <v>2248</v>
      </c>
      <c r="T70" s="377">
        <v>1</v>
      </c>
      <c r="U70" s="393">
        <v>15746</v>
      </c>
      <c r="V70" s="393">
        <v>15000</v>
      </c>
      <c r="W70" s="394">
        <f>+U70/V70</f>
        <v>1.0497333333333334</v>
      </c>
      <c r="X70" s="395" t="s">
        <v>3387</v>
      </c>
      <c r="Y70" s="507" t="s">
        <v>3367</v>
      </c>
      <c r="Z70" s="393">
        <v>14351</v>
      </c>
      <c r="AA70" s="393">
        <v>15000</v>
      </c>
      <c r="AB70" s="394">
        <f>+Z70/AA70</f>
        <v>0.95673333333333332</v>
      </c>
      <c r="AC70" s="396" t="s">
        <v>3388</v>
      </c>
      <c r="AD70" s="507" t="s">
        <v>3367</v>
      </c>
      <c r="AE70" s="393">
        <v>21478</v>
      </c>
      <c r="AF70" s="393">
        <v>25000</v>
      </c>
      <c r="AG70" s="394">
        <f>+AE70/AF70</f>
        <v>0.85911999999999999</v>
      </c>
      <c r="AH70" s="395" t="s">
        <v>3389</v>
      </c>
      <c r="AI70" s="410" t="s">
        <v>3370</v>
      </c>
      <c r="AJ70" s="393">
        <v>23922</v>
      </c>
      <c r="AK70" s="393">
        <v>25000</v>
      </c>
      <c r="AL70" s="394">
        <f>+AJ70/AK70</f>
        <v>0.95687999999999995</v>
      </c>
      <c r="AM70" s="395" t="s">
        <v>3390</v>
      </c>
      <c r="AN70" s="411" t="s">
        <v>2501</v>
      </c>
      <c r="AO70" s="392">
        <v>23178</v>
      </c>
      <c r="AP70" s="393">
        <v>25000</v>
      </c>
      <c r="AQ70" s="394">
        <f>+AO70/AP70</f>
        <v>0.92712000000000006</v>
      </c>
      <c r="AR70" s="395" t="s">
        <v>3391</v>
      </c>
      <c r="AS70" s="410" t="s">
        <v>2721</v>
      </c>
      <c r="AT70" s="393">
        <v>23215</v>
      </c>
      <c r="AU70" s="393">
        <v>25000</v>
      </c>
      <c r="AV70" s="394">
        <f>+AT70/AU70</f>
        <v>0.92859999999999998</v>
      </c>
      <c r="AW70" s="395" t="s">
        <v>3392</v>
      </c>
      <c r="AX70" s="411" t="s">
        <v>3374</v>
      </c>
      <c r="AY70" s="392">
        <v>24381</v>
      </c>
      <c r="AZ70" s="393">
        <v>25000</v>
      </c>
      <c r="BA70" s="394">
        <f>+AY70/AZ70</f>
        <v>0.97524</v>
      </c>
      <c r="BB70" s="395" t="s">
        <v>3393</v>
      </c>
      <c r="BC70" s="410" t="s">
        <v>3139</v>
      </c>
      <c r="BD70" s="393">
        <v>24526</v>
      </c>
      <c r="BE70" s="393">
        <v>25000</v>
      </c>
      <c r="BF70" s="394">
        <f>+BD70/BE70</f>
        <v>0.98104000000000002</v>
      </c>
      <c r="BG70" s="395" t="s">
        <v>3394</v>
      </c>
      <c r="BH70" s="411" t="s">
        <v>2726</v>
      </c>
      <c r="BI70" s="380">
        <v>23656</v>
      </c>
      <c r="BJ70" s="376">
        <v>25000</v>
      </c>
      <c r="BK70" s="394">
        <f>+BI70/BJ70</f>
        <v>0.94623999999999997</v>
      </c>
      <c r="BL70" s="395" t="s">
        <v>3395</v>
      </c>
      <c r="BM70" s="410" t="s">
        <v>3378</v>
      </c>
      <c r="BN70" s="393">
        <v>24685</v>
      </c>
      <c r="BO70" s="393">
        <v>25000</v>
      </c>
      <c r="BP70" s="394">
        <f>+BN70/BO70</f>
        <v>0.98740000000000006</v>
      </c>
      <c r="BQ70" s="395" t="s">
        <v>5111</v>
      </c>
      <c r="BR70" s="411" t="s">
        <v>5076</v>
      </c>
      <c r="BS70" s="393">
        <v>24685</v>
      </c>
      <c r="BT70" s="393">
        <v>25000</v>
      </c>
      <c r="BU70" s="394">
        <f>+BS70/BT70</f>
        <v>0.98740000000000006</v>
      </c>
      <c r="BV70" s="396" t="s">
        <v>5110</v>
      </c>
      <c r="BW70" s="411" t="s">
        <v>5074</v>
      </c>
      <c r="BX70" s="393">
        <v>23995</v>
      </c>
      <c r="BY70" s="393">
        <v>25000</v>
      </c>
      <c r="BZ70" s="394">
        <f>+BX70/BY70</f>
        <v>0.95979999999999999</v>
      </c>
      <c r="CA70" s="396" t="s">
        <v>5109</v>
      </c>
      <c r="CB70" s="411" t="s">
        <v>5072</v>
      </c>
      <c r="CC70" s="396" t="s">
        <v>5108</v>
      </c>
      <c r="CE70" s="524">
        <f>(U70+Z70+AE70+AJ70+AO70+AT70+AY70+BD70+BI70+BN70+BS70+BX70)/12</f>
        <v>22318.166666666668</v>
      </c>
      <c r="CF70" s="524">
        <f>(V70+AA70+AF70+AK70+AP70+AU70+AZ70+BE70+BJ70+BO70+BT70+BY70)/12</f>
        <v>23333.333333333332</v>
      </c>
      <c r="CG70" s="416">
        <f>+CE70/CF70</f>
        <v>0.95649285714285726</v>
      </c>
      <c r="CH70" s="416">
        <f>+CG70</f>
        <v>0.95649285714285726</v>
      </c>
      <c r="CI70" s="416">
        <f>+T70</f>
        <v>1</v>
      </c>
      <c r="CJ70" s="416">
        <f>+CH70/CI70</f>
        <v>0.95649285714285726</v>
      </c>
      <c r="CK70" s="415"/>
    </row>
    <row r="71" spans="1:89" s="401" customFormat="1" ht="300" customHeight="1" x14ac:dyDescent="0.25">
      <c r="B71" s="402" t="s">
        <v>221</v>
      </c>
      <c r="C71" s="402" t="s">
        <v>117</v>
      </c>
      <c r="D71" s="402" t="s">
        <v>2462</v>
      </c>
      <c r="E71" s="403" t="s">
        <v>3396</v>
      </c>
      <c r="F71" s="404" t="s">
        <v>3358</v>
      </c>
      <c r="G71" s="402" t="s">
        <v>3397</v>
      </c>
      <c r="H71" s="402" t="s">
        <v>3398</v>
      </c>
      <c r="I71" s="402" t="s">
        <v>3399</v>
      </c>
      <c r="J71" s="403" t="s">
        <v>2244</v>
      </c>
      <c r="K71" s="402" t="s">
        <v>3400</v>
      </c>
      <c r="L71" s="402" t="s">
        <v>3401</v>
      </c>
      <c r="M71" s="402" t="s">
        <v>3402</v>
      </c>
      <c r="N71" s="402" t="s">
        <v>2248</v>
      </c>
      <c r="O71" s="402" t="s">
        <v>3403</v>
      </c>
      <c r="P71" s="403" t="s">
        <v>1777</v>
      </c>
      <c r="Q71" s="402" t="s">
        <v>60</v>
      </c>
      <c r="R71" s="377">
        <v>0.73</v>
      </c>
      <c r="S71" s="402" t="s">
        <v>2248</v>
      </c>
      <c r="T71" s="377">
        <v>0.92</v>
      </c>
      <c r="U71" s="393"/>
      <c r="V71" s="393"/>
      <c r="W71" s="394"/>
      <c r="X71" s="395" t="s">
        <v>3404</v>
      </c>
      <c r="Y71" s="507" t="s">
        <v>3367</v>
      </c>
      <c r="Z71" s="393"/>
      <c r="AA71" s="393"/>
      <c r="AB71" s="394"/>
      <c r="AC71" s="396" t="s">
        <v>3405</v>
      </c>
      <c r="AD71" s="507" t="s">
        <v>3367</v>
      </c>
      <c r="AE71" s="393">
        <v>10199</v>
      </c>
      <c r="AF71" s="393">
        <v>17931</v>
      </c>
      <c r="AG71" s="394">
        <f>+AE71/AF71</f>
        <v>0.56879147844515088</v>
      </c>
      <c r="AH71" s="395" t="s">
        <v>3406</v>
      </c>
      <c r="AI71" s="410" t="s">
        <v>3370</v>
      </c>
      <c r="AJ71" s="393"/>
      <c r="AK71" s="393"/>
      <c r="AL71" s="394"/>
      <c r="AM71" s="395" t="s">
        <v>3407</v>
      </c>
      <c r="AN71" s="411" t="s">
        <v>2501</v>
      </c>
      <c r="AO71" s="392"/>
      <c r="AP71" s="393"/>
      <c r="AQ71" s="394"/>
      <c r="AR71" s="395" t="s">
        <v>3408</v>
      </c>
      <c r="AS71" s="410" t="s">
        <v>2721</v>
      </c>
      <c r="AT71" s="393">
        <v>15464</v>
      </c>
      <c r="AU71" s="393">
        <v>20546</v>
      </c>
      <c r="AV71" s="394">
        <f>+AT71/AU71</f>
        <v>0.75265258444466077</v>
      </c>
      <c r="AW71" s="395" t="s">
        <v>3409</v>
      </c>
      <c r="AX71" s="411" t="s">
        <v>3374</v>
      </c>
      <c r="AY71" s="392"/>
      <c r="AZ71" s="393"/>
      <c r="BA71" s="394"/>
      <c r="BB71" s="395" t="s">
        <v>3410</v>
      </c>
      <c r="BC71" s="410" t="s">
        <v>3139</v>
      </c>
      <c r="BD71" s="393"/>
      <c r="BE71" s="393"/>
      <c r="BF71" s="394"/>
      <c r="BG71" s="395" t="s">
        <v>3411</v>
      </c>
      <c r="BH71" s="411" t="s">
        <v>2726</v>
      </c>
      <c r="BI71" s="392">
        <v>18026</v>
      </c>
      <c r="BJ71" s="393">
        <v>23148</v>
      </c>
      <c r="BK71" s="394">
        <f>+BI71/BJ71</f>
        <v>0.77872818386037668</v>
      </c>
      <c r="BL71" s="395" t="s">
        <v>3412</v>
      </c>
      <c r="BM71" s="410" t="s">
        <v>3378</v>
      </c>
      <c r="BN71" s="393"/>
      <c r="BO71" s="393"/>
      <c r="BP71" s="394"/>
      <c r="BQ71" s="395" t="s">
        <v>5107</v>
      </c>
      <c r="BR71" s="411" t="s">
        <v>5076</v>
      </c>
      <c r="BS71" s="392"/>
      <c r="BT71" s="393"/>
      <c r="BU71" s="394"/>
      <c r="BV71" s="395" t="s">
        <v>5106</v>
      </c>
      <c r="BW71" s="411" t="s">
        <v>5074</v>
      </c>
      <c r="BX71" s="393">
        <v>31209</v>
      </c>
      <c r="BY71" s="393">
        <v>37059</v>
      </c>
      <c r="BZ71" s="394">
        <f>+BX71/BY71</f>
        <v>0.84214360883995787</v>
      </c>
      <c r="CA71" s="395" t="s">
        <v>5105</v>
      </c>
      <c r="CB71" s="411" t="s">
        <v>5072</v>
      </c>
      <c r="CC71" s="378" t="s">
        <v>5104</v>
      </c>
      <c r="CE71" s="524">
        <f>BX71</f>
        <v>31209</v>
      </c>
      <c r="CF71" s="524">
        <f>BY71</f>
        <v>37059</v>
      </c>
      <c r="CG71" s="416">
        <f>+CE71/CF71</f>
        <v>0.84214360883995787</v>
      </c>
      <c r="CH71" s="416">
        <f>+CG71</f>
        <v>0.84214360883995787</v>
      </c>
      <c r="CI71" s="416">
        <f>+T71</f>
        <v>0.92</v>
      </c>
      <c r="CJ71" s="416">
        <f>+CH71/CI71</f>
        <v>0.91537348786951933</v>
      </c>
      <c r="CK71" s="415"/>
    </row>
    <row r="72" spans="1:89" s="401" customFormat="1" ht="300" x14ac:dyDescent="0.25">
      <c r="B72" s="402" t="s">
        <v>221</v>
      </c>
      <c r="C72" s="402" t="s">
        <v>117</v>
      </c>
      <c r="D72" s="402" t="s">
        <v>2462</v>
      </c>
      <c r="E72" s="403" t="s">
        <v>3413</v>
      </c>
      <c r="F72" s="404" t="s">
        <v>2705</v>
      </c>
      <c r="G72" s="402" t="s">
        <v>3414</v>
      </c>
      <c r="H72" s="402" t="s">
        <v>3415</v>
      </c>
      <c r="I72" s="402" t="s">
        <v>3416</v>
      </c>
      <c r="J72" s="403" t="s">
        <v>2329</v>
      </c>
      <c r="K72" s="402" t="s">
        <v>3417</v>
      </c>
      <c r="L72" s="402" t="s">
        <v>3418</v>
      </c>
      <c r="M72" s="402" t="s">
        <v>3419</v>
      </c>
      <c r="N72" s="402" t="s">
        <v>2248</v>
      </c>
      <c r="O72" s="402" t="s">
        <v>3420</v>
      </c>
      <c r="P72" s="403" t="s">
        <v>1747</v>
      </c>
      <c r="Q72" s="402" t="s">
        <v>30</v>
      </c>
      <c r="R72" s="377">
        <v>1.1499999999999999</v>
      </c>
      <c r="S72" s="402" t="s">
        <v>2248</v>
      </c>
      <c r="T72" s="377">
        <v>1</v>
      </c>
      <c r="U72" s="393">
        <v>554</v>
      </c>
      <c r="V72" s="393">
        <v>643</v>
      </c>
      <c r="W72" s="394">
        <f>+U72/V72</f>
        <v>0.8615863141524106</v>
      </c>
      <c r="X72" s="395" t="s">
        <v>3421</v>
      </c>
      <c r="Y72" s="507" t="s">
        <v>3367</v>
      </c>
      <c r="Z72" s="393">
        <v>527</v>
      </c>
      <c r="AA72" s="393">
        <v>643</v>
      </c>
      <c r="AB72" s="394">
        <f>+Z72/AA72</f>
        <v>0.81959564541213059</v>
      </c>
      <c r="AC72" s="396" t="s">
        <v>3422</v>
      </c>
      <c r="AD72" s="507" t="s">
        <v>3367</v>
      </c>
      <c r="AE72" s="393">
        <v>609</v>
      </c>
      <c r="AF72" s="393">
        <v>540</v>
      </c>
      <c r="AG72" s="394">
        <f>+AE72/AF72</f>
        <v>1.1277777777777778</v>
      </c>
      <c r="AH72" s="395" t="s">
        <v>3423</v>
      </c>
      <c r="AI72" s="410" t="s">
        <v>3370</v>
      </c>
      <c r="AJ72" s="393">
        <v>505</v>
      </c>
      <c r="AK72" s="393">
        <v>540</v>
      </c>
      <c r="AL72" s="394">
        <f>+AJ72/AK72</f>
        <v>0.93518518518518523</v>
      </c>
      <c r="AM72" s="395" t="s">
        <v>3424</v>
      </c>
      <c r="AN72" s="411" t="s">
        <v>2501</v>
      </c>
      <c r="AO72" s="392">
        <v>491</v>
      </c>
      <c r="AP72" s="393">
        <v>540</v>
      </c>
      <c r="AQ72" s="394">
        <f>+AO72/AP72</f>
        <v>0.90925925925925921</v>
      </c>
      <c r="AR72" s="395" t="s">
        <v>3425</v>
      </c>
      <c r="AS72" s="410" t="s">
        <v>2721</v>
      </c>
      <c r="AT72" s="393">
        <v>509</v>
      </c>
      <c r="AU72" s="393">
        <v>540</v>
      </c>
      <c r="AV72" s="394">
        <f>+AT72/AU72</f>
        <v>0.94259259259259254</v>
      </c>
      <c r="AW72" s="395" t="s">
        <v>3426</v>
      </c>
      <c r="AX72" s="411" t="s">
        <v>3374</v>
      </c>
      <c r="AY72" s="392">
        <v>519</v>
      </c>
      <c r="AZ72" s="393">
        <v>540</v>
      </c>
      <c r="BA72" s="394">
        <f>+AY72/AZ72</f>
        <v>0.96111111111111114</v>
      </c>
      <c r="BB72" s="395" t="s">
        <v>3427</v>
      </c>
      <c r="BC72" s="410" t="s">
        <v>3139</v>
      </c>
      <c r="BD72" s="393">
        <v>540</v>
      </c>
      <c r="BE72" s="393">
        <v>540</v>
      </c>
      <c r="BF72" s="394">
        <f>+BD72/BE72</f>
        <v>1</v>
      </c>
      <c r="BG72" s="395" t="s">
        <v>3428</v>
      </c>
      <c r="BH72" s="411" t="s">
        <v>2726</v>
      </c>
      <c r="BI72" s="392">
        <v>557</v>
      </c>
      <c r="BJ72" s="393">
        <v>540</v>
      </c>
      <c r="BK72" s="394">
        <f>+BI72/BJ72</f>
        <v>1.0314814814814814</v>
      </c>
      <c r="BL72" s="395" t="s">
        <v>3429</v>
      </c>
      <c r="BM72" s="410" t="s">
        <v>3378</v>
      </c>
      <c r="BN72" s="393">
        <v>522</v>
      </c>
      <c r="BO72" s="393">
        <v>540</v>
      </c>
      <c r="BP72" s="394">
        <f>+BN72/BO72</f>
        <v>0.96666666666666667</v>
      </c>
      <c r="BQ72" s="395" t="s">
        <v>5103</v>
      </c>
      <c r="BR72" s="411" t="s">
        <v>5076</v>
      </c>
      <c r="BS72" s="393">
        <v>522</v>
      </c>
      <c r="BT72" s="393">
        <v>540</v>
      </c>
      <c r="BU72" s="394">
        <f>+BS72/BT72</f>
        <v>0.96666666666666667</v>
      </c>
      <c r="BV72" s="395" t="s">
        <v>5102</v>
      </c>
      <c r="BW72" s="411" t="s">
        <v>5074</v>
      </c>
      <c r="BX72" s="393">
        <v>515</v>
      </c>
      <c r="BY72" s="393">
        <v>540</v>
      </c>
      <c r="BZ72" s="394">
        <f>+BX72/BY72</f>
        <v>0.95370370370370372</v>
      </c>
      <c r="CA72" s="395" t="s">
        <v>5101</v>
      </c>
      <c r="CB72" s="411" t="s">
        <v>5072</v>
      </c>
      <c r="CC72" s="378" t="s">
        <v>5100</v>
      </c>
      <c r="CE72" s="524">
        <f>(U72+Z72+AE72+AJ72+AO72+AT72+AY72+BD72+BI72+BN72+BS72+BX72)/12</f>
        <v>530.83333333333337</v>
      </c>
      <c r="CF72" s="524">
        <f>(V72+AA72+AF72+AK72+AP72+AU72+AZ72+BE72+BJ72+BO72+BT72+BY72)/12</f>
        <v>557.16666666666663</v>
      </c>
      <c r="CG72" s="416">
        <f>+CE72/CF72</f>
        <v>0.95273706251869594</v>
      </c>
      <c r="CH72" s="416">
        <f>+CG72</f>
        <v>0.95273706251869594</v>
      </c>
      <c r="CI72" s="416">
        <f>+T72</f>
        <v>1</v>
      </c>
      <c r="CJ72" s="416">
        <f>+CH72/CI72</f>
        <v>0.95273706251869594</v>
      </c>
      <c r="CK72" s="415"/>
    </row>
    <row r="73" spans="1:89" s="401" customFormat="1" ht="409.5" x14ac:dyDescent="0.25">
      <c r="B73" s="402" t="s">
        <v>221</v>
      </c>
      <c r="C73" s="402" t="s">
        <v>117</v>
      </c>
      <c r="D73" s="402" t="s">
        <v>2462</v>
      </c>
      <c r="E73" s="403" t="s">
        <v>3430</v>
      </c>
      <c r="F73" s="404" t="s">
        <v>3358</v>
      </c>
      <c r="G73" s="402" t="s">
        <v>3431</v>
      </c>
      <c r="H73" s="402" t="s">
        <v>3432</v>
      </c>
      <c r="I73" s="402" t="s">
        <v>3433</v>
      </c>
      <c r="J73" s="403" t="s">
        <v>2244</v>
      </c>
      <c r="K73" s="402" t="s">
        <v>3434</v>
      </c>
      <c r="L73" s="402" t="s">
        <v>3401</v>
      </c>
      <c r="M73" s="402" t="s">
        <v>3435</v>
      </c>
      <c r="N73" s="402" t="s">
        <v>2248</v>
      </c>
      <c r="O73" s="402" t="s">
        <v>3436</v>
      </c>
      <c r="P73" s="403" t="s">
        <v>1777</v>
      </c>
      <c r="Q73" s="402" t="s">
        <v>60</v>
      </c>
      <c r="R73" s="377">
        <v>0.78</v>
      </c>
      <c r="S73" s="402" t="s">
        <v>2248</v>
      </c>
      <c r="T73" s="377">
        <v>0.9</v>
      </c>
      <c r="U73" s="393"/>
      <c r="V73" s="393"/>
      <c r="W73" s="394"/>
      <c r="X73" s="395" t="s">
        <v>3437</v>
      </c>
      <c r="Y73" s="507" t="s">
        <v>3367</v>
      </c>
      <c r="Z73" s="393"/>
      <c r="AA73" s="393"/>
      <c r="AB73" s="394"/>
      <c r="AC73" s="396" t="s">
        <v>3438</v>
      </c>
      <c r="AD73" s="507" t="s">
        <v>3367</v>
      </c>
      <c r="AE73" s="393">
        <v>342</v>
      </c>
      <c r="AF73" s="393">
        <v>609</v>
      </c>
      <c r="AG73" s="394">
        <f>+AE73/AF73</f>
        <v>0.56157635467980294</v>
      </c>
      <c r="AH73" s="395" t="s">
        <v>3439</v>
      </c>
      <c r="AI73" s="410" t="s">
        <v>3370</v>
      </c>
      <c r="AJ73" s="393"/>
      <c r="AK73" s="393"/>
      <c r="AL73" s="394"/>
      <c r="AM73" s="395" t="s">
        <v>3440</v>
      </c>
      <c r="AN73" s="411" t="s">
        <v>2501</v>
      </c>
      <c r="AO73" s="392"/>
      <c r="AP73" s="393"/>
      <c r="AQ73" s="394"/>
      <c r="AR73" s="395" t="s">
        <v>3441</v>
      </c>
      <c r="AS73" s="410" t="s">
        <v>2721</v>
      </c>
      <c r="AT73" s="393">
        <v>472</v>
      </c>
      <c r="AU73" s="393">
        <v>678</v>
      </c>
      <c r="AV73" s="394">
        <f>+AT73/AU73</f>
        <v>0.69616519174041303</v>
      </c>
      <c r="AW73" s="395" t="s">
        <v>3442</v>
      </c>
      <c r="AX73" s="411" t="s">
        <v>3374</v>
      </c>
      <c r="AY73" s="392"/>
      <c r="AZ73" s="393"/>
      <c r="BA73" s="394"/>
      <c r="BB73" s="395" t="s">
        <v>3443</v>
      </c>
      <c r="BC73" s="410" t="s">
        <v>3139</v>
      </c>
      <c r="BD73" s="393"/>
      <c r="BE73" s="393"/>
      <c r="BF73" s="394"/>
      <c r="BG73" s="395" t="s">
        <v>3444</v>
      </c>
      <c r="BH73" s="411" t="s">
        <v>2726</v>
      </c>
      <c r="BI73" s="392">
        <v>550</v>
      </c>
      <c r="BJ73" s="393">
        <v>776</v>
      </c>
      <c r="BK73" s="394">
        <f>+BI73/BJ73</f>
        <v>0.70876288659793818</v>
      </c>
      <c r="BL73" s="395" t="s">
        <v>3445</v>
      </c>
      <c r="BM73" s="410" t="s">
        <v>3378</v>
      </c>
      <c r="BN73" s="393"/>
      <c r="BO73" s="393"/>
      <c r="BP73" s="394"/>
      <c r="BQ73" s="395" t="s">
        <v>5099</v>
      </c>
      <c r="BR73" s="411" t="s">
        <v>5076</v>
      </c>
      <c r="BS73" s="392"/>
      <c r="BT73" s="393"/>
      <c r="BU73" s="394"/>
      <c r="BV73" s="395" t="s">
        <v>5098</v>
      </c>
      <c r="BW73" s="411" t="s">
        <v>5074</v>
      </c>
      <c r="BX73" s="393">
        <v>616</v>
      </c>
      <c r="BY73" s="393">
        <v>805</v>
      </c>
      <c r="BZ73" s="394">
        <f>+BX73/BY73</f>
        <v>0.76521739130434785</v>
      </c>
      <c r="CA73" s="395" t="s">
        <v>5097</v>
      </c>
      <c r="CB73" s="411" t="s">
        <v>5072</v>
      </c>
      <c r="CC73" s="396" t="s">
        <v>5096</v>
      </c>
      <c r="CE73" s="524">
        <f>BX73</f>
        <v>616</v>
      </c>
      <c r="CF73" s="524">
        <f>BY73</f>
        <v>805</v>
      </c>
      <c r="CG73" s="416">
        <f>+CE73/CF73</f>
        <v>0.76521739130434785</v>
      </c>
      <c r="CH73" s="416">
        <f>+CG73</f>
        <v>0.76521739130434785</v>
      </c>
      <c r="CI73" s="416">
        <f>+T73</f>
        <v>0.9</v>
      </c>
      <c r="CJ73" s="416">
        <f>+CH73/CI73</f>
        <v>0.85024154589371981</v>
      </c>
      <c r="CK73" s="415"/>
    </row>
    <row r="74" spans="1:89" s="401" customFormat="1" ht="333" customHeight="1" x14ac:dyDescent="0.25">
      <c r="B74" s="402" t="s">
        <v>221</v>
      </c>
      <c r="C74" s="402" t="s">
        <v>117</v>
      </c>
      <c r="D74" s="402" t="s">
        <v>2462</v>
      </c>
      <c r="E74" s="403" t="s">
        <v>3446</v>
      </c>
      <c r="F74" s="404" t="s">
        <v>3358</v>
      </c>
      <c r="G74" s="402" t="s">
        <v>3447</v>
      </c>
      <c r="H74" s="402" t="s">
        <v>3448</v>
      </c>
      <c r="I74" s="402" t="s">
        <v>3449</v>
      </c>
      <c r="J74" s="403" t="s">
        <v>2244</v>
      </c>
      <c r="K74" s="402" t="s">
        <v>3450</v>
      </c>
      <c r="L74" s="402" t="s">
        <v>3451</v>
      </c>
      <c r="M74" s="406" t="s">
        <v>5095</v>
      </c>
      <c r="N74" s="402" t="s">
        <v>2248</v>
      </c>
      <c r="O74" s="402" t="s">
        <v>3452</v>
      </c>
      <c r="P74" s="403" t="s">
        <v>3453</v>
      </c>
      <c r="Q74" s="402" t="s">
        <v>60</v>
      </c>
      <c r="R74" s="377">
        <v>0.25</v>
      </c>
      <c r="S74" s="402" t="s">
        <v>2248</v>
      </c>
      <c r="T74" s="377">
        <v>0.5</v>
      </c>
      <c r="U74" s="393"/>
      <c r="V74" s="393"/>
      <c r="W74" s="394"/>
      <c r="X74" s="395" t="s">
        <v>3454</v>
      </c>
      <c r="Y74" s="507" t="s">
        <v>3367</v>
      </c>
      <c r="Z74" s="393">
        <v>121</v>
      </c>
      <c r="AA74" s="393">
        <v>286</v>
      </c>
      <c r="AB74" s="394">
        <f>+Z74/AA74</f>
        <v>0.42307692307692307</v>
      </c>
      <c r="AC74" s="396" t="s">
        <v>3455</v>
      </c>
      <c r="AD74" s="507" t="s">
        <v>3367</v>
      </c>
      <c r="AE74" s="393"/>
      <c r="AF74" s="393"/>
      <c r="AG74" s="394"/>
      <c r="AH74" s="395" t="s">
        <v>3456</v>
      </c>
      <c r="AI74" s="410" t="s">
        <v>3370</v>
      </c>
      <c r="AJ74" s="393">
        <v>129</v>
      </c>
      <c r="AK74" s="393">
        <v>324</v>
      </c>
      <c r="AL74" s="394">
        <f>+AJ74/AK74</f>
        <v>0.39814814814814814</v>
      </c>
      <c r="AM74" s="396" t="s">
        <v>3457</v>
      </c>
      <c r="AN74" s="411" t="s">
        <v>2501</v>
      </c>
      <c r="AO74" s="392"/>
      <c r="AP74" s="393"/>
      <c r="AQ74" s="394"/>
      <c r="AR74" s="396" t="s">
        <v>5094</v>
      </c>
      <c r="AS74" s="410" t="s">
        <v>2721</v>
      </c>
      <c r="AT74" s="393">
        <v>78</v>
      </c>
      <c r="AU74" s="393">
        <v>198</v>
      </c>
      <c r="AV74" s="394">
        <f>+AT74/AU74</f>
        <v>0.39393939393939392</v>
      </c>
      <c r="AW74" s="396" t="s">
        <v>3458</v>
      </c>
      <c r="AX74" s="411" t="s">
        <v>3374</v>
      </c>
      <c r="AY74" s="392"/>
      <c r="AZ74" s="393"/>
      <c r="BA74" s="394"/>
      <c r="BB74" s="395" t="s">
        <v>3459</v>
      </c>
      <c r="BC74" s="410" t="s">
        <v>3139</v>
      </c>
      <c r="BD74" s="393">
        <v>63</v>
      </c>
      <c r="BE74" s="393">
        <v>159</v>
      </c>
      <c r="BF74" s="394">
        <f>+BD74/BE74</f>
        <v>0.39622641509433965</v>
      </c>
      <c r="BG74" s="395" t="s">
        <v>3460</v>
      </c>
      <c r="BH74" s="411" t="s">
        <v>2726</v>
      </c>
      <c r="BI74" s="392"/>
      <c r="BJ74" s="393"/>
      <c r="BK74" s="394"/>
      <c r="BL74" s="395" t="s">
        <v>5093</v>
      </c>
      <c r="BM74" s="410" t="s">
        <v>3378</v>
      </c>
      <c r="BN74" s="393">
        <v>48</v>
      </c>
      <c r="BO74" s="393">
        <v>122</v>
      </c>
      <c r="BP74" s="394">
        <f>+BN74/BO74</f>
        <v>0.39344262295081966</v>
      </c>
      <c r="BQ74" s="395" t="s">
        <v>5092</v>
      </c>
      <c r="BR74" s="411" t="s">
        <v>5076</v>
      </c>
      <c r="BS74" s="392"/>
      <c r="BT74" s="393"/>
      <c r="BU74" s="394"/>
      <c r="BV74" s="395" t="s">
        <v>5091</v>
      </c>
      <c r="BW74" s="411" t="s">
        <v>5074</v>
      </c>
      <c r="BX74" s="393">
        <v>24</v>
      </c>
      <c r="BY74" s="393">
        <v>85</v>
      </c>
      <c r="BZ74" s="394">
        <f>+BX74/BY74</f>
        <v>0.28235294117647058</v>
      </c>
      <c r="CA74" s="395" t="s">
        <v>5090</v>
      </c>
      <c r="CB74" s="411" t="s">
        <v>5072</v>
      </c>
      <c r="CC74" s="396" t="s">
        <v>5089</v>
      </c>
      <c r="CE74" s="524">
        <f>Z74+AJ74+AT74+BD74+BN74+BX74</f>
        <v>463</v>
      </c>
      <c r="CF74" s="524">
        <f>AA74+AK74+AU74+BE74+BO74+BY74</f>
        <v>1174</v>
      </c>
      <c r="CG74" s="416">
        <f>+CE74/CF74</f>
        <v>0.39437819420783643</v>
      </c>
      <c r="CH74" s="416">
        <f>+CG74</f>
        <v>0.39437819420783643</v>
      </c>
      <c r="CI74" s="416">
        <f>+T74</f>
        <v>0.5</v>
      </c>
      <c r="CJ74" s="416">
        <f>+CH74/CI74</f>
        <v>0.78875638841567286</v>
      </c>
      <c r="CK74" s="415"/>
    </row>
    <row r="75" spans="1:89" s="401" customFormat="1" ht="339.95" customHeight="1" x14ac:dyDescent="0.25">
      <c r="B75" s="402" t="s">
        <v>221</v>
      </c>
      <c r="C75" s="402" t="s">
        <v>117</v>
      </c>
      <c r="D75" s="402" t="s">
        <v>2462</v>
      </c>
      <c r="E75" s="403" t="s">
        <v>3461</v>
      </c>
      <c r="F75" s="404" t="s">
        <v>2705</v>
      </c>
      <c r="G75" s="402" t="s">
        <v>3462</v>
      </c>
      <c r="H75" s="402" t="s">
        <v>3463</v>
      </c>
      <c r="I75" s="402" t="s">
        <v>3464</v>
      </c>
      <c r="J75" s="403" t="s">
        <v>2329</v>
      </c>
      <c r="K75" s="402" t="s">
        <v>3465</v>
      </c>
      <c r="L75" s="402" t="s">
        <v>3466</v>
      </c>
      <c r="M75" s="402" t="s">
        <v>3467</v>
      </c>
      <c r="N75" s="402" t="s">
        <v>2248</v>
      </c>
      <c r="O75" s="402" t="s">
        <v>3468</v>
      </c>
      <c r="P75" s="403" t="s">
        <v>1747</v>
      </c>
      <c r="Q75" s="402" t="s">
        <v>60</v>
      </c>
      <c r="R75" s="377">
        <v>0.22</v>
      </c>
      <c r="S75" s="402" t="s">
        <v>2248</v>
      </c>
      <c r="T75" s="377">
        <v>0.22</v>
      </c>
      <c r="U75" s="393"/>
      <c r="V75" s="393"/>
      <c r="W75" s="394"/>
      <c r="X75" s="395" t="s">
        <v>3469</v>
      </c>
      <c r="Y75" s="410"/>
      <c r="Z75" s="393">
        <v>0</v>
      </c>
      <c r="AA75" s="393">
        <v>496</v>
      </c>
      <c r="AB75" s="394">
        <v>0</v>
      </c>
      <c r="AC75" s="396" t="s">
        <v>3470</v>
      </c>
      <c r="AD75" s="507" t="s">
        <v>3367</v>
      </c>
      <c r="AE75" s="393">
        <v>0</v>
      </c>
      <c r="AF75" s="393">
        <v>377</v>
      </c>
      <c r="AG75" s="394">
        <v>0</v>
      </c>
      <c r="AH75" s="395" t="s">
        <v>3471</v>
      </c>
      <c r="AI75" s="410" t="s">
        <v>3370</v>
      </c>
      <c r="AJ75" s="393">
        <v>0</v>
      </c>
      <c r="AK75" s="393">
        <v>377</v>
      </c>
      <c r="AL75" s="394">
        <f>+AJ75/AK75</f>
        <v>0</v>
      </c>
      <c r="AM75" s="395" t="s">
        <v>3472</v>
      </c>
      <c r="AN75" s="411" t="s">
        <v>2501</v>
      </c>
      <c r="AO75" s="392">
        <v>1</v>
      </c>
      <c r="AP75" s="393">
        <v>472</v>
      </c>
      <c r="AQ75" s="485">
        <f>+AO75/AP75</f>
        <v>2.1186440677966102E-3</v>
      </c>
      <c r="AR75" s="395" t="s">
        <v>3473</v>
      </c>
      <c r="AS75" s="410" t="s">
        <v>2721</v>
      </c>
      <c r="AT75" s="393">
        <v>17</v>
      </c>
      <c r="AU75" s="393">
        <v>472</v>
      </c>
      <c r="AV75" s="394">
        <f>+AT75/AU75</f>
        <v>3.6016949152542374E-2</v>
      </c>
      <c r="AW75" s="395" t="s">
        <v>3474</v>
      </c>
      <c r="AX75" s="411" t="s">
        <v>3374</v>
      </c>
      <c r="AY75" s="392">
        <v>37</v>
      </c>
      <c r="AZ75" s="393">
        <v>365</v>
      </c>
      <c r="BA75" s="394">
        <f>+AY75/AZ75</f>
        <v>0.10136986301369863</v>
      </c>
      <c r="BB75" s="395" t="s">
        <v>3475</v>
      </c>
      <c r="BC75" s="410" t="s">
        <v>3139</v>
      </c>
      <c r="BD75" s="393">
        <v>39</v>
      </c>
      <c r="BE75" s="393">
        <v>290</v>
      </c>
      <c r="BF75" s="394">
        <f>+BD75/BE75</f>
        <v>0.13448275862068965</v>
      </c>
      <c r="BG75" s="395" t="s">
        <v>3476</v>
      </c>
      <c r="BH75" s="411" t="s">
        <v>2726</v>
      </c>
      <c r="BI75" s="392">
        <v>39</v>
      </c>
      <c r="BJ75" s="393">
        <v>290</v>
      </c>
      <c r="BK75" s="394">
        <f>+BI75/BJ75</f>
        <v>0.13448275862068965</v>
      </c>
      <c r="BL75" s="395" t="s">
        <v>3477</v>
      </c>
      <c r="BM75" s="410" t="s">
        <v>3378</v>
      </c>
      <c r="BN75" s="393">
        <v>39</v>
      </c>
      <c r="BO75" s="393">
        <v>290</v>
      </c>
      <c r="BP75" s="394">
        <f>+BN75/BO75</f>
        <v>0.13448275862068965</v>
      </c>
      <c r="BQ75" s="395" t="s">
        <v>5088</v>
      </c>
      <c r="BR75" s="411" t="s">
        <v>5076</v>
      </c>
      <c r="BS75" s="393">
        <v>55</v>
      </c>
      <c r="BT75" s="393">
        <v>290</v>
      </c>
      <c r="BU75" s="394">
        <f>+BS75/BT75</f>
        <v>0.18965517241379309</v>
      </c>
      <c r="BV75" s="396" t="s">
        <v>5087</v>
      </c>
      <c r="BW75" s="411" t="s">
        <v>5074</v>
      </c>
      <c r="BX75" s="393">
        <v>77</v>
      </c>
      <c r="BY75" s="393">
        <v>290</v>
      </c>
      <c r="BZ75" s="394">
        <f>+BX75/BY75</f>
        <v>0.26551724137931032</v>
      </c>
      <c r="CA75" s="396" t="s">
        <v>5086</v>
      </c>
      <c r="CB75" s="411" t="s">
        <v>5072</v>
      </c>
      <c r="CC75" s="396" t="s">
        <v>5085</v>
      </c>
      <c r="CE75" s="524">
        <f>BX75</f>
        <v>77</v>
      </c>
      <c r="CF75" s="524">
        <f>BT75</f>
        <v>290</v>
      </c>
      <c r="CG75" s="416">
        <f>+CE75/CF75</f>
        <v>0.26551724137931032</v>
      </c>
      <c r="CH75" s="416">
        <f>+CG75</f>
        <v>0.26551724137931032</v>
      </c>
      <c r="CI75" s="416">
        <f>+T75</f>
        <v>0.22</v>
      </c>
      <c r="CJ75" s="416">
        <f>+CH75/CI75</f>
        <v>1.2068965517241379</v>
      </c>
      <c r="CK75" s="415"/>
    </row>
    <row r="76" spans="1:89" s="401" customFormat="1" ht="309.75" customHeight="1" x14ac:dyDescent="0.25">
      <c r="B76" s="402" t="s">
        <v>221</v>
      </c>
      <c r="C76" s="402" t="s">
        <v>117</v>
      </c>
      <c r="D76" s="402" t="s">
        <v>2462</v>
      </c>
      <c r="E76" s="403" t="s">
        <v>3478</v>
      </c>
      <c r="F76" s="404" t="s">
        <v>2705</v>
      </c>
      <c r="G76" s="402" t="s">
        <v>3479</v>
      </c>
      <c r="H76" s="402" t="s">
        <v>3480</v>
      </c>
      <c r="I76" s="402" t="s">
        <v>3481</v>
      </c>
      <c r="J76" s="403" t="s">
        <v>2329</v>
      </c>
      <c r="K76" s="402" t="s">
        <v>3482</v>
      </c>
      <c r="L76" s="402" t="s">
        <v>3483</v>
      </c>
      <c r="M76" s="402" t="s">
        <v>3484</v>
      </c>
      <c r="N76" s="402" t="s">
        <v>2248</v>
      </c>
      <c r="O76" s="402" t="s">
        <v>3485</v>
      </c>
      <c r="P76" s="403" t="s">
        <v>1756</v>
      </c>
      <c r="Q76" s="402" t="s">
        <v>30</v>
      </c>
      <c r="R76" s="377">
        <v>1</v>
      </c>
      <c r="S76" s="402" t="s">
        <v>2248</v>
      </c>
      <c r="T76" s="377">
        <v>1</v>
      </c>
      <c r="U76" s="393"/>
      <c r="V76" s="393"/>
      <c r="W76" s="394"/>
      <c r="X76" s="395" t="s">
        <v>3486</v>
      </c>
      <c r="Y76" s="507" t="s">
        <v>3367</v>
      </c>
      <c r="Z76" s="393"/>
      <c r="AA76" s="393"/>
      <c r="AB76" s="394"/>
      <c r="AC76" s="396" t="s">
        <v>3487</v>
      </c>
      <c r="AD76" s="507" t="s">
        <v>3367</v>
      </c>
      <c r="AE76" s="393"/>
      <c r="AF76" s="393"/>
      <c r="AG76" s="394"/>
      <c r="AH76" s="395" t="s">
        <v>3488</v>
      </c>
      <c r="AI76" s="410" t="s">
        <v>3370</v>
      </c>
      <c r="AJ76" s="393"/>
      <c r="AK76" s="393"/>
      <c r="AL76" s="394"/>
      <c r="AM76" s="395" t="s">
        <v>3489</v>
      </c>
      <c r="AN76" s="411" t="s">
        <v>2501</v>
      </c>
      <c r="AO76" s="392"/>
      <c r="AP76" s="393"/>
      <c r="AQ76" s="394"/>
      <c r="AR76" s="395" t="s">
        <v>3490</v>
      </c>
      <c r="AS76" s="410" t="s">
        <v>2721</v>
      </c>
      <c r="AT76" s="393"/>
      <c r="AU76" s="393"/>
      <c r="AV76" s="394"/>
      <c r="AW76" s="395" t="s">
        <v>3491</v>
      </c>
      <c r="AX76" s="411" t="s">
        <v>3374</v>
      </c>
      <c r="AY76" s="392"/>
      <c r="AZ76" s="393"/>
      <c r="BA76" s="394"/>
      <c r="BB76" s="395" t="s">
        <v>3492</v>
      </c>
      <c r="BC76" s="410" t="s">
        <v>3139</v>
      </c>
      <c r="BD76" s="393"/>
      <c r="BE76" s="393"/>
      <c r="BF76" s="394"/>
      <c r="BG76" s="395" t="s">
        <v>5084</v>
      </c>
      <c r="BH76" s="411" t="s">
        <v>2726</v>
      </c>
      <c r="BI76" s="392"/>
      <c r="BJ76" s="393"/>
      <c r="BK76" s="394"/>
      <c r="BL76" s="395" t="s">
        <v>5083</v>
      </c>
      <c r="BM76" s="410" t="s">
        <v>3378</v>
      </c>
      <c r="BN76" s="393"/>
      <c r="BO76" s="393"/>
      <c r="BP76" s="394"/>
      <c r="BQ76" s="395" t="s">
        <v>5082</v>
      </c>
      <c r="BR76" s="411" t="s">
        <v>5081</v>
      </c>
      <c r="BS76" s="392"/>
      <c r="BT76" s="393"/>
      <c r="BU76" s="394"/>
      <c r="BV76" s="395" t="s">
        <v>5080</v>
      </c>
      <c r="BW76" s="411" t="s">
        <v>5074</v>
      </c>
      <c r="BX76" s="393">
        <v>62</v>
      </c>
      <c r="BY76" s="393">
        <v>62</v>
      </c>
      <c r="BZ76" s="394">
        <f>+BX76/BY76</f>
        <v>1</v>
      </c>
      <c r="CA76" s="395" t="s">
        <v>5079</v>
      </c>
      <c r="CB76" s="411" t="s">
        <v>5072</v>
      </c>
      <c r="CC76" s="378" t="s">
        <v>5078</v>
      </c>
      <c r="CE76" s="524">
        <f>BX76</f>
        <v>62</v>
      </c>
      <c r="CF76" s="524">
        <f>BY76</f>
        <v>62</v>
      </c>
      <c r="CG76" s="416">
        <f>+CE76/CF76</f>
        <v>1</v>
      </c>
      <c r="CH76" s="416">
        <f>+CG76</f>
        <v>1</v>
      </c>
      <c r="CI76" s="416">
        <f>+T76</f>
        <v>1</v>
      </c>
      <c r="CJ76" s="416">
        <f>+CH76/CI76</f>
        <v>1</v>
      </c>
      <c r="CK76" s="415"/>
    </row>
    <row r="77" spans="1:89" s="401" customFormat="1" ht="300" customHeight="1" x14ac:dyDescent="0.25">
      <c r="B77" s="402" t="s">
        <v>221</v>
      </c>
      <c r="C77" s="402" t="s">
        <v>117</v>
      </c>
      <c r="D77" s="402" t="s">
        <v>2462</v>
      </c>
      <c r="E77" s="403" t="s">
        <v>3493</v>
      </c>
      <c r="F77" s="404" t="s">
        <v>2705</v>
      </c>
      <c r="G77" s="402" t="s">
        <v>3494</v>
      </c>
      <c r="H77" s="402" t="s">
        <v>3495</v>
      </c>
      <c r="I77" s="402" t="s">
        <v>3496</v>
      </c>
      <c r="J77" s="403" t="s">
        <v>2329</v>
      </c>
      <c r="K77" s="402" t="s">
        <v>3497</v>
      </c>
      <c r="L77" s="402" t="s">
        <v>3498</v>
      </c>
      <c r="M77" s="402" t="s">
        <v>3499</v>
      </c>
      <c r="N77" s="402" t="s">
        <v>2248</v>
      </c>
      <c r="O77" s="402" t="s">
        <v>3500</v>
      </c>
      <c r="P77" s="403" t="s">
        <v>1747</v>
      </c>
      <c r="Q77" s="402" t="s">
        <v>60</v>
      </c>
      <c r="R77" s="377">
        <v>7.0000000000000007E-2</v>
      </c>
      <c r="S77" s="402" t="s">
        <v>2248</v>
      </c>
      <c r="T77" s="377">
        <v>0.25</v>
      </c>
      <c r="U77" s="393"/>
      <c r="V77" s="393"/>
      <c r="W77" s="394"/>
      <c r="X77" s="395" t="s">
        <v>3501</v>
      </c>
      <c r="Y77" s="410"/>
      <c r="Z77" s="393">
        <v>75</v>
      </c>
      <c r="AA77" s="393">
        <v>1372</v>
      </c>
      <c r="AB77" s="394">
        <f>+Z77/AA77</f>
        <v>5.466472303206997E-2</v>
      </c>
      <c r="AC77" s="396" t="s">
        <v>3502</v>
      </c>
      <c r="AD77" s="507" t="s">
        <v>3367</v>
      </c>
      <c r="AE77" s="393">
        <v>141</v>
      </c>
      <c r="AF77" s="393">
        <v>1375</v>
      </c>
      <c r="AG77" s="394">
        <f>+AE77/AF77</f>
        <v>0.10254545454545455</v>
      </c>
      <c r="AH77" s="396" t="s">
        <v>3503</v>
      </c>
      <c r="AI77" s="410" t="s">
        <v>3370</v>
      </c>
      <c r="AJ77" s="393">
        <v>172</v>
      </c>
      <c r="AK77" s="393">
        <v>1375</v>
      </c>
      <c r="AL77" s="394">
        <f>+AJ77/AK77</f>
        <v>0.12509090909090909</v>
      </c>
      <c r="AM77" s="396" t="s">
        <v>3504</v>
      </c>
      <c r="AN77" s="411" t="s">
        <v>2501</v>
      </c>
      <c r="AO77" s="392">
        <v>199</v>
      </c>
      <c r="AP77" s="393">
        <v>1305</v>
      </c>
      <c r="AQ77" s="394">
        <f>+AO77/AP77</f>
        <v>0.15249042145593869</v>
      </c>
      <c r="AR77" s="396" t="s">
        <v>3505</v>
      </c>
      <c r="AS77" s="410" t="s">
        <v>2721</v>
      </c>
      <c r="AT77" s="393">
        <v>204</v>
      </c>
      <c r="AU77" s="393">
        <v>1037</v>
      </c>
      <c r="AV77" s="394">
        <f>+AT77/AU77</f>
        <v>0.19672131147540983</v>
      </c>
      <c r="AW77" s="396" t="s">
        <v>3506</v>
      </c>
      <c r="AX77" s="411"/>
      <c r="AY77" s="392">
        <v>238</v>
      </c>
      <c r="AZ77" s="393">
        <v>1311</v>
      </c>
      <c r="BA77" s="394">
        <f>+AY77/AZ77</f>
        <v>0.18154080854309687</v>
      </c>
      <c r="BB77" s="396" t="s">
        <v>3507</v>
      </c>
      <c r="BC77" s="410" t="s">
        <v>3139</v>
      </c>
      <c r="BD77" s="393">
        <v>252</v>
      </c>
      <c r="BE77" s="393">
        <v>1314</v>
      </c>
      <c r="BF77" s="394">
        <f>+BD77/BE77</f>
        <v>0.19178082191780821</v>
      </c>
      <c r="BG77" s="395" t="s">
        <v>3508</v>
      </c>
      <c r="BH77" s="411" t="s">
        <v>2726</v>
      </c>
      <c r="BI77" s="392">
        <v>327</v>
      </c>
      <c r="BJ77" s="393">
        <v>1321</v>
      </c>
      <c r="BK77" s="394">
        <f>+BI77/BJ77</f>
        <v>0.24753974261922787</v>
      </c>
      <c r="BL77" s="395" t="s">
        <v>3509</v>
      </c>
      <c r="BM77" s="410" t="s">
        <v>3378</v>
      </c>
      <c r="BN77" s="393">
        <v>333</v>
      </c>
      <c r="BO77" s="393">
        <v>1321</v>
      </c>
      <c r="BP77" s="394">
        <f>+BN77/BO77</f>
        <v>0.25208175624526874</v>
      </c>
      <c r="BQ77" s="395" t="s">
        <v>5077</v>
      </c>
      <c r="BR77" s="411" t="s">
        <v>5076</v>
      </c>
      <c r="BS77" s="393">
        <v>333</v>
      </c>
      <c r="BT77" s="393">
        <v>1321</v>
      </c>
      <c r="BU77" s="394">
        <f>+BS77/BT77</f>
        <v>0.25208175624526874</v>
      </c>
      <c r="BV77" s="395" t="s">
        <v>5075</v>
      </c>
      <c r="BW77" s="395" t="s">
        <v>5074</v>
      </c>
      <c r="BX77" s="393"/>
      <c r="BY77" s="393"/>
      <c r="BZ77" s="394"/>
      <c r="CA77" s="395" t="s">
        <v>5073</v>
      </c>
      <c r="CB77" s="411" t="s">
        <v>5072</v>
      </c>
      <c r="CC77" s="378" t="s">
        <v>5071</v>
      </c>
      <c r="CE77" s="524">
        <f>BS77</f>
        <v>333</v>
      </c>
      <c r="CF77" s="524">
        <f>BT77</f>
        <v>1321</v>
      </c>
      <c r="CG77" s="416">
        <f>+CE77/CF77</f>
        <v>0.25208175624526874</v>
      </c>
      <c r="CH77" s="416">
        <f>+CG77</f>
        <v>0.25208175624526874</v>
      </c>
      <c r="CI77" s="416">
        <f>+T77</f>
        <v>0.25</v>
      </c>
      <c r="CJ77" s="416">
        <v>1</v>
      </c>
      <c r="CK77" s="415"/>
    </row>
    <row r="78" spans="1:89" s="544" customFormat="1" ht="190.5" customHeight="1" x14ac:dyDescent="0.2">
      <c r="A78" s="525"/>
      <c r="B78" s="526" t="s">
        <v>221</v>
      </c>
      <c r="C78" s="526" t="s">
        <v>128</v>
      </c>
      <c r="D78" s="527" t="s">
        <v>2462</v>
      </c>
      <c r="E78" s="528" t="s">
        <v>3528</v>
      </c>
      <c r="F78" s="529" t="s">
        <v>2657</v>
      </c>
      <c r="G78" s="530" t="s">
        <v>3529</v>
      </c>
      <c r="H78" s="530" t="s">
        <v>3530</v>
      </c>
      <c r="I78" s="530" t="s">
        <v>3531</v>
      </c>
      <c r="J78" s="531" t="s">
        <v>2329</v>
      </c>
      <c r="K78" s="530" t="s">
        <v>3532</v>
      </c>
      <c r="L78" s="530" t="s">
        <v>3533</v>
      </c>
      <c r="M78" s="527" t="s">
        <v>3534</v>
      </c>
      <c r="N78" s="529" t="s">
        <v>2248</v>
      </c>
      <c r="O78" s="530" t="s">
        <v>3535</v>
      </c>
      <c r="P78" s="532" t="s">
        <v>1777</v>
      </c>
      <c r="Q78" s="533" t="s">
        <v>30</v>
      </c>
      <c r="R78" s="534">
        <v>0.995</v>
      </c>
      <c r="S78" s="529" t="s">
        <v>2248</v>
      </c>
      <c r="T78" s="535">
        <v>1</v>
      </c>
      <c r="U78" s="536"/>
      <c r="V78" s="536"/>
      <c r="W78" s="374"/>
      <c r="X78" s="537" t="s">
        <v>3536</v>
      </c>
      <c r="Y78" s="537" t="s">
        <v>3537</v>
      </c>
      <c r="Z78" s="536"/>
      <c r="AA78" s="536"/>
      <c r="AB78" s="374"/>
      <c r="AC78" s="537" t="s">
        <v>3538</v>
      </c>
      <c r="AD78" s="537" t="s">
        <v>3214</v>
      </c>
      <c r="AE78" s="536">
        <v>69500</v>
      </c>
      <c r="AF78" s="538">
        <v>69787</v>
      </c>
      <c r="AG78" s="539">
        <f>AE78/AF78</f>
        <v>0.99588748620803302</v>
      </c>
      <c r="AH78" s="537" t="s">
        <v>3539</v>
      </c>
      <c r="AI78" s="537" t="s">
        <v>3540</v>
      </c>
      <c r="AJ78" s="536"/>
      <c r="AK78" s="538"/>
      <c r="AL78" s="539"/>
      <c r="AM78" s="537" t="s">
        <v>3541</v>
      </c>
      <c r="AN78" s="537" t="s">
        <v>3219</v>
      </c>
      <c r="AO78" s="536"/>
      <c r="AP78" s="538"/>
      <c r="AQ78" s="539"/>
      <c r="AR78" s="537" t="s">
        <v>3542</v>
      </c>
      <c r="AS78" s="537" t="s">
        <v>3543</v>
      </c>
      <c r="AT78" s="536">
        <v>104157</v>
      </c>
      <c r="AU78" s="538">
        <v>104952</v>
      </c>
      <c r="AV78" s="374">
        <v>0.99199999999999999</v>
      </c>
      <c r="AW78" s="537" t="s">
        <v>3544</v>
      </c>
      <c r="AX78" s="537" t="s">
        <v>3545</v>
      </c>
      <c r="AY78" s="536"/>
      <c r="AZ78" s="536"/>
      <c r="BA78" s="374"/>
      <c r="BB78" s="537" t="s">
        <v>3546</v>
      </c>
      <c r="BC78" s="537" t="s">
        <v>3547</v>
      </c>
      <c r="BD78" s="536"/>
      <c r="BE78" s="536"/>
      <c r="BF78" s="374"/>
      <c r="BG78" s="537" t="s">
        <v>3548</v>
      </c>
      <c r="BH78" s="537" t="s">
        <v>3549</v>
      </c>
      <c r="BI78" s="538">
        <v>113794</v>
      </c>
      <c r="BJ78" s="538">
        <v>114740</v>
      </c>
      <c r="BK78" s="374">
        <f>BI78/BJ78</f>
        <v>0.99175527279065712</v>
      </c>
      <c r="BL78" s="537" t="s">
        <v>3550</v>
      </c>
      <c r="BM78" s="537" t="s">
        <v>3551</v>
      </c>
      <c r="BN78" s="536"/>
      <c r="BO78" s="536"/>
      <c r="BP78" s="374"/>
      <c r="BQ78" s="573" t="s">
        <v>5070</v>
      </c>
      <c r="BR78" s="537" t="s">
        <v>5069</v>
      </c>
      <c r="BS78" s="536"/>
      <c r="BT78" s="536"/>
      <c r="BU78" s="374"/>
      <c r="BV78" s="573" t="s">
        <v>5068</v>
      </c>
      <c r="BW78" s="537" t="s">
        <v>5067</v>
      </c>
      <c r="BX78" s="536">
        <v>140531</v>
      </c>
      <c r="BY78" s="536">
        <v>141229</v>
      </c>
      <c r="BZ78" s="374">
        <f>BX78/BY78</f>
        <v>0.99505767229110165</v>
      </c>
      <c r="CA78" s="573" t="s">
        <v>5066</v>
      </c>
      <c r="CB78" s="537" t="s">
        <v>5065</v>
      </c>
      <c r="CC78" s="573" t="s">
        <v>5064</v>
      </c>
      <c r="CD78" s="525"/>
      <c r="CE78" s="542">
        <f>BX78</f>
        <v>140531</v>
      </c>
      <c r="CF78" s="542">
        <f>BY78</f>
        <v>141229</v>
      </c>
      <c r="CG78" s="543">
        <f>CE78/CF78</f>
        <v>0.99505767229110165</v>
      </c>
      <c r="CH78" s="543">
        <f>+CG78</f>
        <v>0.99505767229110165</v>
      </c>
      <c r="CI78" s="543">
        <f>+T78</f>
        <v>1</v>
      </c>
      <c r="CJ78" s="543">
        <f>+CH78/CI78</f>
        <v>0.99505767229110165</v>
      </c>
      <c r="CK78" s="542"/>
    </row>
    <row r="79" spans="1:89" s="544" customFormat="1" ht="264" x14ac:dyDescent="0.2">
      <c r="A79" s="525"/>
      <c r="B79" s="526" t="s">
        <v>221</v>
      </c>
      <c r="C79" s="547" t="s">
        <v>128</v>
      </c>
      <c r="D79" s="548" t="s">
        <v>2462</v>
      </c>
      <c r="E79" s="545" t="s">
        <v>3552</v>
      </c>
      <c r="F79" s="529" t="s">
        <v>2578</v>
      </c>
      <c r="G79" s="548" t="s">
        <v>3553</v>
      </c>
      <c r="H79" s="548" t="s">
        <v>3554</v>
      </c>
      <c r="I79" s="548" t="s">
        <v>3555</v>
      </c>
      <c r="J79" s="545" t="s">
        <v>3556</v>
      </c>
      <c r="K79" s="548" t="s">
        <v>3557</v>
      </c>
      <c r="L79" s="548" t="s">
        <v>3558</v>
      </c>
      <c r="M79" s="548" t="s">
        <v>3559</v>
      </c>
      <c r="N79" s="547" t="s">
        <v>2248</v>
      </c>
      <c r="O79" s="548" t="s">
        <v>3560</v>
      </c>
      <c r="P79" s="545" t="s">
        <v>1777</v>
      </c>
      <c r="Q79" s="533" t="s">
        <v>60</v>
      </c>
      <c r="R79" s="534" t="s">
        <v>2291</v>
      </c>
      <c r="S79" s="547" t="s">
        <v>2248</v>
      </c>
      <c r="T79" s="541">
        <v>0.95</v>
      </c>
      <c r="U79" s="536"/>
      <c r="V79" s="536"/>
      <c r="W79" s="374"/>
      <c r="X79" s="546"/>
      <c r="Y79" s="546"/>
      <c r="Z79" s="536"/>
      <c r="AA79" s="536"/>
      <c r="AB79" s="374"/>
      <c r="AC79" s="374"/>
      <c r="AD79" s="374"/>
      <c r="AE79" s="540"/>
      <c r="AF79" s="536"/>
      <c r="AG79" s="374"/>
      <c r="AH79" s="546"/>
      <c r="AI79" s="546"/>
      <c r="AJ79" s="536"/>
      <c r="AK79" s="538"/>
      <c r="AL79" s="539"/>
      <c r="AM79" s="537" t="s">
        <v>3561</v>
      </c>
      <c r="AN79" s="549" t="s">
        <v>3219</v>
      </c>
      <c r="AO79" s="536"/>
      <c r="AP79" s="538"/>
      <c r="AQ79" s="539"/>
      <c r="AR79" s="537" t="s">
        <v>3562</v>
      </c>
      <c r="AS79" s="549" t="s">
        <v>3543</v>
      </c>
      <c r="AT79" s="536">
        <v>10937</v>
      </c>
      <c r="AU79" s="538">
        <v>10787</v>
      </c>
      <c r="AV79" s="374">
        <f>AT79/AU79</f>
        <v>1.0139056271437843</v>
      </c>
      <c r="AW79" s="537" t="s">
        <v>3563</v>
      </c>
      <c r="AX79" s="537" t="s">
        <v>3564</v>
      </c>
      <c r="AY79" s="536"/>
      <c r="AZ79" s="536"/>
      <c r="BA79" s="374"/>
      <c r="BB79" s="537" t="s">
        <v>3565</v>
      </c>
      <c r="BC79" s="537" t="s">
        <v>3566</v>
      </c>
      <c r="BD79" s="536"/>
      <c r="BE79" s="536"/>
      <c r="BF79" s="374"/>
      <c r="BG79" s="537" t="s">
        <v>3567</v>
      </c>
      <c r="BH79" s="537" t="s">
        <v>3568</v>
      </c>
      <c r="BI79" s="526">
        <v>0</v>
      </c>
      <c r="BJ79" s="547">
        <v>0</v>
      </c>
      <c r="BK79" s="541">
        <v>0</v>
      </c>
      <c r="BL79" s="537" t="s">
        <v>5063</v>
      </c>
      <c r="BM79" s="537" t="s">
        <v>5062</v>
      </c>
      <c r="BN79" s="536"/>
      <c r="BO79" s="536"/>
      <c r="BP79" s="374"/>
      <c r="BQ79" s="856" t="s">
        <v>5061</v>
      </c>
      <c r="BR79" s="860" t="s">
        <v>5060</v>
      </c>
      <c r="BS79" s="536"/>
      <c r="BT79" s="536"/>
      <c r="BU79" s="374"/>
      <c r="BV79" s="573" t="s">
        <v>5059</v>
      </c>
      <c r="BW79" s="537" t="s">
        <v>5058</v>
      </c>
      <c r="BX79" s="536">
        <v>45859</v>
      </c>
      <c r="BY79" s="536">
        <v>36000</v>
      </c>
      <c r="BZ79" s="859">
        <f>BX79/BY79</f>
        <v>1.2738611111111111</v>
      </c>
      <c r="CA79" s="858" t="s">
        <v>5057</v>
      </c>
      <c r="CB79" s="857" t="s">
        <v>5056</v>
      </c>
      <c r="CC79" s="856" t="s">
        <v>5055</v>
      </c>
      <c r="CD79" s="525"/>
      <c r="CE79" s="542">
        <f>BX79</f>
        <v>45859</v>
      </c>
      <c r="CF79" s="542">
        <f>BY79</f>
        <v>36000</v>
      </c>
      <c r="CG79" s="543">
        <f>CE79/CF79</f>
        <v>1.2738611111111111</v>
      </c>
      <c r="CH79" s="543">
        <f>CG79</f>
        <v>1.2738611111111111</v>
      </c>
      <c r="CI79" s="543">
        <f>T79</f>
        <v>0.95</v>
      </c>
      <c r="CJ79" s="543">
        <f>CH79/CI79</f>
        <v>1.340906432748538</v>
      </c>
      <c r="CK79" s="542"/>
    </row>
    <row r="80" spans="1:89" s="437" customFormat="1" ht="210" customHeight="1" x14ac:dyDescent="0.25">
      <c r="B80" s="369" t="s">
        <v>3229</v>
      </c>
      <c r="C80" s="369" t="s">
        <v>148</v>
      </c>
      <c r="D80" s="511" t="s">
        <v>2485</v>
      </c>
      <c r="E80" s="370" t="s">
        <v>3569</v>
      </c>
      <c r="F80" s="404" t="s">
        <v>2552</v>
      </c>
      <c r="G80" s="511" t="s">
        <v>3570</v>
      </c>
      <c r="H80" s="511" t="s">
        <v>3571</v>
      </c>
      <c r="I80" s="511" t="s">
        <v>3572</v>
      </c>
      <c r="J80" s="370" t="s">
        <v>2329</v>
      </c>
      <c r="K80" s="511" t="s">
        <v>3573</v>
      </c>
      <c r="L80" s="511" t="s">
        <v>3574</v>
      </c>
      <c r="M80" s="511" t="s">
        <v>3575</v>
      </c>
      <c r="N80" s="369" t="s">
        <v>2248</v>
      </c>
      <c r="O80" s="511" t="s">
        <v>3576</v>
      </c>
      <c r="P80" s="370" t="s">
        <v>1777</v>
      </c>
      <c r="Q80" s="442" t="s">
        <v>30</v>
      </c>
      <c r="R80" s="373">
        <v>0.3</v>
      </c>
      <c r="S80" s="369" t="s">
        <v>2248</v>
      </c>
      <c r="T80" s="373">
        <v>0.6</v>
      </c>
      <c r="U80" s="376"/>
      <c r="V80" s="376"/>
      <c r="W80" s="377"/>
      <c r="X80" s="379" t="s">
        <v>3577</v>
      </c>
      <c r="Y80" s="379" t="s">
        <v>3578</v>
      </c>
      <c r="Z80" s="376"/>
      <c r="AA80" s="376"/>
      <c r="AB80" s="377"/>
      <c r="AC80" s="378" t="s">
        <v>3579</v>
      </c>
      <c r="AD80" s="378" t="s">
        <v>3580</v>
      </c>
      <c r="AE80" s="380">
        <v>2315</v>
      </c>
      <c r="AF80" s="376">
        <v>5218</v>
      </c>
      <c r="AG80" s="394">
        <f>+AE80/AF80</f>
        <v>0.44365657339977005</v>
      </c>
      <c r="AH80" s="395" t="s">
        <v>3581</v>
      </c>
      <c r="AI80" s="381" t="s">
        <v>3582</v>
      </c>
      <c r="AJ80" s="393"/>
      <c r="AK80" s="393"/>
      <c r="AL80" s="394"/>
      <c r="AM80" s="396" t="s">
        <v>5054</v>
      </c>
      <c r="AN80" s="411" t="s">
        <v>3583</v>
      </c>
      <c r="AO80" s="392"/>
      <c r="AP80" s="393"/>
      <c r="AQ80" s="396"/>
      <c r="AR80" s="396" t="s">
        <v>3584</v>
      </c>
      <c r="AS80" s="411" t="s">
        <v>3585</v>
      </c>
      <c r="AT80" s="393">
        <v>3298</v>
      </c>
      <c r="AU80" s="376">
        <v>5326</v>
      </c>
      <c r="AV80" s="394">
        <f>+AT80/AU80</f>
        <v>0.6192264363499812</v>
      </c>
      <c r="AW80" s="378" t="s">
        <v>3586</v>
      </c>
      <c r="AX80" s="411" t="s">
        <v>3587</v>
      </c>
      <c r="AY80" s="392"/>
      <c r="AZ80" s="393"/>
      <c r="BA80" s="394"/>
      <c r="BB80" s="378" t="s">
        <v>3588</v>
      </c>
      <c r="BC80" s="411" t="s">
        <v>3589</v>
      </c>
      <c r="BD80" s="393"/>
      <c r="BE80" s="393"/>
      <c r="BF80" s="394"/>
      <c r="BG80" s="396" t="s">
        <v>5053</v>
      </c>
      <c r="BH80" s="411" t="s">
        <v>3590</v>
      </c>
      <c r="BI80" s="392">
        <v>1673</v>
      </c>
      <c r="BJ80" s="393">
        <v>2455</v>
      </c>
      <c r="BK80" s="394">
        <f>+BI80/BJ80</f>
        <v>0.68146639511201634</v>
      </c>
      <c r="BL80" s="379" t="s">
        <v>5052</v>
      </c>
      <c r="BM80" s="395" t="s">
        <v>3591</v>
      </c>
      <c r="BN80" s="393"/>
      <c r="BO80" s="393"/>
      <c r="BP80" s="394"/>
      <c r="BQ80" s="395" t="s">
        <v>5051</v>
      </c>
      <c r="BR80" s="379" t="s">
        <v>5044</v>
      </c>
      <c r="BS80" s="393"/>
      <c r="BT80" s="393"/>
      <c r="BU80" s="394"/>
      <c r="BV80" s="396" t="s">
        <v>5050</v>
      </c>
      <c r="BW80" s="379" t="s">
        <v>5042</v>
      </c>
      <c r="BX80" s="393">
        <v>2373</v>
      </c>
      <c r="BY80" s="376">
        <v>3857</v>
      </c>
      <c r="BZ80" s="394">
        <f>+BX80/BY80</f>
        <v>0.61524500907441015</v>
      </c>
      <c r="CA80" s="396" t="s">
        <v>5049</v>
      </c>
      <c r="CB80" s="411" t="s">
        <v>5048</v>
      </c>
      <c r="CC80" s="396" t="s">
        <v>5047</v>
      </c>
      <c r="CD80" s="389"/>
      <c r="CE80" s="495">
        <f>+U80+Z80+AE80+AJ80+AO80+AT80+AY80+BD80+BI80+BN80+BS80+BX80</f>
        <v>9659</v>
      </c>
      <c r="CF80" s="495">
        <f>+V80+AA80+AF80+AK80+AP80+AU80+AZ80+BE80+BJ80+BO80+BT80+BY80</f>
        <v>16856</v>
      </c>
      <c r="CG80" s="435">
        <f>+CE80/CF80</f>
        <v>0.57303037494067399</v>
      </c>
      <c r="CH80" s="435">
        <f>+CG80</f>
        <v>0.57303037494067399</v>
      </c>
      <c r="CI80" s="435">
        <f>+T80</f>
        <v>0.6</v>
      </c>
      <c r="CJ80" s="435">
        <f>+CH80/CI80</f>
        <v>0.95505062490112336</v>
      </c>
      <c r="CK80" s="388"/>
    </row>
    <row r="81" spans="1:89" s="437" customFormat="1" ht="270.75" customHeight="1" x14ac:dyDescent="0.25">
      <c r="B81" s="406" t="s">
        <v>221</v>
      </c>
      <c r="C81" s="406" t="s">
        <v>148</v>
      </c>
      <c r="D81" s="855" t="s">
        <v>2485</v>
      </c>
      <c r="E81" s="403" t="s">
        <v>3592</v>
      </c>
      <c r="F81" s="404" t="s">
        <v>2486</v>
      </c>
      <c r="G81" s="511" t="s">
        <v>3593</v>
      </c>
      <c r="H81" s="511" t="s">
        <v>3594</v>
      </c>
      <c r="I81" s="511" t="s">
        <v>3595</v>
      </c>
      <c r="J81" s="403" t="s">
        <v>2329</v>
      </c>
      <c r="K81" s="511" t="s">
        <v>3596</v>
      </c>
      <c r="L81" s="511" t="s">
        <v>3597</v>
      </c>
      <c r="M81" s="511" t="s">
        <v>3598</v>
      </c>
      <c r="N81" s="402" t="s">
        <v>2248</v>
      </c>
      <c r="O81" s="511" t="s">
        <v>3599</v>
      </c>
      <c r="P81" s="403" t="s">
        <v>1777</v>
      </c>
      <c r="Q81" s="441" t="s">
        <v>30</v>
      </c>
      <c r="R81" s="377" t="s">
        <v>2238</v>
      </c>
      <c r="S81" s="402" t="s">
        <v>2248</v>
      </c>
      <c r="T81" s="377">
        <v>0.3</v>
      </c>
      <c r="U81" s="376"/>
      <c r="V81" s="376"/>
      <c r="W81" s="377"/>
      <c r="X81" s="494"/>
      <c r="Y81" s="412"/>
      <c r="Z81" s="376"/>
      <c r="AA81" s="376"/>
      <c r="AB81" s="377"/>
      <c r="AC81" s="378" t="s">
        <v>3600</v>
      </c>
      <c r="AD81" s="378" t="s">
        <v>3578</v>
      </c>
      <c r="AE81" s="392">
        <v>39</v>
      </c>
      <c r="AF81" s="393">
        <v>107</v>
      </c>
      <c r="AG81" s="394">
        <f>+AE81/AF81</f>
        <v>0.3644859813084112</v>
      </c>
      <c r="AH81" s="395" t="s">
        <v>3601</v>
      </c>
      <c r="AI81" s="381" t="s">
        <v>3582</v>
      </c>
      <c r="AJ81" s="393"/>
      <c r="AK81" s="393"/>
      <c r="AL81" s="394"/>
      <c r="AM81" s="378" t="s">
        <v>5046</v>
      </c>
      <c r="AN81" s="411" t="s">
        <v>3583</v>
      </c>
      <c r="AO81" s="392"/>
      <c r="AP81" s="393"/>
      <c r="AQ81" s="378"/>
      <c r="AR81" s="378" t="s">
        <v>3602</v>
      </c>
      <c r="AS81" s="411" t="s">
        <v>3585</v>
      </c>
      <c r="AT81" s="393">
        <v>64</v>
      </c>
      <c r="AU81" s="393">
        <v>192</v>
      </c>
      <c r="AV81" s="394">
        <f>+AT81/AU81</f>
        <v>0.33333333333333331</v>
      </c>
      <c r="AW81" s="378" t="s">
        <v>3603</v>
      </c>
      <c r="AX81" s="411" t="s">
        <v>3587</v>
      </c>
      <c r="AY81" s="392"/>
      <c r="AZ81" s="393"/>
      <c r="BA81" s="394"/>
      <c r="BB81" s="378" t="s">
        <v>3604</v>
      </c>
      <c r="BC81" s="411" t="s">
        <v>3589</v>
      </c>
      <c r="BD81" s="393"/>
      <c r="BE81" s="393"/>
      <c r="BF81" s="394"/>
      <c r="BG81" s="396" t="s">
        <v>3605</v>
      </c>
      <c r="BH81" s="411" t="s">
        <v>3590</v>
      </c>
      <c r="BI81" s="392">
        <v>59</v>
      </c>
      <c r="BJ81" s="393">
        <v>93</v>
      </c>
      <c r="BK81" s="394">
        <f>BI81/BJ81</f>
        <v>0.63440860215053763</v>
      </c>
      <c r="BL81" s="379" t="s">
        <v>3606</v>
      </c>
      <c r="BM81" s="487" t="s">
        <v>3591</v>
      </c>
      <c r="BN81" s="393"/>
      <c r="BO81" s="393"/>
      <c r="BP81" s="395"/>
      <c r="BQ81" s="395" t="s">
        <v>5045</v>
      </c>
      <c r="BR81" s="379" t="s">
        <v>5044</v>
      </c>
      <c r="BS81" s="393"/>
      <c r="BT81" s="393"/>
      <c r="BU81" s="394"/>
      <c r="BV81" s="396" t="s">
        <v>5043</v>
      </c>
      <c r="BW81" s="379" t="s">
        <v>5042</v>
      </c>
      <c r="BX81" s="393">
        <v>118</v>
      </c>
      <c r="BY81" s="393">
        <v>184</v>
      </c>
      <c r="BZ81" s="394">
        <v>0.64</v>
      </c>
      <c r="CA81" s="411" t="s">
        <v>5041</v>
      </c>
      <c r="CB81" s="411" t="s">
        <v>5040</v>
      </c>
      <c r="CC81" s="414" t="s">
        <v>5039</v>
      </c>
      <c r="CD81" s="389"/>
      <c r="CE81" s="388">
        <f>+U81+Z81+AE81+AJ81+AO81+AT81+AY81+BD81+BI81+BN81+BS81+BX81</f>
        <v>280</v>
      </c>
      <c r="CF81" s="388">
        <f>+V81+AA81+AF81+AK81+AP81+AU81+AZ81+BE81+BJ81+BO81+BT81+BY81</f>
        <v>576</v>
      </c>
      <c r="CG81" s="435">
        <f>+CE81/CF81</f>
        <v>0.4861111111111111</v>
      </c>
      <c r="CH81" s="435">
        <f>+CG81</f>
        <v>0.4861111111111111</v>
      </c>
      <c r="CI81" s="435">
        <f>+T81</f>
        <v>0.3</v>
      </c>
      <c r="CJ81" s="435">
        <f>+CH81/CI81</f>
        <v>1.6203703703703705</v>
      </c>
      <c r="CK81" s="388"/>
    </row>
    <row r="82" spans="1:89" s="389" customFormat="1" ht="276" x14ac:dyDescent="0.25">
      <c r="B82" s="369" t="s">
        <v>221</v>
      </c>
      <c r="C82" s="369" t="s">
        <v>158</v>
      </c>
      <c r="D82" s="369" t="s">
        <v>78</v>
      </c>
      <c r="E82" s="403" t="s">
        <v>3607</v>
      </c>
      <c r="F82" s="404" t="s">
        <v>2657</v>
      </c>
      <c r="G82" s="406" t="s">
        <v>3608</v>
      </c>
      <c r="H82" s="406" t="s">
        <v>3609</v>
      </c>
      <c r="I82" s="406" t="s">
        <v>3610</v>
      </c>
      <c r="J82" s="370" t="s">
        <v>2329</v>
      </c>
      <c r="K82" s="406" t="s">
        <v>3611</v>
      </c>
      <c r="L82" s="406" t="s">
        <v>3612</v>
      </c>
      <c r="M82" s="406" t="s">
        <v>3613</v>
      </c>
      <c r="N82" s="369" t="s">
        <v>2955</v>
      </c>
      <c r="O82" s="406" t="s">
        <v>3614</v>
      </c>
      <c r="P82" s="370" t="s">
        <v>2366</v>
      </c>
      <c r="Q82" s="442" t="s">
        <v>30</v>
      </c>
      <c r="R82" s="373">
        <v>0.94</v>
      </c>
      <c r="S82" s="369" t="s">
        <v>2248</v>
      </c>
      <c r="T82" s="373">
        <v>1</v>
      </c>
      <c r="U82" s="430"/>
      <c r="V82" s="430"/>
      <c r="W82" s="431"/>
      <c r="X82" s="411" t="s">
        <v>5038</v>
      </c>
      <c r="Y82" s="410" t="s">
        <v>3615</v>
      </c>
      <c r="Z82" s="430"/>
      <c r="AA82" s="430"/>
      <c r="AB82" s="431"/>
      <c r="AC82" s="411" t="s">
        <v>3616</v>
      </c>
      <c r="AD82" s="411" t="s">
        <v>3617</v>
      </c>
      <c r="AE82" s="430"/>
      <c r="AF82" s="431"/>
      <c r="AG82" s="411"/>
      <c r="AH82" s="381" t="s">
        <v>3618</v>
      </c>
      <c r="AI82" s="410" t="s">
        <v>3619</v>
      </c>
      <c r="AJ82" s="393"/>
      <c r="AK82" s="393"/>
      <c r="AL82" s="393"/>
      <c r="AM82" s="381" t="s">
        <v>3620</v>
      </c>
      <c r="AN82" s="411" t="s">
        <v>3621</v>
      </c>
      <c r="AO82" s="392"/>
      <c r="AP82" s="393"/>
      <c r="AQ82" s="394"/>
      <c r="AR82" s="381" t="s">
        <v>3622</v>
      </c>
      <c r="AS82" s="411" t="s">
        <v>3623</v>
      </c>
      <c r="AT82" s="376">
        <v>135</v>
      </c>
      <c r="AU82" s="376">
        <v>157</v>
      </c>
      <c r="AV82" s="485">
        <f>+AT82/AU82</f>
        <v>0.85987261146496818</v>
      </c>
      <c r="AW82" s="381" t="s">
        <v>5037</v>
      </c>
      <c r="AX82" s="381" t="s">
        <v>5036</v>
      </c>
      <c r="AY82" s="409"/>
      <c r="AZ82" s="409"/>
      <c r="BA82" s="409"/>
      <c r="BB82" s="381" t="s">
        <v>3624</v>
      </c>
      <c r="BC82" s="411" t="s">
        <v>3625</v>
      </c>
      <c r="BD82" s="393"/>
      <c r="BE82" s="393"/>
      <c r="BF82" s="394"/>
      <c r="BG82" s="381" t="s">
        <v>3626</v>
      </c>
      <c r="BH82" s="411" t="s">
        <v>3627</v>
      </c>
      <c r="BI82" s="392"/>
      <c r="BJ82" s="393"/>
      <c r="BK82" s="394"/>
      <c r="BL82" s="381" t="s">
        <v>5035</v>
      </c>
      <c r="BM82" s="410" t="s">
        <v>3627</v>
      </c>
      <c r="BN82" s="393"/>
      <c r="BO82" s="393"/>
      <c r="BP82" s="394"/>
      <c r="BQ82" s="381" t="s">
        <v>5034</v>
      </c>
      <c r="BR82" s="381" t="s">
        <v>5033</v>
      </c>
      <c r="BS82" s="392"/>
      <c r="BT82" s="393"/>
      <c r="BU82" s="394"/>
      <c r="BV82" s="381" t="s">
        <v>5032</v>
      </c>
      <c r="BW82" s="381" t="s">
        <v>5031</v>
      </c>
      <c r="BX82" s="393">
        <v>309</v>
      </c>
      <c r="BY82" s="393">
        <v>363</v>
      </c>
      <c r="BZ82" s="394">
        <f>BX82/BY82</f>
        <v>0.85123966942148765</v>
      </c>
      <c r="CA82" s="411" t="s">
        <v>5030</v>
      </c>
      <c r="CB82" s="411" t="s">
        <v>5029</v>
      </c>
      <c r="CC82" s="414" t="s">
        <v>5028</v>
      </c>
      <c r="CE82" s="386">
        <f>+AT82+BX82</f>
        <v>444</v>
      </c>
      <c r="CF82" s="386">
        <f>+AU82+BY82</f>
        <v>520</v>
      </c>
      <c r="CG82" s="387">
        <f>+CE82/CF82</f>
        <v>0.85384615384615381</v>
      </c>
      <c r="CH82" s="387">
        <f>+CG82</f>
        <v>0.85384615384615381</v>
      </c>
      <c r="CI82" s="387">
        <f>+T82</f>
        <v>1</v>
      </c>
      <c r="CJ82" s="387">
        <f>+CH82/CI82</f>
        <v>0.85384615384615381</v>
      </c>
      <c r="CK82" s="388"/>
    </row>
    <row r="83" spans="1:89" s="389" customFormat="1" ht="240" x14ac:dyDescent="0.25">
      <c r="B83" s="369" t="s">
        <v>221</v>
      </c>
      <c r="C83" s="369" t="s">
        <v>168</v>
      </c>
      <c r="D83" s="369" t="s">
        <v>2462</v>
      </c>
      <c r="E83" s="370" t="s">
        <v>3628</v>
      </c>
      <c r="F83" s="371" t="s">
        <v>3629</v>
      </c>
      <c r="G83" s="372" t="s">
        <v>3630</v>
      </c>
      <c r="H83" s="372" t="s">
        <v>5027</v>
      </c>
      <c r="I83" s="372" t="s">
        <v>3631</v>
      </c>
      <c r="J83" s="370" t="s">
        <v>2329</v>
      </c>
      <c r="K83" s="372" t="s">
        <v>3632</v>
      </c>
      <c r="L83" s="372" t="s">
        <v>3633</v>
      </c>
      <c r="M83" s="372" t="s">
        <v>3634</v>
      </c>
      <c r="N83" s="372" t="s">
        <v>2955</v>
      </c>
      <c r="O83" s="372" t="s">
        <v>3635</v>
      </c>
      <c r="P83" s="370" t="s">
        <v>2366</v>
      </c>
      <c r="Q83" s="420" t="s">
        <v>30</v>
      </c>
      <c r="R83" s="373" t="s">
        <v>1897</v>
      </c>
      <c r="S83" s="369" t="s">
        <v>1897</v>
      </c>
      <c r="T83" s="373">
        <v>0.6</v>
      </c>
      <c r="U83" s="393"/>
      <c r="V83" s="393"/>
      <c r="W83" s="394"/>
      <c r="X83" s="853"/>
      <c r="Y83" s="505"/>
      <c r="Z83" s="393"/>
      <c r="AA83" s="393"/>
      <c r="AB83" s="394"/>
      <c r="AC83" s="853"/>
      <c r="AD83" s="505"/>
      <c r="AE83" s="392"/>
      <c r="AF83" s="393"/>
      <c r="AG83" s="394"/>
      <c r="AH83" s="853"/>
      <c r="AI83" s="445"/>
      <c r="AJ83" s="393"/>
      <c r="AK83" s="393"/>
      <c r="AL83" s="394"/>
      <c r="AM83" s="854"/>
      <c r="AN83" s="446"/>
      <c r="AO83" s="392"/>
      <c r="AP83" s="393"/>
      <c r="AQ83" s="394"/>
      <c r="AR83" s="853"/>
      <c r="AS83" s="410"/>
      <c r="AT83" s="393"/>
      <c r="AU83" s="394"/>
      <c r="AV83" s="377"/>
      <c r="AW83" s="853"/>
      <c r="AX83" s="421"/>
      <c r="AY83" s="392"/>
      <c r="AZ83" s="393"/>
      <c r="BA83" s="394"/>
      <c r="BB83" s="410"/>
      <c r="BC83" s="410"/>
      <c r="BD83" s="393"/>
      <c r="BE83" s="393"/>
      <c r="BF83" s="394"/>
      <c r="BG83" s="411"/>
      <c r="BH83" s="411"/>
      <c r="BI83" s="425"/>
      <c r="BJ83" s="421"/>
      <c r="BK83" s="422"/>
      <c r="BL83" s="395" t="s">
        <v>3636</v>
      </c>
      <c r="BM83" s="556" t="s">
        <v>3637</v>
      </c>
      <c r="BN83" s="393"/>
      <c r="BO83" s="393"/>
      <c r="BP83" s="394"/>
      <c r="BQ83" s="395" t="s">
        <v>5026</v>
      </c>
      <c r="BR83" s="556" t="s">
        <v>5025</v>
      </c>
      <c r="BS83" s="393"/>
      <c r="BT83" s="393"/>
      <c r="BU83" s="394"/>
      <c r="BV83" s="396" t="s">
        <v>5024</v>
      </c>
      <c r="BW83" s="556" t="s">
        <v>5023</v>
      </c>
      <c r="BX83" s="852">
        <v>13</v>
      </c>
      <c r="BY83" s="852">
        <v>13</v>
      </c>
      <c r="BZ83" s="394">
        <v>1</v>
      </c>
      <c r="CA83" s="396" t="s">
        <v>5022</v>
      </c>
      <c r="CB83" s="396" t="s">
        <v>5021</v>
      </c>
      <c r="CC83" s="851" t="s">
        <v>5020</v>
      </c>
      <c r="CE83" s="495">
        <f>BX83</f>
        <v>13</v>
      </c>
      <c r="CF83" s="495">
        <f>BY83</f>
        <v>13</v>
      </c>
      <c r="CG83" s="435">
        <f>CE83/CF83</f>
        <v>1</v>
      </c>
      <c r="CH83" s="435">
        <f>+CG83</f>
        <v>1</v>
      </c>
      <c r="CI83" s="435">
        <f>+T83</f>
        <v>0.6</v>
      </c>
      <c r="CJ83" s="435">
        <f>+CH83/CI83</f>
        <v>1.6666666666666667</v>
      </c>
      <c r="CK83" s="388"/>
    </row>
    <row r="84" spans="1:89" s="389" customFormat="1" ht="264" x14ac:dyDescent="0.25">
      <c r="B84" s="402" t="s">
        <v>3229</v>
      </c>
      <c r="C84" s="402" t="s">
        <v>1379</v>
      </c>
      <c r="D84" s="406" t="s">
        <v>2462</v>
      </c>
      <c r="E84" s="403" t="s">
        <v>3638</v>
      </c>
      <c r="F84" s="404" t="s">
        <v>2552</v>
      </c>
      <c r="G84" s="402" t="s">
        <v>3639</v>
      </c>
      <c r="H84" s="406" t="s">
        <v>3640</v>
      </c>
      <c r="I84" s="406" t="s">
        <v>3641</v>
      </c>
      <c r="J84" s="402" t="s">
        <v>2329</v>
      </c>
      <c r="K84" s="406" t="s">
        <v>3642</v>
      </c>
      <c r="L84" s="406" t="s">
        <v>3643</v>
      </c>
      <c r="M84" s="405" t="s">
        <v>3644</v>
      </c>
      <c r="N84" s="402" t="s">
        <v>2248</v>
      </c>
      <c r="O84" s="406" t="s">
        <v>3645</v>
      </c>
      <c r="P84" s="403" t="s">
        <v>1747</v>
      </c>
      <c r="Q84" s="402" t="s">
        <v>30</v>
      </c>
      <c r="R84" s="377" t="s">
        <v>2291</v>
      </c>
      <c r="S84" s="377" t="s">
        <v>2291</v>
      </c>
      <c r="T84" s="373">
        <v>0.5</v>
      </c>
      <c r="U84" s="550"/>
      <c r="V84" s="550"/>
      <c r="W84" s="550"/>
      <c r="X84" s="550"/>
      <c r="Y84" s="550"/>
      <c r="Z84" s="550"/>
      <c r="AA84" s="550"/>
      <c r="AB84" s="550"/>
      <c r="AC84" s="550"/>
      <c r="AD84" s="550"/>
      <c r="AE84" s="392"/>
      <c r="AF84" s="393"/>
      <c r="AG84" s="394"/>
      <c r="AH84" s="411"/>
      <c r="AI84" s="411"/>
      <c r="AJ84" s="392"/>
      <c r="AK84" s="393"/>
      <c r="AL84" s="394"/>
      <c r="AM84" s="411"/>
      <c r="AN84" s="411"/>
      <c r="AO84" s="392"/>
      <c r="AP84" s="393"/>
      <c r="AQ84" s="394"/>
      <c r="AR84" s="411"/>
      <c r="AS84" s="411"/>
      <c r="AT84" s="392"/>
      <c r="AU84" s="393"/>
      <c r="AV84" s="394"/>
      <c r="AW84" s="411"/>
      <c r="AX84" s="411"/>
      <c r="AY84" s="392"/>
      <c r="AZ84" s="393"/>
      <c r="BA84" s="394"/>
      <c r="BB84" s="411"/>
      <c r="BC84" s="489"/>
      <c r="BD84" s="392"/>
      <c r="BE84" s="393"/>
      <c r="BF84" s="394"/>
      <c r="BG84" s="411"/>
      <c r="BH84" s="489"/>
      <c r="BI84" s="392">
        <v>24</v>
      </c>
      <c r="BJ84" s="393">
        <v>39</v>
      </c>
      <c r="BK84" s="394">
        <f>BI84/BJ84</f>
        <v>0.61538461538461542</v>
      </c>
      <c r="BL84" s="395" t="s">
        <v>5019</v>
      </c>
      <c r="BM84" s="395" t="s">
        <v>5018</v>
      </c>
      <c r="BN84" s="393">
        <v>40</v>
      </c>
      <c r="BO84" s="393">
        <v>57</v>
      </c>
      <c r="BP84" s="394">
        <f>BN84/BO84</f>
        <v>0.70175438596491224</v>
      </c>
      <c r="BQ84" s="395" t="s">
        <v>5017</v>
      </c>
      <c r="BR84" s="411" t="s">
        <v>5016</v>
      </c>
      <c r="BS84" s="392">
        <v>39</v>
      </c>
      <c r="BT84" s="393">
        <v>56</v>
      </c>
      <c r="BU84" s="394">
        <f>BS84/BT84</f>
        <v>0.6964285714285714</v>
      </c>
      <c r="BV84" s="395" t="s">
        <v>5015</v>
      </c>
      <c r="BW84" s="411" t="s">
        <v>5014</v>
      </c>
      <c r="BX84" s="393">
        <v>31</v>
      </c>
      <c r="BY84" s="393">
        <v>31</v>
      </c>
      <c r="BZ84" s="394">
        <f>BX84/BY84</f>
        <v>1</v>
      </c>
      <c r="CA84" s="414" t="s">
        <v>5013</v>
      </c>
      <c r="CB84" s="837" t="s">
        <v>5012</v>
      </c>
      <c r="CC84" s="837" t="s">
        <v>5011</v>
      </c>
      <c r="CE84" s="521">
        <f>+BI84+BN84+BS84+BX84</f>
        <v>134</v>
      </c>
      <c r="CF84" s="521">
        <f>+BJ84+BO84+BT84+BY84</f>
        <v>183</v>
      </c>
      <c r="CG84" s="435">
        <f>+CE84/CF84</f>
        <v>0.73224043715846998</v>
      </c>
      <c r="CH84" s="435">
        <f>+CG84</f>
        <v>0.73224043715846998</v>
      </c>
      <c r="CI84" s="435">
        <f>+T84</f>
        <v>0.5</v>
      </c>
      <c r="CJ84" s="435">
        <f>+CH84/CI84</f>
        <v>1.46448087431694</v>
      </c>
      <c r="CK84" s="388"/>
    </row>
    <row r="85" spans="1:89" s="401" customFormat="1" ht="240" x14ac:dyDescent="0.25">
      <c r="B85" s="402" t="s">
        <v>221</v>
      </c>
      <c r="C85" s="441" t="s">
        <v>188</v>
      </c>
      <c r="D85" s="406" t="s">
        <v>2462</v>
      </c>
      <c r="E85" s="850" t="s">
        <v>3646</v>
      </c>
      <c r="F85" s="404" t="s">
        <v>3647</v>
      </c>
      <c r="G85" s="406" t="s">
        <v>3648</v>
      </c>
      <c r="H85" s="406" t="s">
        <v>3649</v>
      </c>
      <c r="I85" s="406" t="s">
        <v>3650</v>
      </c>
      <c r="J85" s="403" t="s">
        <v>2244</v>
      </c>
      <c r="K85" s="552" t="s">
        <v>3651</v>
      </c>
      <c r="L85" s="406" t="s">
        <v>3652</v>
      </c>
      <c r="M85" s="406" t="s">
        <v>3653</v>
      </c>
      <c r="N85" s="402" t="s">
        <v>2248</v>
      </c>
      <c r="O85" s="406" t="s">
        <v>3654</v>
      </c>
      <c r="P85" s="403" t="s">
        <v>1777</v>
      </c>
      <c r="Q85" s="402" t="s">
        <v>30</v>
      </c>
      <c r="R85" s="394">
        <v>0.95</v>
      </c>
      <c r="S85" s="553" t="s">
        <v>2248</v>
      </c>
      <c r="T85" s="377">
        <v>0.98</v>
      </c>
      <c r="U85" s="393"/>
      <c r="V85" s="393"/>
      <c r="W85" s="394"/>
      <c r="X85" s="410" t="s">
        <v>5010</v>
      </c>
      <c r="Y85" s="460" t="s">
        <v>3239</v>
      </c>
      <c r="Z85" s="393"/>
      <c r="AA85" s="393"/>
      <c r="AB85" s="554"/>
      <c r="AC85" s="410" t="s">
        <v>5009</v>
      </c>
      <c r="AD85" s="460" t="s">
        <v>3239</v>
      </c>
      <c r="AE85" s="392">
        <v>49</v>
      </c>
      <c r="AF85" s="393">
        <v>53</v>
      </c>
      <c r="AG85" s="394">
        <f>AE85/AF85</f>
        <v>0.92452830188679247</v>
      </c>
      <c r="AH85" s="395" t="s">
        <v>3655</v>
      </c>
      <c r="AI85" s="487" t="s">
        <v>3656</v>
      </c>
      <c r="AJ85" s="393"/>
      <c r="AK85" s="393"/>
      <c r="AL85" s="394"/>
      <c r="AM85" s="395" t="s">
        <v>3657</v>
      </c>
      <c r="AN85" s="460" t="s">
        <v>3244</v>
      </c>
      <c r="AO85" s="393"/>
      <c r="AP85" s="393"/>
      <c r="AQ85" s="394"/>
      <c r="AR85" s="395" t="s">
        <v>5008</v>
      </c>
      <c r="AS85" s="460" t="s">
        <v>2627</v>
      </c>
      <c r="AT85" s="393">
        <v>113</v>
      </c>
      <c r="AU85" s="393">
        <v>122</v>
      </c>
      <c r="AV85" s="394">
        <f>AT85/AU85</f>
        <v>0.92622950819672134</v>
      </c>
      <c r="AW85" s="395" t="s">
        <v>3658</v>
      </c>
      <c r="AX85" s="460" t="s">
        <v>3659</v>
      </c>
      <c r="AY85" s="393"/>
      <c r="AZ85" s="394"/>
      <c r="BA85" s="394"/>
      <c r="BB85" s="395" t="s">
        <v>3660</v>
      </c>
      <c r="BC85" s="395" t="s">
        <v>3661</v>
      </c>
      <c r="BD85" s="393"/>
      <c r="BE85" s="393"/>
      <c r="BF85" s="394"/>
      <c r="BG85" s="395" t="s">
        <v>3662</v>
      </c>
      <c r="BH85" s="395" t="s">
        <v>3250</v>
      </c>
      <c r="BI85" s="555">
        <v>139</v>
      </c>
      <c r="BJ85" s="393">
        <v>159</v>
      </c>
      <c r="BK85" s="394">
        <f>BI85/BJ85</f>
        <v>0.87421383647798745</v>
      </c>
      <c r="BL85" s="378" t="s">
        <v>3663</v>
      </c>
      <c r="BM85" s="378" t="s">
        <v>3664</v>
      </c>
      <c r="BN85" s="393"/>
      <c r="BO85" s="393"/>
      <c r="BP85" s="394"/>
      <c r="BQ85" s="378" t="s">
        <v>5007</v>
      </c>
      <c r="BR85" s="378" t="s">
        <v>4988</v>
      </c>
      <c r="BS85" s="392"/>
      <c r="BT85" s="393"/>
      <c r="BU85" s="394"/>
      <c r="BV85" s="378" t="s">
        <v>5006</v>
      </c>
      <c r="BW85" s="378" t="s">
        <v>4986</v>
      </c>
      <c r="BX85" s="393">
        <v>172</v>
      </c>
      <c r="BY85" s="393">
        <v>202</v>
      </c>
      <c r="BZ85" s="394">
        <v>0.85140000000000005</v>
      </c>
      <c r="CA85" s="378" t="s">
        <v>5005</v>
      </c>
      <c r="CB85" s="837" t="s">
        <v>5004</v>
      </c>
      <c r="CC85" s="378" t="s">
        <v>5003</v>
      </c>
      <c r="CE85" s="415">
        <v>172</v>
      </c>
      <c r="CF85" s="415">
        <v>202</v>
      </c>
      <c r="CG85" s="416">
        <f>+CE85/CF85</f>
        <v>0.85148514851485146</v>
      </c>
      <c r="CH85" s="416">
        <f>+CG85</f>
        <v>0.85148514851485146</v>
      </c>
      <c r="CI85" s="416">
        <f>+T85</f>
        <v>0.98</v>
      </c>
      <c r="CJ85" s="416">
        <f>+CH85/CI85</f>
        <v>0.86886239644372598</v>
      </c>
      <c r="CK85" s="415"/>
    </row>
    <row r="86" spans="1:89" s="389" customFormat="1" ht="324" x14ac:dyDescent="0.25">
      <c r="B86" s="369" t="s">
        <v>221</v>
      </c>
      <c r="C86" s="369" t="s">
        <v>3665</v>
      </c>
      <c r="D86" s="372" t="s">
        <v>2462</v>
      </c>
      <c r="E86" s="370" t="s">
        <v>3666</v>
      </c>
      <c r="F86" s="371" t="s">
        <v>3647</v>
      </c>
      <c r="G86" s="372" t="s">
        <v>3667</v>
      </c>
      <c r="H86" s="406" t="s">
        <v>3668</v>
      </c>
      <c r="I86" s="406" t="s">
        <v>3669</v>
      </c>
      <c r="J86" s="403" t="s">
        <v>2244</v>
      </c>
      <c r="K86" s="406" t="s">
        <v>3670</v>
      </c>
      <c r="L86" s="406" t="s">
        <v>3671</v>
      </c>
      <c r="M86" s="406" t="s">
        <v>3672</v>
      </c>
      <c r="N86" s="369" t="s">
        <v>2248</v>
      </c>
      <c r="O86" s="372" t="s">
        <v>3673</v>
      </c>
      <c r="P86" s="370" t="s">
        <v>1777</v>
      </c>
      <c r="Q86" s="402" t="s">
        <v>30</v>
      </c>
      <c r="R86" s="394">
        <v>0.59</v>
      </c>
      <c r="S86" s="553" t="s">
        <v>2248</v>
      </c>
      <c r="T86" s="373">
        <v>0.7</v>
      </c>
      <c r="U86" s="393"/>
      <c r="V86" s="393"/>
      <c r="W86" s="394"/>
      <c r="X86" s="395" t="s">
        <v>3674</v>
      </c>
      <c r="Y86" s="460" t="s">
        <v>3239</v>
      </c>
      <c r="Z86" s="393"/>
      <c r="AA86" s="393"/>
      <c r="AB86" s="394"/>
      <c r="AC86" s="395" t="s">
        <v>3675</v>
      </c>
      <c r="AD86" s="460" t="s">
        <v>3239</v>
      </c>
      <c r="AE86" s="393">
        <v>2</v>
      </c>
      <c r="AF86" s="393">
        <v>4</v>
      </c>
      <c r="AG86" s="394">
        <f>AE86/AF86</f>
        <v>0.5</v>
      </c>
      <c r="AH86" s="395" t="s">
        <v>3676</v>
      </c>
      <c r="AI86" s="487" t="s">
        <v>3656</v>
      </c>
      <c r="AJ86" s="393"/>
      <c r="AK86" s="393"/>
      <c r="AL86" s="394"/>
      <c r="AM86" s="395" t="s">
        <v>3677</v>
      </c>
      <c r="AN86" s="460" t="s">
        <v>3244</v>
      </c>
      <c r="AO86" s="393"/>
      <c r="AP86" s="393"/>
      <c r="AQ86" s="394"/>
      <c r="AR86" s="395" t="s">
        <v>3678</v>
      </c>
      <c r="AS86" s="460" t="s">
        <v>3679</v>
      </c>
      <c r="AT86" s="393">
        <v>14</v>
      </c>
      <c r="AU86" s="393">
        <v>17</v>
      </c>
      <c r="AV86" s="394">
        <f>AT86/AU86</f>
        <v>0.82352941176470584</v>
      </c>
      <c r="AW86" s="395" t="s">
        <v>3680</v>
      </c>
      <c r="AX86" s="460" t="s">
        <v>3681</v>
      </c>
      <c r="AY86" s="393"/>
      <c r="AZ86" s="394"/>
      <c r="BA86" s="394"/>
      <c r="BB86" s="395" t="s">
        <v>3682</v>
      </c>
      <c r="BC86" s="395" t="s">
        <v>3661</v>
      </c>
      <c r="BD86" s="393"/>
      <c r="BE86" s="393"/>
      <c r="BF86" s="394"/>
      <c r="BG86" s="395" t="s">
        <v>3683</v>
      </c>
      <c r="BH86" s="395" t="s">
        <v>3250</v>
      </c>
      <c r="BI86" s="555">
        <v>14</v>
      </c>
      <c r="BJ86" s="393">
        <v>17</v>
      </c>
      <c r="BK86" s="394">
        <f>BI86/BJ86</f>
        <v>0.82352941176470584</v>
      </c>
      <c r="BL86" s="396" t="s">
        <v>3684</v>
      </c>
      <c r="BM86" s="378" t="s">
        <v>3685</v>
      </c>
      <c r="BN86" s="393"/>
      <c r="BO86" s="393"/>
      <c r="BP86" s="394"/>
      <c r="BQ86" s="378" t="s">
        <v>5002</v>
      </c>
      <c r="BR86" s="378" t="s">
        <v>4988</v>
      </c>
      <c r="BS86" s="392"/>
      <c r="BT86" s="393"/>
      <c r="BU86" s="394"/>
      <c r="BV86" s="378" t="s">
        <v>5001</v>
      </c>
      <c r="BW86" s="378" t="s">
        <v>4986</v>
      </c>
      <c r="BX86" s="393">
        <v>18</v>
      </c>
      <c r="BY86" s="393">
        <v>28</v>
      </c>
      <c r="BZ86" s="394">
        <v>0.64280000000000004</v>
      </c>
      <c r="CA86" s="378" t="s">
        <v>5000</v>
      </c>
      <c r="CB86" s="378" t="s">
        <v>4999</v>
      </c>
      <c r="CC86" s="378" t="s">
        <v>4998</v>
      </c>
      <c r="CE86" s="388">
        <v>18</v>
      </c>
      <c r="CF86" s="388">
        <v>28</v>
      </c>
      <c r="CG86" s="435">
        <f>+CE86/CF86</f>
        <v>0.6428571428571429</v>
      </c>
      <c r="CH86" s="435">
        <f>+CG86</f>
        <v>0.6428571428571429</v>
      </c>
      <c r="CI86" s="435">
        <f>+T86</f>
        <v>0.7</v>
      </c>
      <c r="CJ86" s="435">
        <f>+CH86/CI86</f>
        <v>0.91836734693877564</v>
      </c>
      <c r="CK86" s="388"/>
    </row>
    <row r="87" spans="1:89" s="389" customFormat="1" ht="270.75" customHeight="1" x14ac:dyDescent="0.25">
      <c r="B87" s="369" t="s">
        <v>221</v>
      </c>
      <c r="C87" s="442" t="s">
        <v>188</v>
      </c>
      <c r="D87" s="372" t="s">
        <v>2485</v>
      </c>
      <c r="E87" s="551" t="s">
        <v>3686</v>
      </c>
      <c r="F87" s="371" t="s">
        <v>3647</v>
      </c>
      <c r="G87" s="372" t="s">
        <v>3687</v>
      </c>
      <c r="H87" s="406" t="s">
        <v>3688</v>
      </c>
      <c r="I87" s="406" t="s">
        <v>3689</v>
      </c>
      <c r="J87" s="403" t="s">
        <v>2244</v>
      </c>
      <c r="K87" s="552" t="s">
        <v>3690</v>
      </c>
      <c r="L87" s="406" t="s">
        <v>3691</v>
      </c>
      <c r="M87" s="406" t="s">
        <v>3692</v>
      </c>
      <c r="N87" s="369" t="s">
        <v>2248</v>
      </c>
      <c r="O87" s="372" t="s">
        <v>3693</v>
      </c>
      <c r="P87" s="370" t="s">
        <v>2366</v>
      </c>
      <c r="Q87" s="402" t="s">
        <v>60</v>
      </c>
      <c r="R87" s="394">
        <v>0.6</v>
      </c>
      <c r="S87" s="553" t="s">
        <v>2248</v>
      </c>
      <c r="T87" s="373">
        <v>0.6</v>
      </c>
      <c r="U87" s="393"/>
      <c r="V87" s="393"/>
      <c r="W87" s="394"/>
      <c r="X87" s="556" t="s">
        <v>3694</v>
      </c>
      <c r="Y87" s="460" t="s">
        <v>3239</v>
      </c>
      <c r="Z87" s="393"/>
      <c r="AA87" s="393"/>
      <c r="AB87" s="394"/>
      <c r="AC87" s="395" t="s">
        <v>3695</v>
      </c>
      <c r="AD87" s="460" t="s">
        <v>3239</v>
      </c>
      <c r="AE87" s="395"/>
      <c r="AF87" s="393"/>
      <c r="AG87" s="394"/>
      <c r="AH87" s="395" t="s">
        <v>3696</v>
      </c>
      <c r="AI87" s="460" t="s">
        <v>3697</v>
      </c>
      <c r="AJ87" s="393"/>
      <c r="AK87" s="393"/>
      <c r="AL87" s="394"/>
      <c r="AM87" s="395" t="s">
        <v>3698</v>
      </c>
      <c r="AN87" s="460" t="s">
        <v>3244</v>
      </c>
      <c r="AO87" s="393"/>
      <c r="AP87" s="393"/>
      <c r="AQ87" s="394"/>
      <c r="AR87" s="395" t="s">
        <v>3699</v>
      </c>
      <c r="AS87" s="460" t="s">
        <v>2627</v>
      </c>
      <c r="AT87" s="393">
        <v>261</v>
      </c>
      <c r="AU87" s="393">
        <v>873</v>
      </c>
      <c r="AV87" s="394">
        <f>AT87/AU87</f>
        <v>0.29896907216494845</v>
      </c>
      <c r="AW87" s="395" t="s">
        <v>3700</v>
      </c>
      <c r="AX87" s="460" t="s">
        <v>3701</v>
      </c>
      <c r="AY87" s="392"/>
      <c r="AZ87" s="393"/>
      <c r="BA87" s="394"/>
      <c r="BB87" s="395" t="s">
        <v>3702</v>
      </c>
      <c r="BC87" s="395" t="s">
        <v>3661</v>
      </c>
      <c r="BD87" s="393"/>
      <c r="BE87" s="393"/>
      <c r="BF87" s="394"/>
      <c r="BG87" s="395" t="s">
        <v>3703</v>
      </c>
      <c r="BH87" s="395" t="s">
        <v>3250</v>
      </c>
      <c r="BI87" s="395"/>
      <c r="BJ87" s="393"/>
      <c r="BK87" s="394"/>
      <c r="BL87" s="396" t="s">
        <v>3704</v>
      </c>
      <c r="BM87" s="378" t="s">
        <v>3664</v>
      </c>
      <c r="BN87" s="393"/>
      <c r="BO87" s="393"/>
      <c r="BP87" s="394"/>
      <c r="BQ87" s="378" t="s">
        <v>4997</v>
      </c>
      <c r="BR87" s="378" t="s">
        <v>4988</v>
      </c>
      <c r="BS87" s="392"/>
      <c r="BT87" s="393"/>
      <c r="BU87" s="394"/>
      <c r="BV87" s="378" t="s">
        <v>4996</v>
      </c>
      <c r="BW87" s="378" t="s">
        <v>4986</v>
      </c>
      <c r="BX87" s="393">
        <v>497</v>
      </c>
      <c r="BY87" s="393">
        <v>1673</v>
      </c>
      <c r="BZ87" s="394">
        <v>0.29699999999999999</v>
      </c>
      <c r="CA87" s="378" t="s">
        <v>4995</v>
      </c>
      <c r="CB87" s="378" t="s">
        <v>4984</v>
      </c>
      <c r="CC87" s="378" t="s">
        <v>4994</v>
      </c>
      <c r="CE87" s="557">
        <v>497</v>
      </c>
      <c r="CF87" s="557">
        <v>1673</v>
      </c>
      <c r="CG87" s="435">
        <f>CE87/CF87</f>
        <v>0.29707112970711297</v>
      </c>
      <c r="CH87" s="435">
        <f>+CG87</f>
        <v>0.29707112970711297</v>
      </c>
      <c r="CI87" s="435">
        <f>+T87</f>
        <v>0.6</v>
      </c>
      <c r="CJ87" s="435">
        <f>+CH87/CI87</f>
        <v>0.49511854951185497</v>
      </c>
      <c r="CK87" s="388"/>
    </row>
    <row r="88" spans="1:89" s="389" customFormat="1" ht="216" x14ac:dyDescent="0.25">
      <c r="B88" s="369" t="s">
        <v>221</v>
      </c>
      <c r="C88" s="442" t="s">
        <v>188</v>
      </c>
      <c r="D88" s="372" t="s">
        <v>2462</v>
      </c>
      <c r="E88" s="551" t="s">
        <v>3705</v>
      </c>
      <c r="F88" s="371" t="s">
        <v>3647</v>
      </c>
      <c r="G88" s="372" t="s">
        <v>3706</v>
      </c>
      <c r="H88" s="406" t="s">
        <v>3707</v>
      </c>
      <c r="I88" s="406" t="s">
        <v>3708</v>
      </c>
      <c r="J88" s="403" t="s">
        <v>2244</v>
      </c>
      <c r="K88" s="406" t="s">
        <v>3709</v>
      </c>
      <c r="L88" s="406" t="s">
        <v>3710</v>
      </c>
      <c r="M88" s="552" t="s">
        <v>3711</v>
      </c>
      <c r="N88" s="369" t="s">
        <v>2248</v>
      </c>
      <c r="O88" s="372" t="s">
        <v>3712</v>
      </c>
      <c r="P88" s="370" t="s">
        <v>1756</v>
      </c>
      <c r="Q88" s="553" t="s">
        <v>60</v>
      </c>
      <c r="R88" s="394">
        <v>0.35</v>
      </c>
      <c r="S88" s="553" t="s">
        <v>2248</v>
      </c>
      <c r="T88" s="377">
        <v>0.55000000000000004</v>
      </c>
      <c r="U88" s="393"/>
      <c r="V88" s="393"/>
      <c r="W88" s="394"/>
      <c r="X88" s="379" t="s">
        <v>3713</v>
      </c>
      <c r="Y88" s="460" t="s">
        <v>3239</v>
      </c>
      <c r="Z88" s="393"/>
      <c r="AA88" s="393"/>
      <c r="AB88" s="394"/>
      <c r="AC88" s="395" t="s">
        <v>3714</v>
      </c>
      <c r="AD88" s="460" t="s">
        <v>3239</v>
      </c>
      <c r="AE88" s="395"/>
      <c r="AF88" s="395"/>
      <c r="AG88" s="394"/>
      <c r="AH88" s="395" t="s">
        <v>3715</v>
      </c>
      <c r="AI88" s="460" t="s">
        <v>3697</v>
      </c>
      <c r="AJ88" s="393"/>
      <c r="AK88" s="393"/>
      <c r="AL88" s="394"/>
      <c r="AM88" s="395" t="s">
        <v>3716</v>
      </c>
      <c r="AN88" s="460" t="s">
        <v>3244</v>
      </c>
      <c r="AO88" s="393"/>
      <c r="AP88" s="393"/>
      <c r="AQ88" s="394"/>
      <c r="AR88" s="395" t="s">
        <v>3717</v>
      </c>
      <c r="AS88" s="460" t="s">
        <v>2627</v>
      </c>
      <c r="AT88" s="393"/>
      <c r="AU88" s="393"/>
      <c r="AV88" s="394"/>
      <c r="AW88" s="395" t="s">
        <v>3718</v>
      </c>
      <c r="AX88" s="460" t="s">
        <v>3659</v>
      </c>
      <c r="AY88" s="392"/>
      <c r="AZ88" s="393"/>
      <c r="BA88" s="394"/>
      <c r="BB88" s="395" t="s">
        <v>3719</v>
      </c>
      <c r="BC88" s="395" t="s">
        <v>3661</v>
      </c>
      <c r="BD88" s="393"/>
      <c r="BE88" s="393"/>
      <c r="BF88" s="394"/>
      <c r="BG88" s="395" t="s">
        <v>3720</v>
      </c>
      <c r="BH88" s="395" t="s">
        <v>3250</v>
      </c>
      <c r="BI88" s="558"/>
      <c r="BJ88" s="558"/>
      <c r="BK88" s="394"/>
      <c r="BL88" s="396" t="s">
        <v>3721</v>
      </c>
      <c r="BM88" s="378" t="s">
        <v>3664</v>
      </c>
      <c r="BN88" s="393"/>
      <c r="BO88" s="393"/>
      <c r="BP88" s="394"/>
      <c r="BQ88" s="378" t="s">
        <v>4993</v>
      </c>
      <c r="BR88" s="378" t="s">
        <v>4988</v>
      </c>
      <c r="BS88" s="392"/>
      <c r="BT88" s="393"/>
      <c r="BU88" s="394"/>
      <c r="BV88" s="378" t="s">
        <v>4992</v>
      </c>
      <c r="BW88" s="378" t="s">
        <v>4986</v>
      </c>
      <c r="BX88" s="393">
        <v>10</v>
      </c>
      <c r="BY88" s="393">
        <v>12</v>
      </c>
      <c r="BZ88" s="394">
        <v>0.83330000000000004</v>
      </c>
      <c r="CA88" s="378" t="s">
        <v>4991</v>
      </c>
      <c r="CB88" s="378" t="s">
        <v>4984</v>
      </c>
      <c r="CC88" s="378" t="s">
        <v>4990</v>
      </c>
      <c r="CE88" s="388">
        <v>10</v>
      </c>
      <c r="CF88" s="388">
        <v>12</v>
      </c>
      <c r="CG88" s="466">
        <f>CE88/CF88</f>
        <v>0.83333333333333337</v>
      </c>
      <c r="CH88" s="435">
        <f>+CG88</f>
        <v>0.83333333333333337</v>
      </c>
      <c r="CI88" s="435">
        <f>+T88</f>
        <v>0.55000000000000004</v>
      </c>
      <c r="CJ88" s="435">
        <f>+CH88/CI88</f>
        <v>1.5151515151515151</v>
      </c>
      <c r="CK88" s="388"/>
    </row>
    <row r="89" spans="1:89" s="389" customFormat="1" ht="201" customHeight="1" x14ac:dyDescent="0.25">
      <c r="B89" s="369" t="s">
        <v>3722</v>
      </c>
      <c r="C89" s="369" t="s">
        <v>3665</v>
      </c>
      <c r="D89" s="372" t="s">
        <v>2462</v>
      </c>
      <c r="E89" s="370" t="s">
        <v>3723</v>
      </c>
      <c r="F89" s="371" t="s">
        <v>3647</v>
      </c>
      <c r="G89" s="372" t="s">
        <v>3724</v>
      </c>
      <c r="H89" s="406" t="s">
        <v>3725</v>
      </c>
      <c r="I89" s="406" t="s">
        <v>3726</v>
      </c>
      <c r="J89" s="403" t="s">
        <v>2271</v>
      </c>
      <c r="K89" s="552" t="s">
        <v>3727</v>
      </c>
      <c r="L89" s="406" t="s">
        <v>3728</v>
      </c>
      <c r="M89" s="406" t="s">
        <v>3729</v>
      </c>
      <c r="N89" s="369" t="s">
        <v>2248</v>
      </c>
      <c r="O89" s="406" t="s">
        <v>3730</v>
      </c>
      <c r="P89" s="370" t="s">
        <v>1756</v>
      </c>
      <c r="Q89" s="553" t="s">
        <v>60</v>
      </c>
      <c r="R89" s="394">
        <v>0.36</v>
      </c>
      <c r="S89" s="553" t="s">
        <v>2248</v>
      </c>
      <c r="T89" s="377">
        <v>0.55000000000000004</v>
      </c>
      <c r="U89" s="393"/>
      <c r="V89" s="393"/>
      <c r="W89" s="394"/>
      <c r="X89" s="379" t="s">
        <v>3731</v>
      </c>
      <c r="Y89" s="460" t="s">
        <v>3239</v>
      </c>
      <c r="Z89" s="393"/>
      <c r="AA89" s="393"/>
      <c r="AB89" s="394"/>
      <c r="AC89" s="395" t="s">
        <v>3732</v>
      </c>
      <c r="AD89" s="460" t="s">
        <v>3239</v>
      </c>
      <c r="AE89" s="395"/>
      <c r="AF89" s="393"/>
      <c r="AG89" s="394"/>
      <c r="AH89" s="395" t="s">
        <v>3733</v>
      </c>
      <c r="AI89" s="460" t="s">
        <v>3697</v>
      </c>
      <c r="AJ89" s="393"/>
      <c r="AK89" s="393"/>
      <c r="AL89" s="394"/>
      <c r="AM89" s="395" t="s">
        <v>3734</v>
      </c>
      <c r="AN89" s="460" t="s">
        <v>3244</v>
      </c>
      <c r="AO89" s="393"/>
      <c r="AP89" s="393"/>
      <c r="AQ89" s="394"/>
      <c r="AR89" s="395" t="s">
        <v>3735</v>
      </c>
      <c r="AS89" s="460" t="s">
        <v>2627</v>
      </c>
      <c r="AT89" s="393"/>
      <c r="AU89" s="393"/>
      <c r="AV89" s="394"/>
      <c r="AW89" s="395" t="s">
        <v>3736</v>
      </c>
      <c r="AX89" s="460" t="s">
        <v>3659</v>
      </c>
      <c r="AY89" s="392"/>
      <c r="AZ89" s="393"/>
      <c r="BA89" s="394"/>
      <c r="BB89" s="395" t="s">
        <v>3737</v>
      </c>
      <c r="BC89" s="395" t="s">
        <v>3661</v>
      </c>
      <c r="BD89" s="393"/>
      <c r="BE89" s="393"/>
      <c r="BF89" s="394"/>
      <c r="BG89" s="395" t="s">
        <v>3738</v>
      </c>
      <c r="BH89" s="395" t="s">
        <v>3250</v>
      </c>
      <c r="BI89" s="393"/>
      <c r="BJ89" s="393"/>
      <c r="BK89" s="394"/>
      <c r="BL89" s="396" t="s">
        <v>3739</v>
      </c>
      <c r="BM89" s="378" t="s">
        <v>3664</v>
      </c>
      <c r="BN89" s="393"/>
      <c r="BO89" s="393"/>
      <c r="BP89" s="394"/>
      <c r="BQ89" s="378" t="s">
        <v>4989</v>
      </c>
      <c r="BR89" s="378" t="s">
        <v>4988</v>
      </c>
      <c r="BS89" s="392"/>
      <c r="BT89" s="393"/>
      <c r="BU89" s="394"/>
      <c r="BV89" s="378" t="s">
        <v>4987</v>
      </c>
      <c r="BW89" s="378" t="s">
        <v>4986</v>
      </c>
      <c r="BX89" s="393">
        <v>258</v>
      </c>
      <c r="BY89" s="393">
        <v>388</v>
      </c>
      <c r="BZ89" s="394">
        <v>0.66490000000000005</v>
      </c>
      <c r="CA89" s="378" t="s">
        <v>4985</v>
      </c>
      <c r="CB89" s="378" t="s">
        <v>4984</v>
      </c>
      <c r="CC89" s="378" t="s">
        <v>4983</v>
      </c>
      <c r="CE89" s="388">
        <v>258</v>
      </c>
      <c r="CF89" s="388">
        <v>388</v>
      </c>
      <c r="CG89" s="435">
        <f>CE89/CF89</f>
        <v>0.66494845360824739</v>
      </c>
      <c r="CH89" s="435">
        <f>+CG89</f>
        <v>0.66494845360824739</v>
      </c>
      <c r="CI89" s="435">
        <f>+T89</f>
        <v>0.55000000000000004</v>
      </c>
      <c r="CJ89" s="435">
        <f>+CH89/CI89</f>
        <v>1.2089971883786315</v>
      </c>
      <c r="CK89" s="388"/>
    </row>
    <row r="90" spans="1:89" s="389" customFormat="1" ht="405" x14ac:dyDescent="0.25">
      <c r="B90" s="369" t="s">
        <v>221</v>
      </c>
      <c r="C90" s="369" t="s">
        <v>196</v>
      </c>
      <c r="D90" s="369" t="s">
        <v>2485</v>
      </c>
      <c r="E90" s="370" t="s">
        <v>3740</v>
      </c>
      <c r="F90" s="371" t="s">
        <v>3629</v>
      </c>
      <c r="G90" s="372" t="s">
        <v>3741</v>
      </c>
      <c r="H90" s="372" t="s">
        <v>3742</v>
      </c>
      <c r="I90" s="372" t="s">
        <v>3743</v>
      </c>
      <c r="J90" s="370" t="s">
        <v>2329</v>
      </c>
      <c r="K90" s="372" t="s">
        <v>3744</v>
      </c>
      <c r="L90" s="372" t="s">
        <v>3745</v>
      </c>
      <c r="M90" s="372" t="s">
        <v>3746</v>
      </c>
      <c r="N90" s="369" t="s">
        <v>2248</v>
      </c>
      <c r="O90" s="372" t="s">
        <v>3747</v>
      </c>
      <c r="P90" s="370" t="s">
        <v>1777</v>
      </c>
      <c r="Q90" s="438" t="s">
        <v>30</v>
      </c>
      <c r="R90" s="373">
        <v>1</v>
      </c>
      <c r="S90" s="369" t="s">
        <v>2248</v>
      </c>
      <c r="T90" s="373">
        <v>1</v>
      </c>
      <c r="U90" s="393"/>
      <c r="V90" s="393"/>
      <c r="W90" s="394"/>
      <c r="X90" s="395" t="s">
        <v>3748</v>
      </c>
      <c r="Y90" s="559" t="s">
        <v>4982</v>
      </c>
      <c r="Z90" s="393"/>
      <c r="AA90" s="393"/>
      <c r="AB90" s="394"/>
      <c r="AC90" s="396" t="s">
        <v>3749</v>
      </c>
      <c r="AD90" s="505" t="s">
        <v>3750</v>
      </c>
      <c r="AE90" s="392">
        <v>9</v>
      </c>
      <c r="AF90" s="393">
        <v>9</v>
      </c>
      <c r="AG90" s="394">
        <f>+AF90/AE90</f>
        <v>1</v>
      </c>
      <c r="AH90" s="396" t="s">
        <v>3751</v>
      </c>
      <c r="AI90" s="410" t="s">
        <v>3752</v>
      </c>
      <c r="AJ90" s="393"/>
      <c r="AK90" s="393"/>
      <c r="AL90" s="394"/>
      <c r="AM90" s="378" t="s">
        <v>3753</v>
      </c>
      <c r="AN90" s="560" t="s">
        <v>3754</v>
      </c>
      <c r="AO90" s="392"/>
      <c r="AP90" s="393"/>
      <c r="AQ90" s="394"/>
      <c r="AR90" s="396" t="s">
        <v>4981</v>
      </c>
      <c r="AS90" s="560" t="s">
        <v>3755</v>
      </c>
      <c r="AT90" s="427">
        <v>15</v>
      </c>
      <c r="AU90" s="427">
        <v>15</v>
      </c>
      <c r="AV90" s="373">
        <v>1</v>
      </c>
      <c r="AW90" s="426" t="s">
        <v>3756</v>
      </c>
      <c r="AX90" s="561" t="s">
        <v>3757</v>
      </c>
      <c r="AY90" s="392"/>
      <c r="AZ90" s="393"/>
      <c r="BA90" s="394"/>
      <c r="BB90" s="562" t="s">
        <v>3758</v>
      </c>
      <c r="BC90" s="465" t="s">
        <v>3759</v>
      </c>
      <c r="BD90" s="393"/>
      <c r="BE90" s="393"/>
      <c r="BF90" s="394"/>
      <c r="BG90" s="563" t="s">
        <v>3760</v>
      </c>
      <c r="BH90" s="396"/>
      <c r="BI90" s="392">
        <v>13</v>
      </c>
      <c r="BJ90" s="393">
        <v>13</v>
      </c>
      <c r="BK90" s="394">
        <f>+BI90/BJ90</f>
        <v>1</v>
      </c>
      <c r="BL90" s="564" t="s">
        <v>4980</v>
      </c>
      <c r="BM90" s="396" t="s">
        <v>3761</v>
      </c>
      <c r="BN90" s="393"/>
      <c r="BO90" s="393"/>
      <c r="BP90" s="394"/>
      <c r="BQ90" s="564" t="s">
        <v>4979</v>
      </c>
      <c r="BR90" s="396"/>
      <c r="BS90" s="392"/>
      <c r="BT90" s="393"/>
      <c r="BU90" s="394"/>
      <c r="BV90" s="564" t="s">
        <v>4978</v>
      </c>
      <c r="BW90" s="396" t="s">
        <v>4977</v>
      </c>
      <c r="BX90" s="393">
        <v>14</v>
      </c>
      <c r="BY90" s="393">
        <v>14</v>
      </c>
      <c r="BZ90" s="394">
        <f>BX90/BY90</f>
        <v>1</v>
      </c>
      <c r="CA90" s="396" t="s">
        <v>4976</v>
      </c>
      <c r="CB90" s="396" t="s">
        <v>4975</v>
      </c>
      <c r="CC90" s="837" t="s">
        <v>4974</v>
      </c>
      <c r="CE90" s="388">
        <f>BX90+BI90+AT90+AE90</f>
        <v>51</v>
      </c>
      <c r="CF90" s="388">
        <f>BY90+BJ90+AU90+AF90</f>
        <v>51</v>
      </c>
      <c r="CG90" s="435">
        <f>+CE90/CF90</f>
        <v>1</v>
      </c>
      <c r="CH90" s="435">
        <f>+CG90</f>
        <v>1</v>
      </c>
      <c r="CI90" s="435">
        <f>T90</f>
        <v>1</v>
      </c>
      <c r="CJ90" s="435">
        <f>+CH90/CI90</f>
        <v>1</v>
      </c>
      <c r="CK90" s="388"/>
    </row>
    <row r="91" spans="1:89" s="834" customFormat="1" ht="240" x14ac:dyDescent="0.2">
      <c r="A91" s="525"/>
      <c r="B91" s="526" t="s">
        <v>221</v>
      </c>
      <c r="C91" s="526" t="s">
        <v>204</v>
      </c>
      <c r="D91" s="526" t="s">
        <v>2462</v>
      </c>
      <c r="E91" s="526" t="s">
        <v>3762</v>
      </c>
      <c r="F91" s="565" t="s">
        <v>3763</v>
      </c>
      <c r="G91" s="527" t="s">
        <v>3764</v>
      </c>
      <c r="H91" s="527" t="s">
        <v>3765</v>
      </c>
      <c r="I91" s="527" t="s">
        <v>3766</v>
      </c>
      <c r="J91" s="532" t="s">
        <v>2329</v>
      </c>
      <c r="K91" s="527" t="s">
        <v>3767</v>
      </c>
      <c r="L91" s="527" t="s">
        <v>3768</v>
      </c>
      <c r="M91" s="527" t="s">
        <v>3769</v>
      </c>
      <c r="N91" s="526" t="s">
        <v>2248</v>
      </c>
      <c r="O91" s="527" t="s">
        <v>3770</v>
      </c>
      <c r="P91" s="532" t="s">
        <v>1777</v>
      </c>
      <c r="Q91" s="526" t="s">
        <v>30</v>
      </c>
      <c r="R91" s="374">
        <v>1</v>
      </c>
      <c r="S91" s="526" t="s">
        <v>2248</v>
      </c>
      <c r="T91" s="374">
        <v>0.98</v>
      </c>
      <c r="U91" s="380"/>
      <c r="V91" s="380"/>
      <c r="W91" s="377"/>
      <c r="X91" s="835" t="s">
        <v>3771</v>
      </c>
      <c r="Y91" s="390" t="s">
        <v>3772</v>
      </c>
      <c r="Z91" s="380"/>
      <c r="AA91" s="380"/>
      <c r="AB91" s="377"/>
      <c r="AC91" s="835" t="s">
        <v>3773</v>
      </c>
      <c r="AD91" s="390" t="s">
        <v>3774</v>
      </c>
      <c r="AE91" s="380">
        <v>91572</v>
      </c>
      <c r="AF91" s="376">
        <v>97508</v>
      </c>
      <c r="AG91" s="377">
        <f>AE91/AF91</f>
        <v>0.93912294375846084</v>
      </c>
      <c r="AH91" s="835" t="s">
        <v>3775</v>
      </c>
      <c r="AI91" s="835" t="s">
        <v>4973</v>
      </c>
      <c r="AJ91" s="839"/>
      <c r="AK91" s="839"/>
      <c r="AL91" s="838"/>
      <c r="AM91" s="835" t="s">
        <v>3776</v>
      </c>
      <c r="AN91" s="837" t="s">
        <v>3777</v>
      </c>
      <c r="AO91" s="840"/>
      <c r="AP91" s="839"/>
      <c r="AQ91" s="838"/>
      <c r="AR91" s="835" t="s">
        <v>3778</v>
      </c>
      <c r="AS91" s="837" t="s">
        <v>3779</v>
      </c>
      <c r="AT91" s="536">
        <v>93281</v>
      </c>
      <c r="AU91" s="844">
        <v>101100</v>
      </c>
      <c r="AV91" s="841">
        <f>AT91/AU91</f>
        <v>0.92266073194856579</v>
      </c>
      <c r="AW91" s="835" t="s">
        <v>3780</v>
      </c>
      <c r="AX91" s="836" t="s">
        <v>3781</v>
      </c>
      <c r="AY91" s="567"/>
      <c r="AZ91" s="568"/>
      <c r="BA91" s="569"/>
      <c r="BB91" s="835" t="s">
        <v>4972</v>
      </c>
      <c r="BC91" s="836" t="s">
        <v>3782</v>
      </c>
      <c r="BD91" s="570"/>
      <c r="BE91" s="570"/>
      <c r="BF91" s="571"/>
      <c r="BG91" s="835" t="s">
        <v>3783</v>
      </c>
      <c r="BH91" s="836" t="s">
        <v>3784</v>
      </c>
      <c r="BI91" s="540">
        <v>90386</v>
      </c>
      <c r="BJ91" s="844">
        <v>101000</v>
      </c>
      <c r="BK91" s="374">
        <f>BI91/BJ91</f>
        <v>0.89491089108910893</v>
      </c>
      <c r="BL91" s="835" t="s">
        <v>3785</v>
      </c>
      <c r="BM91" s="836" t="s">
        <v>3786</v>
      </c>
      <c r="BN91" s="849"/>
      <c r="BO91" s="848"/>
      <c r="BP91" s="580"/>
      <c r="BQ91" s="835" t="s">
        <v>4971</v>
      </c>
      <c r="BR91" s="836" t="s">
        <v>4911</v>
      </c>
      <c r="BS91" s="570"/>
      <c r="BT91" s="570"/>
      <c r="BU91" s="571"/>
      <c r="BV91" s="835" t="s">
        <v>4970</v>
      </c>
      <c r="BW91" s="836" t="s">
        <v>2266</v>
      </c>
      <c r="BX91" s="536">
        <v>95654</v>
      </c>
      <c r="BY91" s="536">
        <v>95654</v>
      </c>
      <c r="BZ91" s="374">
        <f>+BX91/BY91</f>
        <v>1</v>
      </c>
      <c r="CA91" s="566" t="s">
        <v>4969</v>
      </c>
      <c r="CB91" s="835" t="s">
        <v>4968</v>
      </c>
      <c r="CC91" s="837" t="s">
        <v>4967</v>
      </c>
      <c r="CD91" s="525"/>
      <c r="CE91" s="574">
        <f>+BX91</f>
        <v>95654</v>
      </c>
      <c r="CF91" s="574">
        <f>+(AF91+AU91+BJ91+BY91)/4</f>
        <v>98815.5</v>
      </c>
      <c r="CG91" s="543">
        <f>+CE91/CF91</f>
        <v>0.96800603144243569</v>
      </c>
      <c r="CH91" s="543">
        <f>+CG91</f>
        <v>0.96800603144243569</v>
      </c>
      <c r="CI91" s="543">
        <f>+T91</f>
        <v>0.98</v>
      </c>
      <c r="CJ91" s="543">
        <f>+CH91/CI91</f>
        <v>0.987761256573914</v>
      </c>
      <c r="CK91" s="542"/>
    </row>
    <row r="92" spans="1:89" s="834" customFormat="1" ht="228" x14ac:dyDescent="0.2">
      <c r="A92" s="525"/>
      <c r="B92" s="526" t="s">
        <v>221</v>
      </c>
      <c r="C92" s="526" t="s">
        <v>204</v>
      </c>
      <c r="D92" s="526" t="s">
        <v>2462</v>
      </c>
      <c r="E92" s="526" t="s">
        <v>3787</v>
      </c>
      <c r="F92" s="565" t="s">
        <v>3763</v>
      </c>
      <c r="G92" s="527" t="s">
        <v>3788</v>
      </c>
      <c r="H92" s="527" t="s">
        <v>3789</v>
      </c>
      <c r="I92" s="527" t="s">
        <v>3790</v>
      </c>
      <c r="J92" s="532" t="s">
        <v>2329</v>
      </c>
      <c r="K92" s="527" t="s">
        <v>3791</v>
      </c>
      <c r="L92" s="527" t="s">
        <v>4966</v>
      </c>
      <c r="M92" s="527" t="s">
        <v>3792</v>
      </c>
      <c r="N92" s="526" t="s">
        <v>2248</v>
      </c>
      <c r="O92" s="527" t="s">
        <v>3793</v>
      </c>
      <c r="P92" s="532" t="s">
        <v>1747</v>
      </c>
      <c r="Q92" s="526" t="s">
        <v>30</v>
      </c>
      <c r="R92" s="374">
        <v>1</v>
      </c>
      <c r="S92" s="526" t="s">
        <v>2248</v>
      </c>
      <c r="T92" s="374">
        <v>0.98</v>
      </c>
      <c r="U92" s="380"/>
      <c r="V92" s="380"/>
      <c r="W92" s="377"/>
      <c r="X92" s="835" t="s">
        <v>3794</v>
      </c>
      <c r="Y92" s="390" t="s">
        <v>3795</v>
      </c>
      <c r="Z92" s="380"/>
      <c r="AA92" s="380"/>
      <c r="AB92" s="377"/>
      <c r="AC92" s="835" t="s">
        <v>3796</v>
      </c>
      <c r="AD92" s="390" t="s">
        <v>3797</v>
      </c>
      <c r="AE92" s="380">
        <f>37237+49813</f>
        <v>87050</v>
      </c>
      <c r="AF92" s="376">
        <v>89838</v>
      </c>
      <c r="AG92" s="377">
        <f>AE92/AF92</f>
        <v>0.96896636167323402</v>
      </c>
      <c r="AH92" s="835" t="s">
        <v>3798</v>
      </c>
      <c r="AI92" s="835" t="s">
        <v>4965</v>
      </c>
      <c r="AJ92" s="839"/>
      <c r="AK92" s="494"/>
      <c r="AL92" s="494"/>
      <c r="AM92" s="835" t="s">
        <v>3799</v>
      </c>
      <c r="AN92" s="837" t="s">
        <v>3800</v>
      </c>
      <c r="AO92" s="840"/>
      <c r="AP92" s="839"/>
      <c r="AQ92" s="838"/>
      <c r="AR92" s="378" t="s">
        <v>3801</v>
      </c>
      <c r="AS92" s="837" t="s">
        <v>3779</v>
      </c>
      <c r="AT92" s="844">
        <f>49980+37039</f>
        <v>87019</v>
      </c>
      <c r="AU92" s="536">
        <v>89841</v>
      </c>
      <c r="AV92" s="841">
        <f>AT92/AU92</f>
        <v>0.96858895159225744</v>
      </c>
      <c r="AW92" s="835" t="s">
        <v>3802</v>
      </c>
      <c r="AX92" s="836" t="s">
        <v>3803</v>
      </c>
      <c r="AY92" s="844">
        <v>87271</v>
      </c>
      <c r="AZ92" s="536">
        <v>89841</v>
      </c>
      <c r="BA92" s="377">
        <f>AY92/AZ92</f>
        <v>0.97139390701350159</v>
      </c>
      <c r="BB92" s="835" t="s">
        <v>4964</v>
      </c>
      <c r="BC92" s="836" t="s">
        <v>3804</v>
      </c>
      <c r="BD92" s="844">
        <f>37476+49857</f>
        <v>87333</v>
      </c>
      <c r="BE92" s="536">
        <v>89841</v>
      </c>
      <c r="BF92" s="377">
        <f>((BD92/BE92))</f>
        <v>0.97208401509333153</v>
      </c>
      <c r="BG92" s="835" t="s">
        <v>3805</v>
      </c>
      <c r="BH92" s="836" t="s">
        <v>3806</v>
      </c>
      <c r="BI92" s="844">
        <v>87345</v>
      </c>
      <c r="BJ92" s="536">
        <v>89841</v>
      </c>
      <c r="BK92" s="377">
        <f>BI92/BJ92</f>
        <v>0.97221758439910511</v>
      </c>
      <c r="BL92" s="835" t="s">
        <v>3807</v>
      </c>
      <c r="BM92" s="836" t="s">
        <v>3808</v>
      </c>
      <c r="BN92" s="844">
        <f>37658+49675</f>
        <v>87333</v>
      </c>
      <c r="BO92" s="536">
        <v>89842</v>
      </c>
      <c r="BP92" s="377">
        <f>+BN92/BO92</f>
        <v>0.97207319516484492</v>
      </c>
      <c r="BQ92" s="578" t="s">
        <v>4963</v>
      </c>
      <c r="BR92" s="836" t="s">
        <v>4962</v>
      </c>
      <c r="BS92" s="844">
        <f>37622+49433</f>
        <v>87055</v>
      </c>
      <c r="BT92" s="536">
        <v>89842</v>
      </c>
      <c r="BU92" s="377">
        <f>+BS92/BT92</f>
        <v>0.96897887402328531</v>
      </c>
      <c r="BV92" s="835" t="s">
        <v>4961</v>
      </c>
      <c r="BW92" s="836" t="s">
        <v>4960</v>
      </c>
      <c r="BX92" s="536">
        <f>37653+49189</f>
        <v>86842</v>
      </c>
      <c r="BY92" s="844">
        <v>89843</v>
      </c>
      <c r="BZ92" s="374">
        <f>+BX92/BY92</f>
        <v>0.9665972863773471</v>
      </c>
      <c r="CA92" s="578" t="s">
        <v>4959</v>
      </c>
      <c r="CB92" s="837" t="s">
        <v>4958</v>
      </c>
      <c r="CC92" s="837" t="s">
        <v>4957</v>
      </c>
      <c r="CD92" s="525"/>
      <c r="CE92" s="574">
        <f>+BX92</f>
        <v>86842</v>
      </c>
      <c r="CF92" s="574">
        <f>+BY92</f>
        <v>89843</v>
      </c>
      <c r="CG92" s="543">
        <f>+CE92/CF92</f>
        <v>0.9665972863773471</v>
      </c>
      <c r="CH92" s="543">
        <f>+CG92</f>
        <v>0.9665972863773471</v>
      </c>
      <c r="CI92" s="543">
        <f>+T92</f>
        <v>0.98</v>
      </c>
      <c r="CJ92" s="543">
        <f>+CH92/CI92</f>
        <v>0.98632376160953783</v>
      </c>
      <c r="CK92" s="542"/>
    </row>
    <row r="93" spans="1:89" s="834" customFormat="1" ht="240" x14ac:dyDescent="0.2">
      <c r="A93" s="525"/>
      <c r="B93" s="526" t="s">
        <v>221</v>
      </c>
      <c r="C93" s="526" t="s">
        <v>204</v>
      </c>
      <c r="D93" s="526" t="s">
        <v>2462</v>
      </c>
      <c r="E93" s="526" t="s">
        <v>3809</v>
      </c>
      <c r="F93" s="565" t="s">
        <v>3763</v>
      </c>
      <c r="G93" s="527" t="s">
        <v>3810</v>
      </c>
      <c r="H93" s="527" t="s">
        <v>3811</v>
      </c>
      <c r="I93" s="527" t="s">
        <v>3812</v>
      </c>
      <c r="J93" s="532" t="s">
        <v>2329</v>
      </c>
      <c r="K93" s="527" t="s">
        <v>3813</v>
      </c>
      <c r="L93" s="527" t="s">
        <v>3814</v>
      </c>
      <c r="M93" s="527" t="s">
        <v>3815</v>
      </c>
      <c r="N93" s="526" t="s">
        <v>2248</v>
      </c>
      <c r="O93" s="527" t="s">
        <v>3816</v>
      </c>
      <c r="P93" s="532" t="s">
        <v>1777</v>
      </c>
      <c r="Q93" s="526" t="s">
        <v>60</v>
      </c>
      <c r="R93" s="374">
        <v>1</v>
      </c>
      <c r="S93" s="526" t="s">
        <v>2248</v>
      </c>
      <c r="T93" s="374">
        <v>0.95</v>
      </c>
      <c r="U93" s="376"/>
      <c r="V93" s="376"/>
      <c r="W93" s="377"/>
      <c r="X93" s="835" t="s">
        <v>3817</v>
      </c>
      <c r="Y93" s="390" t="s">
        <v>3818</v>
      </c>
      <c r="Z93" s="376"/>
      <c r="AA93" s="376"/>
      <c r="AB93" s="377"/>
      <c r="AC93" s="835" t="s">
        <v>3819</v>
      </c>
      <c r="AD93" s="390" t="s">
        <v>3820</v>
      </c>
      <c r="AE93" s="380">
        <v>25092</v>
      </c>
      <c r="AF93" s="376">
        <v>25601</v>
      </c>
      <c r="AG93" s="377">
        <f>AE93/AF93</f>
        <v>0.98011796414202568</v>
      </c>
      <c r="AH93" s="835" t="s">
        <v>3821</v>
      </c>
      <c r="AI93" s="835" t="s">
        <v>4956</v>
      </c>
      <c r="AJ93" s="839"/>
      <c r="AK93" s="839"/>
      <c r="AL93" s="838"/>
      <c r="AM93" s="378" t="s">
        <v>3822</v>
      </c>
      <c r="AN93" s="837" t="s">
        <v>3823</v>
      </c>
      <c r="AO93" s="840"/>
      <c r="AP93" s="839"/>
      <c r="AQ93" s="838"/>
      <c r="AR93" s="378" t="s">
        <v>4955</v>
      </c>
      <c r="AS93" s="837" t="s">
        <v>3779</v>
      </c>
      <c r="AT93" s="536">
        <v>27482</v>
      </c>
      <c r="AU93" s="536">
        <v>30600</v>
      </c>
      <c r="AV93" s="841">
        <f>AT93/AU93</f>
        <v>0.8981045751633987</v>
      </c>
      <c r="AW93" s="835" t="s">
        <v>4954</v>
      </c>
      <c r="AX93" s="837" t="s">
        <v>3824</v>
      </c>
      <c r="AY93" s="536"/>
      <c r="AZ93" s="570"/>
      <c r="BA93" s="571"/>
      <c r="BB93" s="835" t="s">
        <v>3825</v>
      </c>
      <c r="BC93" s="837" t="s">
        <v>3826</v>
      </c>
      <c r="BD93" s="570"/>
      <c r="BE93" s="570"/>
      <c r="BF93" s="571"/>
      <c r="BG93" s="835" t="s">
        <v>3827</v>
      </c>
      <c r="BH93" s="837" t="s">
        <v>3784</v>
      </c>
      <c r="BI93" s="540">
        <v>35091</v>
      </c>
      <c r="BJ93" s="536">
        <v>30600</v>
      </c>
      <c r="BK93" s="374">
        <f>BI93/BJ93</f>
        <v>1.1467647058823529</v>
      </c>
      <c r="BL93" s="835" t="s">
        <v>3828</v>
      </c>
      <c r="BM93" s="837" t="s">
        <v>3829</v>
      </c>
      <c r="BN93" s="540"/>
      <c r="BO93" s="536"/>
      <c r="BP93" s="374"/>
      <c r="BQ93" s="578" t="s">
        <v>4953</v>
      </c>
      <c r="BR93" s="836" t="s">
        <v>4911</v>
      </c>
      <c r="BS93" s="570"/>
      <c r="BT93" s="570"/>
      <c r="BU93" s="571"/>
      <c r="BV93" s="835" t="s">
        <v>4952</v>
      </c>
      <c r="BW93" s="836" t="s">
        <v>2266</v>
      </c>
      <c r="BX93" s="540">
        <v>35661</v>
      </c>
      <c r="BY93" s="536">
        <v>30600</v>
      </c>
      <c r="BZ93" s="374">
        <f>BX93/BY93</f>
        <v>1.165392156862745</v>
      </c>
      <c r="CA93" s="578" t="s">
        <v>4951</v>
      </c>
      <c r="CB93" s="837" t="s">
        <v>4950</v>
      </c>
      <c r="CC93" s="837" t="s">
        <v>4949</v>
      </c>
      <c r="CD93" s="525"/>
      <c r="CE93" s="574">
        <f>(+U93+Z93+AE93+AJ93+AO93+AT93+AY93+BD93+BI93+BN93+BS93+BX93)</f>
        <v>123326</v>
      </c>
      <c r="CF93" s="574">
        <f>(+V93+AA93+AF93+AK93+AP93+AU93+AZ93+BE93+BJ93+BO93+BT93+BY93)</f>
        <v>117401</v>
      </c>
      <c r="CG93" s="543">
        <f>+CE93/CF93</f>
        <v>1.0504680539348046</v>
      </c>
      <c r="CH93" s="543">
        <f>+CG93</f>
        <v>1.0504680539348046</v>
      </c>
      <c r="CI93" s="543">
        <f>+T93</f>
        <v>0.95</v>
      </c>
      <c r="CJ93" s="543">
        <f>+CH93/CI93</f>
        <v>1.1057558462471628</v>
      </c>
      <c r="CK93" s="542"/>
    </row>
    <row r="94" spans="1:89" s="834" customFormat="1" ht="228" x14ac:dyDescent="0.2">
      <c r="A94" s="525"/>
      <c r="B94" s="526" t="s">
        <v>221</v>
      </c>
      <c r="C94" s="526" t="s">
        <v>204</v>
      </c>
      <c r="D94" s="526" t="s">
        <v>2462</v>
      </c>
      <c r="E94" s="526" t="s">
        <v>3830</v>
      </c>
      <c r="F94" s="565" t="s">
        <v>3763</v>
      </c>
      <c r="G94" s="527" t="s">
        <v>3831</v>
      </c>
      <c r="H94" s="527" t="s">
        <v>3832</v>
      </c>
      <c r="I94" s="527" t="s">
        <v>3833</v>
      </c>
      <c r="J94" s="532" t="s">
        <v>2329</v>
      </c>
      <c r="K94" s="527" t="s">
        <v>3834</v>
      </c>
      <c r="L94" s="527" t="s">
        <v>3835</v>
      </c>
      <c r="M94" s="527" t="s">
        <v>3836</v>
      </c>
      <c r="N94" s="526" t="s">
        <v>2248</v>
      </c>
      <c r="O94" s="527" t="s">
        <v>3837</v>
      </c>
      <c r="P94" s="532" t="s">
        <v>1777</v>
      </c>
      <c r="Q94" s="526" t="s">
        <v>30</v>
      </c>
      <c r="R94" s="575">
        <v>0.94</v>
      </c>
      <c r="S94" s="526" t="s">
        <v>2248</v>
      </c>
      <c r="T94" s="374">
        <v>0.95</v>
      </c>
      <c r="U94" s="376"/>
      <c r="V94" s="376"/>
      <c r="W94" s="377"/>
      <c r="X94" s="835" t="s">
        <v>4948</v>
      </c>
      <c r="Y94" s="390" t="s">
        <v>3818</v>
      </c>
      <c r="Z94" s="376"/>
      <c r="AA94" s="376"/>
      <c r="AB94" s="377"/>
      <c r="AC94" s="835" t="s">
        <v>3838</v>
      </c>
      <c r="AD94" s="390" t="s">
        <v>3820</v>
      </c>
      <c r="AE94" s="380">
        <v>948</v>
      </c>
      <c r="AF94" s="380">
        <v>948</v>
      </c>
      <c r="AG94" s="377">
        <f>AE94/AF94</f>
        <v>1</v>
      </c>
      <c r="AH94" s="835" t="s">
        <v>3839</v>
      </c>
      <c r="AI94" s="835" t="s">
        <v>4947</v>
      </c>
      <c r="AJ94" s="839"/>
      <c r="AK94" s="839"/>
      <c r="AL94" s="838"/>
      <c r="AM94" s="378" t="s">
        <v>4946</v>
      </c>
      <c r="AN94" s="837" t="s">
        <v>3823</v>
      </c>
      <c r="AO94" s="840"/>
      <c r="AP94" s="839"/>
      <c r="AQ94" s="838"/>
      <c r="AR94" s="378" t="s">
        <v>3840</v>
      </c>
      <c r="AS94" s="837" t="s">
        <v>3779</v>
      </c>
      <c r="AT94" s="536">
        <v>470</v>
      </c>
      <c r="AU94" s="536">
        <v>526</v>
      </c>
      <c r="AV94" s="841">
        <f>AT94/AU94</f>
        <v>0.89353612167300378</v>
      </c>
      <c r="AW94" s="835" t="s">
        <v>3841</v>
      </c>
      <c r="AX94" s="837" t="s">
        <v>3842</v>
      </c>
      <c r="AY94" s="536"/>
      <c r="AZ94" s="570"/>
      <c r="BA94" s="571"/>
      <c r="BB94" s="572" t="s">
        <v>3843</v>
      </c>
      <c r="BC94" s="837" t="s">
        <v>3844</v>
      </c>
      <c r="BD94" s="570"/>
      <c r="BE94" s="570"/>
      <c r="BF94" s="571"/>
      <c r="BG94" s="572" t="s">
        <v>4945</v>
      </c>
      <c r="BH94" s="836" t="s">
        <v>3845</v>
      </c>
      <c r="BI94" s="540">
        <v>373</v>
      </c>
      <c r="BJ94" s="536">
        <v>481</v>
      </c>
      <c r="BK94" s="374">
        <f>BI94/BJ94</f>
        <v>0.77546777546777546</v>
      </c>
      <c r="BL94" s="572" t="s">
        <v>3846</v>
      </c>
      <c r="BM94" s="836" t="s">
        <v>3847</v>
      </c>
      <c r="BN94" s="540"/>
      <c r="BO94" s="536"/>
      <c r="BP94" s="374"/>
      <c r="BQ94" s="578" t="s">
        <v>4944</v>
      </c>
      <c r="BR94" s="836" t="s">
        <v>4911</v>
      </c>
      <c r="BS94" s="570"/>
      <c r="BT94" s="845"/>
      <c r="BU94" s="845"/>
      <c r="BV94" s="572" t="s">
        <v>4943</v>
      </c>
      <c r="BW94" s="836" t="s">
        <v>2266</v>
      </c>
      <c r="BX94" s="844">
        <v>516</v>
      </c>
      <c r="BY94" s="844">
        <v>538</v>
      </c>
      <c r="BZ94" s="373">
        <f>BX94/BY94</f>
        <v>0.95910780669144979</v>
      </c>
      <c r="CA94" s="847" t="s">
        <v>4942</v>
      </c>
      <c r="CB94" s="835" t="s">
        <v>4941</v>
      </c>
      <c r="CC94" s="578" t="s">
        <v>4940</v>
      </c>
      <c r="CD94" s="525"/>
      <c r="CE94" s="574">
        <f>(+U94+Z94+AE94+AJ94+AO94+AT94+AY94+BD94+BI94+BN94+BS94+BX94)/3</f>
        <v>769</v>
      </c>
      <c r="CF94" s="574">
        <f>(+V94+AA94+AF94+AK94+AP94+AU94+AZ94+BE94+BJ94+BO94+BT94+BY94)/3</f>
        <v>831</v>
      </c>
      <c r="CG94" s="543">
        <f>+CE94/CF94</f>
        <v>0.92539109506618533</v>
      </c>
      <c r="CH94" s="543">
        <f>+CG94</f>
        <v>0.92539109506618533</v>
      </c>
      <c r="CI94" s="543">
        <f>+T94</f>
        <v>0.95</v>
      </c>
      <c r="CJ94" s="543">
        <f>+CH94/CI94</f>
        <v>0.97409588954335302</v>
      </c>
      <c r="CK94" s="542"/>
    </row>
    <row r="95" spans="1:89" s="834" customFormat="1" ht="204" x14ac:dyDescent="0.2">
      <c r="A95" s="525"/>
      <c r="B95" s="526" t="s">
        <v>221</v>
      </c>
      <c r="C95" s="526" t="s">
        <v>204</v>
      </c>
      <c r="D95" s="526" t="s">
        <v>2462</v>
      </c>
      <c r="E95" s="526" t="s">
        <v>3848</v>
      </c>
      <c r="F95" s="565" t="s">
        <v>3763</v>
      </c>
      <c r="G95" s="527" t="s">
        <v>3849</v>
      </c>
      <c r="H95" s="527" t="s">
        <v>3850</v>
      </c>
      <c r="I95" s="527" t="s">
        <v>3851</v>
      </c>
      <c r="J95" s="532" t="s">
        <v>2329</v>
      </c>
      <c r="K95" s="527" t="s">
        <v>3852</v>
      </c>
      <c r="L95" s="527" t="s">
        <v>3853</v>
      </c>
      <c r="M95" s="527" t="s">
        <v>3854</v>
      </c>
      <c r="N95" s="526" t="s">
        <v>2248</v>
      </c>
      <c r="O95" s="576" t="s">
        <v>3855</v>
      </c>
      <c r="P95" s="532" t="s">
        <v>2366</v>
      </c>
      <c r="Q95" s="526" t="s">
        <v>30</v>
      </c>
      <c r="R95" s="374">
        <v>1</v>
      </c>
      <c r="S95" s="526" t="s">
        <v>2248</v>
      </c>
      <c r="T95" s="374">
        <v>0.9</v>
      </c>
      <c r="U95" s="376"/>
      <c r="V95" s="376"/>
      <c r="W95" s="377"/>
      <c r="X95" s="835" t="s">
        <v>3856</v>
      </c>
      <c r="Y95" s="390" t="s">
        <v>3857</v>
      </c>
      <c r="Z95" s="376"/>
      <c r="AA95" s="376"/>
      <c r="AB95" s="377"/>
      <c r="AC95" s="835" t="s">
        <v>3858</v>
      </c>
      <c r="AD95" s="390" t="s">
        <v>3820</v>
      </c>
      <c r="AE95" s="399"/>
      <c r="AF95" s="398"/>
      <c r="AG95" s="400"/>
      <c r="AH95" s="835" t="s">
        <v>3859</v>
      </c>
      <c r="AI95" s="379" t="s">
        <v>3860</v>
      </c>
      <c r="AJ95" s="839"/>
      <c r="AK95" s="839"/>
      <c r="AL95" s="838"/>
      <c r="AM95" s="846" t="s">
        <v>3861</v>
      </c>
      <c r="AN95" s="837" t="s">
        <v>3862</v>
      </c>
      <c r="AO95" s="840"/>
      <c r="AP95" s="839"/>
      <c r="AQ95" s="838"/>
      <c r="AR95" s="378" t="s">
        <v>3863</v>
      </c>
      <c r="AS95" s="837" t="s">
        <v>3779</v>
      </c>
      <c r="AT95" s="536">
        <v>1971</v>
      </c>
      <c r="AU95" s="536">
        <v>2058</v>
      </c>
      <c r="AV95" s="377">
        <f>AT95/AU95</f>
        <v>0.95772594752186591</v>
      </c>
      <c r="AW95" s="835" t="s">
        <v>3864</v>
      </c>
      <c r="AX95" s="837" t="s">
        <v>3865</v>
      </c>
      <c r="AY95" s="536"/>
      <c r="AZ95" s="570"/>
      <c r="BA95" s="571"/>
      <c r="BB95" s="572" t="s">
        <v>4939</v>
      </c>
      <c r="BC95" s="837" t="s">
        <v>3866</v>
      </c>
      <c r="BD95" s="570"/>
      <c r="BE95" s="570"/>
      <c r="BF95" s="571"/>
      <c r="BG95" s="572" t="s">
        <v>4938</v>
      </c>
      <c r="BH95" s="836" t="s">
        <v>3867</v>
      </c>
      <c r="BI95" s="540"/>
      <c r="BJ95" s="540"/>
      <c r="BK95" s="374"/>
      <c r="BL95" s="572" t="s">
        <v>3868</v>
      </c>
      <c r="BM95" s="836" t="s">
        <v>3869</v>
      </c>
      <c r="BN95" s="540"/>
      <c r="BO95" s="540"/>
      <c r="BP95" s="374"/>
      <c r="BQ95" s="578" t="s">
        <v>4937</v>
      </c>
      <c r="BR95" s="836" t="s">
        <v>4911</v>
      </c>
      <c r="BS95" s="570"/>
      <c r="BT95" s="845"/>
      <c r="BV95" s="572" t="s">
        <v>4936</v>
      </c>
      <c r="BW95" s="836" t="s">
        <v>2266</v>
      </c>
      <c r="BX95" s="536">
        <v>1933</v>
      </c>
      <c r="BY95" s="844">
        <v>1955</v>
      </c>
      <c r="BZ95" s="377">
        <f>BX95/BY95</f>
        <v>0.98874680306905371</v>
      </c>
      <c r="CA95" s="572" t="s">
        <v>4935</v>
      </c>
      <c r="CB95" s="835" t="s">
        <v>4934</v>
      </c>
      <c r="CC95" s="843" t="s">
        <v>4933</v>
      </c>
      <c r="CD95" s="525"/>
      <c r="CE95" s="574">
        <f>+U95+Z95+AE95+AJ95+AO95+AT95+AY95+BD95+BI95+BN95+BS95+BX95</f>
        <v>3904</v>
      </c>
      <c r="CF95" s="574">
        <f>+V95+AA95+AF95+AK95+AP95+AU95+AZ95+BE95+BJ95+BO95+BT95+BY95</f>
        <v>4013</v>
      </c>
      <c r="CG95" s="543">
        <f>+CE95/CF95</f>
        <v>0.97283827560428604</v>
      </c>
      <c r="CH95" s="543">
        <f>+CG95</f>
        <v>0.97283827560428604</v>
      </c>
      <c r="CI95" s="543">
        <f>+T95</f>
        <v>0.9</v>
      </c>
      <c r="CJ95" s="543">
        <f>+CH95/CI95</f>
        <v>1.0809314173380955</v>
      </c>
      <c r="CK95" s="542"/>
    </row>
    <row r="96" spans="1:89" s="834" customFormat="1" ht="252" x14ac:dyDescent="0.2">
      <c r="A96" s="525"/>
      <c r="B96" s="526" t="s">
        <v>221</v>
      </c>
      <c r="C96" s="526" t="s">
        <v>204</v>
      </c>
      <c r="D96" s="526" t="s">
        <v>2462</v>
      </c>
      <c r="E96" s="526" t="s">
        <v>3870</v>
      </c>
      <c r="F96" s="565" t="s">
        <v>3871</v>
      </c>
      <c r="G96" s="527" t="s">
        <v>3872</v>
      </c>
      <c r="H96" s="527" t="s">
        <v>3873</v>
      </c>
      <c r="I96" s="527" t="s">
        <v>3874</v>
      </c>
      <c r="J96" s="532" t="s">
        <v>2329</v>
      </c>
      <c r="K96" s="527" t="s">
        <v>3875</v>
      </c>
      <c r="L96" s="527" t="s">
        <v>3876</v>
      </c>
      <c r="M96" s="527" t="s">
        <v>3877</v>
      </c>
      <c r="N96" s="533" t="s">
        <v>2248</v>
      </c>
      <c r="O96" s="527" t="s">
        <v>3878</v>
      </c>
      <c r="P96" s="545" t="s">
        <v>1777</v>
      </c>
      <c r="Q96" s="526" t="s">
        <v>30</v>
      </c>
      <c r="R96" s="374">
        <v>1</v>
      </c>
      <c r="S96" s="526" t="s">
        <v>2248</v>
      </c>
      <c r="T96" s="374">
        <v>1</v>
      </c>
      <c r="U96" s="376"/>
      <c r="V96" s="376"/>
      <c r="W96" s="377"/>
      <c r="X96" s="835" t="s">
        <v>3879</v>
      </c>
      <c r="Y96" s="390" t="s">
        <v>3818</v>
      </c>
      <c r="Z96" s="842"/>
      <c r="AA96" s="376"/>
      <c r="AB96" s="376"/>
      <c r="AC96" s="835" t="s">
        <v>3880</v>
      </c>
      <c r="AD96" s="390" t="s">
        <v>3881</v>
      </c>
      <c r="AE96" s="380">
        <v>5</v>
      </c>
      <c r="AF96" s="376">
        <v>5</v>
      </c>
      <c r="AG96" s="377">
        <f>AE96/AF96</f>
        <v>1</v>
      </c>
      <c r="AH96" s="835" t="s">
        <v>3882</v>
      </c>
      <c r="AI96" s="835" t="s">
        <v>4932</v>
      </c>
      <c r="AJ96" s="839"/>
      <c r="AK96" s="839"/>
      <c r="AL96" s="838"/>
      <c r="AM96" s="378" t="s">
        <v>3883</v>
      </c>
      <c r="AN96" s="837" t="s">
        <v>3884</v>
      </c>
      <c r="AO96" s="840"/>
      <c r="AP96" s="839"/>
      <c r="AQ96" s="838"/>
      <c r="AR96" s="378" t="s">
        <v>3885</v>
      </c>
      <c r="AS96" s="837" t="s">
        <v>3779</v>
      </c>
      <c r="AT96" s="536">
        <v>2</v>
      </c>
      <c r="AU96" s="536">
        <v>2</v>
      </c>
      <c r="AV96" s="377">
        <f>AT96/AU96</f>
        <v>1</v>
      </c>
      <c r="AW96" s="835" t="s">
        <v>3886</v>
      </c>
      <c r="AX96" s="836" t="s">
        <v>3887</v>
      </c>
      <c r="AY96" s="536"/>
      <c r="AZ96" s="570"/>
      <c r="BA96" s="571"/>
      <c r="BB96" s="572" t="s">
        <v>4931</v>
      </c>
      <c r="BC96" s="836" t="s">
        <v>3826</v>
      </c>
      <c r="BD96" s="570"/>
      <c r="BE96" s="570"/>
      <c r="BF96" s="571"/>
      <c r="BG96" s="572" t="s">
        <v>3888</v>
      </c>
      <c r="BH96" s="837" t="s">
        <v>3784</v>
      </c>
      <c r="BI96" s="540">
        <v>2</v>
      </c>
      <c r="BJ96" s="536">
        <v>2</v>
      </c>
      <c r="BK96" s="374">
        <f>BI96/BJ96</f>
        <v>1</v>
      </c>
      <c r="BL96" s="572" t="s">
        <v>3889</v>
      </c>
      <c r="BM96" s="837" t="s">
        <v>3890</v>
      </c>
      <c r="BN96" s="540"/>
      <c r="BO96" s="536"/>
      <c r="BP96" s="374"/>
      <c r="BQ96" s="578" t="s">
        <v>4930</v>
      </c>
      <c r="BR96" s="836" t="s">
        <v>4911</v>
      </c>
      <c r="BS96" s="570"/>
      <c r="BT96" s="570"/>
      <c r="BU96" s="571"/>
      <c r="BV96" s="572" t="s">
        <v>4929</v>
      </c>
      <c r="BW96" s="836" t="s">
        <v>2266</v>
      </c>
      <c r="BX96" s="536">
        <v>2</v>
      </c>
      <c r="BY96" s="536">
        <v>2</v>
      </c>
      <c r="BZ96" s="374">
        <f>+BX96/BY96</f>
        <v>1</v>
      </c>
      <c r="CA96" s="572" t="s">
        <v>4928</v>
      </c>
      <c r="CB96" s="835" t="s">
        <v>4927</v>
      </c>
      <c r="CC96" s="578" t="s">
        <v>4926</v>
      </c>
      <c r="CD96" s="525"/>
      <c r="CE96" s="574">
        <f>+U96+Z96+AE96+AJ96+AO96+AT96+AY96+BD96+BI96+BN96+BS96+BX96</f>
        <v>11</v>
      </c>
      <c r="CF96" s="574">
        <f>+V96+AA96+AF96+AK96+AP96+AU96+AZ96+BE96+BJ96+BO96+BT96+BY96</f>
        <v>11</v>
      </c>
      <c r="CG96" s="543">
        <f>+CE96/CF96</f>
        <v>1</v>
      </c>
      <c r="CH96" s="543">
        <f>+CG96</f>
        <v>1</v>
      </c>
      <c r="CI96" s="543">
        <f>+T96</f>
        <v>1</v>
      </c>
      <c r="CJ96" s="543">
        <f>+CH96/CI96</f>
        <v>1</v>
      </c>
      <c r="CK96" s="542"/>
    </row>
    <row r="97" spans="1:89" s="834" customFormat="1" ht="312" x14ac:dyDescent="0.2">
      <c r="A97" s="525"/>
      <c r="B97" s="526" t="s">
        <v>221</v>
      </c>
      <c r="C97" s="526" t="s">
        <v>204</v>
      </c>
      <c r="D97" s="526" t="s">
        <v>2462</v>
      </c>
      <c r="E97" s="526" t="s">
        <v>3891</v>
      </c>
      <c r="F97" s="565" t="s">
        <v>3763</v>
      </c>
      <c r="G97" s="527" t="s">
        <v>3892</v>
      </c>
      <c r="H97" s="527" t="s">
        <v>3893</v>
      </c>
      <c r="I97" s="527" t="s">
        <v>3894</v>
      </c>
      <c r="J97" s="532" t="s">
        <v>2329</v>
      </c>
      <c r="K97" s="527" t="s">
        <v>3895</v>
      </c>
      <c r="L97" s="527" t="s">
        <v>3896</v>
      </c>
      <c r="M97" s="527" t="s">
        <v>3897</v>
      </c>
      <c r="N97" s="526" t="s">
        <v>2248</v>
      </c>
      <c r="O97" s="577" t="s">
        <v>3898</v>
      </c>
      <c r="P97" s="532" t="s">
        <v>2366</v>
      </c>
      <c r="Q97" s="526" t="s">
        <v>30</v>
      </c>
      <c r="R97" s="374">
        <v>1</v>
      </c>
      <c r="S97" s="526" t="s">
        <v>2248</v>
      </c>
      <c r="T97" s="374">
        <v>1</v>
      </c>
      <c r="U97" s="376"/>
      <c r="V97" s="376"/>
      <c r="W97" s="377"/>
      <c r="X97" s="835" t="s">
        <v>3899</v>
      </c>
      <c r="Y97" s="390" t="s">
        <v>3900</v>
      </c>
      <c r="Z97" s="376"/>
      <c r="AA97" s="376"/>
      <c r="AB97" s="377"/>
      <c r="AC97" s="835" t="s">
        <v>3901</v>
      </c>
      <c r="AD97" s="390" t="s">
        <v>3820</v>
      </c>
      <c r="AE97" s="380">
        <v>4124</v>
      </c>
      <c r="AF97" s="376">
        <f>+AE97+73</f>
        <v>4197</v>
      </c>
      <c r="AG97" s="841">
        <f>AE97/AF97</f>
        <v>0.98260662377888963</v>
      </c>
      <c r="AH97" s="835" t="s">
        <v>3902</v>
      </c>
      <c r="AI97" s="379" t="s">
        <v>3903</v>
      </c>
      <c r="AJ97" s="839"/>
      <c r="AK97" s="839"/>
      <c r="AL97" s="838"/>
      <c r="AM97" s="378" t="s">
        <v>4925</v>
      </c>
      <c r="AN97" s="837" t="s">
        <v>3884</v>
      </c>
      <c r="AO97" s="840"/>
      <c r="AP97" s="839"/>
      <c r="AQ97" s="838"/>
      <c r="AR97" s="379" t="s">
        <v>4924</v>
      </c>
      <c r="AS97" s="837" t="s">
        <v>3779</v>
      </c>
      <c r="AT97" s="536">
        <v>0</v>
      </c>
      <c r="AU97" s="536">
        <v>4130</v>
      </c>
      <c r="AV97" s="377">
        <v>0</v>
      </c>
      <c r="AW97" s="835" t="s">
        <v>4923</v>
      </c>
      <c r="AX97" s="837" t="s">
        <v>3904</v>
      </c>
      <c r="AY97" s="536"/>
      <c r="AZ97" s="570"/>
      <c r="BA97" s="571"/>
      <c r="BB97" s="578" t="s">
        <v>4922</v>
      </c>
      <c r="BC97" s="837" t="s">
        <v>3826</v>
      </c>
      <c r="BD97" s="570"/>
      <c r="BE97" s="570"/>
      <c r="BF97" s="571"/>
      <c r="BG97" s="578" t="s">
        <v>3905</v>
      </c>
      <c r="BH97" s="837" t="s">
        <v>3784</v>
      </c>
      <c r="BI97" s="536"/>
      <c r="BJ97" s="536"/>
      <c r="BK97" s="374"/>
      <c r="BL97" s="578" t="s">
        <v>4921</v>
      </c>
      <c r="BM97" s="837" t="s">
        <v>3869</v>
      </c>
      <c r="BN97" s="536"/>
      <c r="BO97" s="536"/>
      <c r="BP97" s="374"/>
      <c r="BQ97" s="578" t="s">
        <v>4920</v>
      </c>
      <c r="BR97" s="836" t="s">
        <v>4911</v>
      </c>
      <c r="BS97" s="570"/>
      <c r="BT97" s="570"/>
      <c r="BU97" s="571"/>
      <c r="BV97" s="578" t="s">
        <v>4919</v>
      </c>
      <c r="BW97" s="836" t="s">
        <v>2266</v>
      </c>
      <c r="BX97" s="536">
        <v>5191</v>
      </c>
      <c r="BY97" s="536">
        <v>5000</v>
      </c>
      <c r="BZ97" s="374">
        <f>BX97/BY97</f>
        <v>1.0382</v>
      </c>
      <c r="CA97" s="835" t="s">
        <v>4918</v>
      </c>
      <c r="CB97" s="835" t="s">
        <v>4917</v>
      </c>
      <c r="CC97" s="396" t="s">
        <v>4916</v>
      </c>
      <c r="CD97" s="525"/>
      <c r="CE97" s="574">
        <f>+BX97</f>
        <v>5191</v>
      </c>
      <c r="CF97" s="574">
        <f>+BY97</f>
        <v>5000</v>
      </c>
      <c r="CG97" s="543">
        <f>+CE97/CF97</f>
        <v>1.0382</v>
      </c>
      <c r="CH97" s="543">
        <f>+CG97</f>
        <v>1.0382</v>
      </c>
      <c r="CI97" s="543">
        <f>+T97</f>
        <v>1</v>
      </c>
      <c r="CJ97" s="543">
        <f>+CH97/CI97</f>
        <v>1.0382</v>
      </c>
      <c r="CK97" s="542"/>
    </row>
    <row r="98" spans="1:89" s="834" customFormat="1" ht="192" x14ac:dyDescent="0.2">
      <c r="A98" s="525"/>
      <c r="B98" s="526" t="s">
        <v>221</v>
      </c>
      <c r="C98" s="526" t="s">
        <v>204</v>
      </c>
      <c r="D98" s="526" t="s">
        <v>2462</v>
      </c>
      <c r="E98" s="526" t="s">
        <v>3906</v>
      </c>
      <c r="F98" s="565" t="s">
        <v>3871</v>
      </c>
      <c r="G98" s="527" t="s">
        <v>3907</v>
      </c>
      <c r="H98" s="527" t="s">
        <v>3908</v>
      </c>
      <c r="I98" s="527" t="s">
        <v>3909</v>
      </c>
      <c r="J98" s="532" t="s">
        <v>2329</v>
      </c>
      <c r="K98" s="579" t="s">
        <v>3910</v>
      </c>
      <c r="L98" s="527" t="s">
        <v>3911</v>
      </c>
      <c r="M98" s="527" t="s">
        <v>3912</v>
      </c>
      <c r="N98" s="533" t="s">
        <v>2248</v>
      </c>
      <c r="O98" s="527" t="s">
        <v>3913</v>
      </c>
      <c r="P98" s="545" t="s">
        <v>2366</v>
      </c>
      <c r="Q98" s="526" t="s">
        <v>3914</v>
      </c>
      <c r="R98" s="374">
        <v>0.95</v>
      </c>
      <c r="S98" s="526" t="s">
        <v>2248</v>
      </c>
      <c r="T98" s="374">
        <v>1</v>
      </c>
      <c r="U98" s="839"/>
      <c r="V98" s="839"/>
      <c r="W98" s="838"/>
      <c r="X98" s="835" t="s">
        <v>3915</v>
      </c>
      <c r="Y98" s="390" t="s">
        <v>3818</v>
      </c>
      <c r="Z98" s="839"/>
      <c r="AA98" s="839"/>
      <c r="AB98" s="838"/>
      <c r="AC98" s="835" t="s">
        <v>3916</v>
      </c>
      <c r="AD98" s="390" t="s">
        <v>3881</v>
      </c>
      <c r="AE98" s="840"/>
      <c r="AF98" s="839"/>
      <c r="AG98" s="838"/>
      <c r="AH98" s="835" t="s">
        <v>3917</v>
      </c>
      <c r="AI98" s="379" t="s">
        <v>3918</v>
      </c>
      <c r="AJ98" s="839"/>
      <c r="AK98" s="839"/>
      <c r="AL98" s="838"/>
      <c r="AM98" s="378" t="s">
        <v>3919</v>
      </c>
      <c r="AN98" s="837" t="s">
        <v>3920</v>
      </c>
      <c r="AO98" s="840" t="s">
        <v>485</v>
      </c>
      <c r="AP98" s="839"/>
      <c r="AQ98" s="838"/>
      <c r="AR98" s="379" t="s">
        <v>4915</v>
      </c>
      <c r="AS98" s="837" t="s">
        <v>3779</v>
      </c>
      <c r="AT98" s="536">
        <v>14</v>
      </c>
      <c r="AU98" s="536">
        <v>20</v>
      </c>
      <c r="AV98" s="377">
        <f>AT98/AU98</f>
        <v>0.7</v>
      </c>
      <c r="AW98" s="837" t="s">
        <v>4914</v>
      </c>
      <c r="AX98" s="837" t="s">
        <v>3921</v>
      </c>
      <c r="AY98" s="536"/>
      <c r="AZ98" s="570"/>
      <c r="BA98" s="571"/>
      <c r="BB98" s="578" t="s">
        <v>3922</v>
      </c>
      <c r="BC98" s="837" t="s">
        <v>4913</v>
      </c>
      <c r="BD98" s="570"/>
      <c r="BE98" s="570"/>
      <c r="BF98" s="571"/>
      <c r="BG98" s="578" t="s">
        <v>3923</v>
      </c>
      <c r="BH98" s="837" t="s">
        <v>3784</v>
      </c>
      <c r="BI98" s="567"/>
      <c r="BJ98" s="567"/>
      <c r="BK98" s="580"/>
      <c r="BL98" s="578" t="s">
        <v>3924</v>
      </c>
      <c r="BM98" s="837" t="s">
        <v>3925</v>
      </c>
      <c r="BN98" s="567"/>
      <c r="BO98" s="567"/>
      <c r="BP98" s="580"/>
      <c r="BQ98" s="578" t="s">
        <v>4912</v>
      </c>
      <c r="BR98" s="836" t="s">
        <v>4911</v>
      </c>
      <c r="BS98" s="570"/>
      <c r="BT98" s="570"/>
      <c r="BU98" s="571"/>
      <c r="BV98" s="578" t="s">
        <v>4910</v>
      </c>
      <c r="BW98" s="836" t="s">
        <v>2266</v>
      </c>
      <c r="BX98" s="540">
        <v>20</v>
      </c>
      <c r="BY98" s="536">
        <v>20</v>
      </c>
      <c r="BZ98" s="374">
        <f>BY98/BX98</f>
        <v>1</v>
      </c>
      <c r="CA98" s="835" t="s">
        <v>4909</v>
      </c>
      <c r="CB98" s="835" t="s">
        <v>4908</v>
      </c>
      <c r="CC98" s="396" t="s">
        <v>4907</v>
      </c>
      <c r="CD98" s="525"/>
      <c r="CE98" s="574">
        <v>20</v>
      </c>
      <c r="CF98" s="574">
        <v>20</v>
      </c>
      <c r="CG98" s="543">
        <f>+CE98/CF98</f>
        <v>1</v>
      </c>
      <c r="CH98" s="543">
        <f>+CG98</f>
        <v>1</v>
      </c>
      <c r="CI98" s="543">
        <f>+T98</f>
        <v>1</v>
      </c>
      <c r="CJ98" s="543">
        <f>+CH98/CI98</f>
        <v>1</v>
      </c>
      <c r="CK98" s="542"/>
    </row>
    <row r="99" spans="1:89" s="389" customFormat="1" ht="192" x14ac:dyDescent="0.25">
      <c r="B99" s="581" t="s">
        <v>221</v>
      </c>
      <c r="C99" s="582" t="s">
        <v>213</v>
      </c>
      <c r="D99" s="583" t="s">
        <v>2485</v>
      </c>
      <c r="E99" s="584" t="s">
        <v>3926</v>
      </c>
      <c r="F99" s="585" t="s">
        <v>3927</v>
      </c>
      <c r="G99" s="583" t="s">
        <v>3928</v>
      </c>
      <c r="H99" s="583" t="s">
        <v>3929</v>
      </c>
      <c r="I99" s="586" t="s">
        <v>3930</v>
      </c>
      <c r="J99" s="587" t="s">
        <v>2329</v>
      </c>
      <c r="K99" s="586" t="s">
        <v>3931</v>
      </c>
      <c r="L99" s="586" t="s">
        <v>3932</v>
      </c>
      <c r="M99" s="586" t="s">
        <v>3933</v>
      </c>
      <c r="N99" s="584" t="s">
        <v>2248</v>
      </c>
      <c r="O99" s="583" t="s">
        <v>3934</v>
      </c>
      <c r="P99" s="588" t="s">
        <v>1777</v>
      </c>
      <c r="Q99" s="589" t="s">
        <v>3935</v>
      </c>
      <c r="R99" s="590">
        <v>1</v>
      </c>
      <c r="S99" s="591" t="s">
        <v>2248</v>
      </c>
      <c r="T99" s="590">
        <v>1</v>
      </c>
      <c r="U99" s="592"/>
      <c r="V99" s="592"/>
      <c r="W99" s="593"/>
      <c r="X99" s="505" t="s">
        <v>3936</v>
      </c>
      <c r="Y99" s="559" t="s">
        <v>3937</v>
      </c>
      <c r="Z99" s="592"/>
      <c r="AA99" s="592"/>
      <c r="AB99" s="593"/>
      <c r="AC99" s="505" t="s">
        <v>3938</v>
      </c>
      <c r="AD99" s="505" t="s">
        <v>3239</v>
      </c>
      <c r="AE99" s="427">
        <v>1280</v>
      </c>
      <c r="AF99" s="427">
        <v>1500</v>
      </c>
      <c r="AG99" s="377">
        <f>AE99/AF99</f>
        <v>0.85333333333333339</v>
      </c>
      <c r="AH99" s="614" t="s">
        <v>4906</v>
      </c>
      <c r="AI99" s="559" t="s">
        <v>3939</v>
      </c>
      <c r="AJ99" s="592"/>
      <c r="AK99" s="592"/>
      <c r="AL99" s="593"/>
      <c r="AM99" s="505" t="s">
        <v>4905</v>
      </c>
      <c r="AN99" s="559" t="s">
        <v>3940</v>
      </c>
      <c r="AO99" s="421"/>
      <c r="AP99" s="421"/>
      <c r="AQ99" s="422"/>
      <c r="AR99" s="505" t="s">
        <v>3941</v>
      </c>
      <c r="AS99" s="559" t="s">
        <v>3942</v>
      </c>
      <c r="AT99" s="427">
        <v>1933</v>
      </c>
      <c r="AU99" s="427">
        <v>1500</v>
      </c>
      <c r="AV99" s="373">
        <f>AT99/AU99</f>
        <v>1.2886666666666666</v>
      </c>
      <c r="AW99" s="614" t="s">
        <v>4904</v>
      </c>
      <c r="AX99" s="559" t="s">
        <v>3943</v>
      </c>
      <c r="AY99" s="594"/>
      <c r="AZ99" s="592"/>
      <c r="BA99" s="593"/>
      <c r="BB99" s="562" t="s">
        <v>3944</v>
      </c>
      <c r="BC99" s="595" t="s">
        <v>3945</v>
      </c>
      <c r="BD99" s="592"/>
      <c r="BE99" s="592"/>
      <c r="BF99" s="593"/>
      <c r="BG99" s="505" t="s">
        <v>3946</v>
      </c>
      <c r="BH99" s="505" t="s">
        <v>3947</v>
      </c>
      <c r="BI99" s="596">
        <v>1500</v>
      </c>
      <c r="BJ99" s="596">
        <v>1500</v>
      </c>
      <c r="BK99" s="597">
        <v>1</v>
      </c>
      <c r="BL99" s="505" t="s">
        <v>4903</v>
      </c>
      <c r="BM99" s="505" t="s">
        <v>3948</v>
      </c>
      <c r="BN99" s="421"/>
      <c r="BO99" s="421"/>
      <c r="BP99" s="598"/>
      <c r="BQ99" s="505" t="s">
        <v>4902</v>
      </c>
      <c r="BR99" s="505" t="s">
        <v>4865</v>
      </c>
      <c r="BS99" s="594"/>
      <c r="BT99" s="592"/>
      <c r="BU99" s="593"/>
      <c r="BV99" s="505" t="s">
        <v>4901</v>
      </c>
      <c r="BW99" s="505" t="s">
        <v>4871</v>
      </c>
      <c r="BX99" s="393">
        <v>1289</v>
      </c>
      <c r="BY99" s="393">
        <v>1500</v>
      </c>
      <c r="BZ99" s="394">
        <f>BX99/BY99</f>
        <v>0.85933333333333328</v>
      </c>
      <c r="CA99" s="831" t="s">
        <v>4900</v>
      </c>
      <c r="CB99" s="396" t="s">
        <v>4899</v>
      </c>
      <c r="CC99" s="378" t="s">
        <v>4898</v>
      </c>
      <c r="CE99" s="495">
        <f>BX99+BI99+AT99+AE99</f>
        <v>6002</v>
      </c>
      <c r="CF99" s="495">
        <f>BY99+BJ99+AU99+AF99</f>
        <v>6000</v>
      </c>
      <c r="CG99" s="435">
        <f>+CE99/CF99</f>
        <v>1.0003333333333333</v>
      </c>
      <c r="CH99" s="435">
        <f>+CG99</f>
        <v>1.0003333333333333</v>
      </c>
      <c r="CI99" s="590">
        <v>1</v>
      </c>
      <c r="CJ99" s="435">
        <f>+CH99/CI99</f>
        <v>1.0003333333333333</v>
      </c>
      <c r="CK99" s="388"/>
    </row>
    <row r="100" spans="1:89" s="389" customFormat="1" ht="192" x14ac:dyDescent="0.25">
      <c r="B100" s="581" t="s">
        <v>221</v>
      </c>
      <c r="C100" s="599" t="s">
        <v>213</v>
      </c>
      <c r="D100" s="600" t="s">
        <v>2485</v>
      </c>
      <c r="E100" s="601" t="s">
        <v>3949</v>
      </c>
      <c r="F100" s="371" t="s">
        <v>3950</v>
      </c>
      <c r="G100" s="586" t="s">
        <v>3951</v>
      </c>
      <c r="H100" s="586" t="s">
        <v>3952</v>
      </c>
      <c r="I100" s="586" t="s">
        <v>3953</v>
      </c>
      <c r="J100" s="587" t="s">
        <v>2329</v>
      </c>
      <c r="K100" s="586" t="s">
        <v>3954</v>
      </c>
      <c r="L100" s="586" t="s">
        <v>3955</v>
      </c>
      <c r="M100" s="586" t="s">
        <v>3956</v>
      </c>
      <c r="N100" s="601" t="s">
        <v>2248</v>
      </c>
      <c r="O100" s="586" t="s">
        <v>3957</v>
      </c>
      <c r="P100" s="587" t="s">
        <v>2366</v>
      </c>
      <c r="Q100" s="589" t="s">
        <v>3935</v>
      </c>
      <c r="R100" s="602">
        <v>0.55000000000000004</v>
      </c>
      <c r="S100" s="601" t="s">
        <v>2248</v>
      </c>
      <c r="T100" s="603">
        <v>1</v>
      </c>
      <c r="U100" s="592"/>
      <c r="V100" s="592"/>
      <c r="X100" s="413" t="s">
        <v>3958</v>
      </c>
      <c r="Y100" s="559" t="s">
        <v>3959</v>
      </c>
      <c r="Z100" s="592"/>
      <c r="AA100" s="592"/>
      <c r="AB100" s="593"/>
      <c r="AC100" s="505" t="s">
        <v>3960</v>
      </c>
      <c r="AD100" s="505" t="s">
        <v>3239</v>
      </c>
      <c r="AE100" s="421"/>
      <c r="AF100" s="604"/>
      <c r="AG100" s="605"/>
      <c r="AH100" s="562" t="s">
        <v>4897</v>
      </c>
      <c r="AI100" s="559" t="s">
        <v>3939</v>
      </c>
      <c r="AJ100" s="592"/>
      <c r="AK100" s="592"/>
      <c r="AL100" s="593"/>
      <c r="AM100" s="606" t="s">
        <v>4896</v>
      </c>
      <c r="AN100" s="559" t="s">
        <v>3940</v>
      </c>
      <c r="AO100" s="594"/>
      <c r="AP100" s="592"/>
      <c r="AQ100" s="593"/>
      <c r="AR100" s="606" t="s">
        <v>3961</v>
      </c>
      <c r="AS100" s="505" t="s">
        <v>3962</v>
      </c>
      <c r="AT100" s="376">
        <v>112</v>
      </c>
      <c r="AU100" s="393">
        <v>75</v>
      </c>
      <c r="AV100" s="422">
        <f>AT100/AU100</f>
        <v>1.4933333333333334</v>
      </c>
      <c r="AW100" s="614" t="s">
        <v>4895</v>
      </c>
      <c r="AX100" s="505" t="s">
        <v>3963</v>
      </c>
      <c r="AY100" s="594"/>
      <c r="AZ100" s="592"/>
      <c r="BA100" s="593"/>
      <c r="BB100" s="505" t="s">
        <v>3964</v>
      </c>
      <c r="BC100" s="595" t="s">
        <v>3965</v>
      </c>
      <c r="BD100" s="607"/>
      <c r="BE100" s="592"/>
      <c r="BF100" s="593"/>
      <c r="BG100" s="614" t="s">
        <v>3966</v>
      </c>
      <c r="BH100" s="505" t="s">
        <v>3947</v>
      </c>
      <c r="BI100" s="421"/>
      <c r="BJ100" s="421"/>
      <c r="BK100" s="598"/>
      <c r="BL100" s="614" t="s">
        <v>4894</v>
      </c>
      <c r="BM100" s="559" t="s">
        <v>3967</v>
      </c>
      <c r="BN100" s="421"/>
      <c r="BO100" s="421"/>
      <c r="BP100" s="598"/>
      <c r="BQ100" s="505" t="s">
        <v>4893</v>
      </c>
      <c r="BR100" s="505" t="s">
        <v>4865</v>
      </c>
      <c r="BS100" s="594"/>
      <c r="BT100" s="592"/>
      <c r="BU100" s="593"/>
      <c r="BV100" s="505" t="s">
        <v>4892</v>
      </c>
      <c r="BW100" s="505" t="s">
        <v>4871</v>
      </c>
      <c r="BX100" s="376">
        <v>38</v>
      </c>
      <c r="BY100" s="376">
        <v>75</v>
      </c>
      <c r="BZ100" s="377">
        <f>BX100/BY100</f>
        <v>0.50666666666666671</v>
      </c>
      <c r="CA100" s="833" t="s">
        <v>4891</v>
      </c>
      <c r="CB100" s="396" t="s">
        <v>4890</v>
      </c>
      <c r="CC100" s="378" t="s">
        <v>4889</v>
      </c>
      <c r="CE100" s="432">
        <f>BX100+AT100</f>
        <v>150</v>
      </c>
      <c r="CF100" s="432">
        <f>BY100+AU100</f>
        <v>150</v>
      </c>
      <c r="CG100" s="417">
        <f>+CE100/CF100</f>
        <v>1</v>
      </c>
      <c r="CH100" s="417">
        <f>+CG100</f>
        <v>1</v>
      </c>
      <c r="CI100" s="417">
        <f>T100</f>
        <v>1</v>
      </c>
      <c r="CJ100" s="417">
        <f>+CH100/CI100</f>
        <v>1</v>
      </c>
      <c r="CK100" s="388"/>
    </row>
    <row r="101" spans="1:89" s="389" customFormat="1" ht="396" x14ac:dyDescent="0.25">
      <c r="B101" s="581" t="s">
        <v>221</v>
      </c>
      <c r="C101" s="582" t="s">
        <v>213</v>
      </c>
      <c r="D101" s="583" t="s">
        <v>2485</v>
      </c>
      <c r="E101" s="584" t="s">
        <v>3968</v>
      </c>
      <c r="F101" s="371" t="s">
        <v>3950</v>
      </c>
      <c r="G101" s="583" t="s">
        <v>3969</v>
      </c>
      <c r="H101" s="583" t="s">
        <v>3970</v>
      </c>
      <c r="I101" s="586" t="s">
        <v>3971</v>
      </c>
      <c r="J101" s="587" t="s">
        <v>2329</v>
      </c>
      <c r="K101" s="586" t="s">
        <v>3972</v>
      </c>
      <c r="L101" s="586" t="s">
        <v>3973</v>
      </c>
      <c r="M101" s="586" t="s">
        <v>3974</v>
      </c>
      <c r="N101" s="584" t="s">
        <v>3975</v>
      </c>
      <c r="O101" s="608" t="s">
        <v>3976</v>
      </c>
      <c r="P101" s="587" t="s">
        <v>1777</v>
      </c>
      <c r="Q101" s="589" t="s">
        <v>3935</v>
      </c>
      <c r="R101" s="602" t="s">
        <v>2291</v>
      </c>
      <c r="S101" s="602" t="s">
        <v>2291</v>
      </c>
      <c r="T101" s="602">
        <v>0.7</v>
      </c>
      <c r="U101" s="443"/>
      <c r="V101" s="443"/>
      <c r="W101" s="444"/>
      <c r="X101" s="395" t="s">
        <v>3977</v>
      </c>
      <c r="Y101" s="559" t="s">
        <v>3959</v>
      </c>
      <c r="Z101" s="592"/>
      <c r="AA101" s="592"/>
      <c r="AC101" s="424" t="s">
        <v>3978</v>
      </c>
      <c r="AD101" s="505" t="s">
        <v>3239</v>
      </c>
      <c r="AE101" s="425">
        <v>229</v>
      </c>
      <c r="AF101" s="421">
        <v>229</v>
      </c>
      <c r="AG101" s="394">
        <f>AE101/AF101</f>
        <v>1</v>
      </c>
      <c r="AH101" s="424" t="s">
        <v>3979</v>
      </c>
      <c r="AI101" s="559" t="s">
        <v>3939</v>
      </c>
      <c r="AJ101" s="592"/>
      <c r="AK101" s="592"/>
      <c r="AL101" s="593"/>
      <c r="AM101" s="413" t="s">
        <v>4888</v>
      </c>
      <c r="AN101" s="559" t="s">
        <v>3940</v>
      </c>
      <c r="AO101" s="594"/>
      <c r="AP101" s="592"/>
      <c r="AQ101" s="593"/>
      <c r="AR101" s="413" t="s">
        <v>3980</v>
      </c>
      <c r="AS101" s="559" t="s">
        <v>3981</v>
      </c>
      <c r="AT101" s="421">
        <v>250</v>
      </c>
      <c r="AU101" s="421">
        <v>250</v>
      </c>
      <c r="AV101" s="422">
        <v>1</v>
      </c>
      <c r="AW101" s="622" t="s">
        <v>4887</v>
      </c>
      <c r="AX101" s="505" t="s">
        <v>3982</v>
      </c>
      <c r="AY101" s="594"/>
      <c r="AZ101" s="592"/>
      <c r="BA101" s="593"/>
      <c r="BB101" s="505" t="s">
        <v>4886</v>
      </c>
      <c r="BC101" s="615" t="s">
        <v>4000</v>
      </c>
      <c r="BD101" s="443"/>
      <c r="BE101" s="443"/>
      <c r="BF101" s="444"/>
      <c r="BG101" s="505" t="s">
        <v>4885</v>
      </c>
      <c r="BH101" s="505" t="s">
        <v>3947</v>
      </c>
      <c r="BI101" s="616">
        <v>401</v>
      </c>
      <c r="BJ101" s="617">
        <v>454</v>
      </c>
      <c r="BK101" s="618">
        <f>BI101/BJ101</f>
        <v>0.88325991189427311</v>
      </c>
      <c r="BL101" s="619" t="s">
        <v>4884</v>
      </c>
      <c r="BM101" s="505" t="s">
        <v>4001</v>
      </c>
      <c r="BO101" s="617"/>
      <c r="BP101" s="598"/>
      <c r="BQ101" s="619" t="s">
        <v>4883</v>
      </c>
      <c r="BR101" s="505" t="s">
        <v>4882</v>
      </c>
      <c r="BS101" s="616"/>
      <c r="BT101" s="617"/>
      <c r="BU101" s="618"/>
      <c r="BV101" s="619" t="s">
        <v>4881</v>
      </c>
      <c r="BW101" s="505" t="s">
        <v>4880</v>
      </c>
      <c r="BX101" s="611">
        <v>433</v>
      </c>
      <c r="BY101" s="611">
        <v>600</v>
      </c>
      <c r="BZ101" s="612">
        <f>BX101/BY101</f>
        <v>0.72166666666666668</v>
      </c>
      <c r="CA101" s="833" t="s">
        <v>4879</v>
      </c>
      <c r="CB101" s="832" t="s">
        <v>4878</v>
      </c>
      <c r="CC101" s="378" t="s">
        <v>4877</v>
      </c>
      <c r="CE101" s="495">
        <f>BX101+BI101+AT101+AE101</f>
        <v>1313</v>
      </c>
      <c r="CF101" s="495">
        <f>BY101+BJ101+AU101+AF101</f>
        <v>1533</v>
      </c>
      <c r="CG101" s="435">
        <f>+CE101/CF101</f>
        <v>0.85649054142204828</v>
      </c>
      <c r="CH101" s="435">
        <f>+CG101</f>
        <v>0.85649054142204828</v>
      </c>
      <c r="CI101" s="609">
        <v>0.7</v>
      </c>
      <c r="CJ101" s="417">
        <f>+CH101/CI101</f>
        <v>1.2235579163172119</v>
      </c>
      <c r="CK101" s="388"/>
    </row>
    <row r="102" spans="1:89" s="389" customFormat="1" ht="360" x14ac:dyDescent="0.25">
      <c r="B102" s="610" t="s">
        <v>221</v>
      </c>
      <c r="C102" s="606" t="s">
        <v>213</v>
      </c>
      <c r="D102" s="582" t="s">
        <v>3987</v>
      </c>
      <c r="E102" s="584" t="s">
        <v>3988</v>
      </c>
      <c r="F102" s="371" t="s">
        <v>3950</v>
      </c>
      <c r="G102" s="583" t="s">
        <v>3989</v>
      </c>
      <c r="H102" s="583" t="s">
        <v>3990</v>
      </c>
      <c r="I102" s="586" t="s">
        <v>3991</v>
      </c>
      <c r="J102" s="587" t="s">
        <v>2329</v>
      </c>
      <c r="K102" s="586" t="s">
        <v>3992</v>
      </c>
      <c r="L102" s="586" t="s">
        <v>3993</v>
      </c>
      <c r="M102" s="586" t="s">
        <v>3994</v>
      </c>
      <c r="N102" s="584" t="s">
        <v>3975</v>
      </c>
      <c r="O102" s="583" t="s">
        <v>3995</v>
      </c>
      <c r="P102" s="587" t="s">
        <v>1747</v>
      </c>
      <c r="Q102" s="589" t="s">
        <v>3935</v>
      </c>
      <c r="R102" s="602" t="s">
        <v>2291</v>
      </c>
      <c r="S102" s="602" t="s">
        <v>2291</v>
      </c>
      <c r="T102" s="602">
        <v>1</v>
      </c>
      <c r="U102" s="611"/>
      <c r="V102" s="611"/>
      <c r="W102" s="612"/>
      <c r="X102" s="395" t="s">
        <v>4876</v>
      </c>
      <c r="Y102" s="559" t="s">
        <v>3959</v>
      </c>
      <c r="Z102" s="443"/>
      <c r="AA102" s="443"/>
      <c r="AB102" s="444"/>
      <c r="AC102" s="613" t="s">
        <v>4875</v>
      </c>
      <c r="AD102" s="505" t="s">
        <v>3239</v>
      </c>
      <c r="AE102" s="392">
        <v>2158</v>
      </c>
      <c r="AF102" s="393">
        <v>2400</v>
      </c>
      <c r="AG102" s="394">
        <f>AE102/AF102</f>
        <v>0.89916666666666667</v>
      </c>
      <c r="AH102" s="395" t="s">
        <v>3996</v>
      </c>
      <c r="AI102" s="559" t="s">
        <v>3939</v>
      </c>
      <c r="AJ102" s="443"/>
      <c r="AK102" s="443"/>
      <c r="AL102" s="444"/>
      <c r="AM102" s="411" t="s">
        <v>3997</v>
      </c>
      <c r="AN102" s="559" t="s">
        <v>3940</v>
      </c>
      <c r="AO102" s="498"/>
      <c r="AP102" s="443"/>
      <c r="AQ102" s="444"/>
      <c r="AR102" s="413" t="s">
        <v>3998</v>
      </c>
      <c r="AS102" s="505" t="s">
        <v>3962</v>
      </c>
      <c r="AT102" s="421">
        <v>3354</v>
      </c>
      <c r="AU102" s="421">
        <v>2400</v>
      </c>
      <c r="AV102" s="422">
        <f>AT102/AU102</f>
        <v>1.3975</v>
      </c>
      <c r="AW102" s="614" t="s">
        <v>4874</v>
      </c>
      <c r="AX102" s="505" t="s">
        <v>3999</v>
      </c>
      <c r="AY102" s="498"/>
      <c r="AZ102" s="443"/>
      <c r="BA102" s="444"/>
      <c r="BB102" s="505" t="s">
        <v>3983</v>
      </c>
      <c r="BC102" s="595" t="s">
        <v>3965</v>
      </c>
      <c r="BD102" s="592"/>
      <c r="BE102" s="592"/>
      <c r="BF102" s="593"/>
      <c r="BG102" s="505" t="s">
        <v>3984</v>
      </c>
      <c r="BH102" s="505" t="s">
        <v>3947</v>
      </c>
      <c r="BI102" s="421">
        <v>966</v>
      </c>
      <c r="BJ102" s="596">
        <v>1000</v>
      </c>
      <c r="BK102" s="598">
        <f>BI102/BJ102</f>
        <v>0.96599999999999997</v>
      </c>
      <c r="BL102" s="505" t="s">
        <v>3985</v>
      </c>
      <c r="BM102" s="505" t="s">
        <v>3986</v>
      </c>
      <c r="BN102" s="393">
        <v>992</v>
      </c>
      <c r="BO102" s="389">
        <v>1000</v>
      </c>
      <c r="BP102" s="598">
        <f>BN102/BO102</f>
        <v>0.99199999999999999</v>
      </c>
      <c r="BQ102" s="505" t="s">
        <v>4873</v>
      </c>
      <c r="BR102" s="505" t="s">
        <v>4865</v>
      </c>
      <c r="BS102" s="392">
        <v>958</v>
      </c>
      <c r="BT102" s="393">
        <v>1000</v>
      </c>
      <c r="BU102" s="394">
        <f>BS102/BT102</f>
        <v>0.95799999999999996</v>
      </c>
      <c r="BV102" s="505" t="s">
        <v>4872</v>
      </c>
      <c r="BW102" s="505" t="s">
        <v>4871</v>
      </c>
      <c r="BX102" s="393">
        <f>148+53+61+188+422</f>
        <v>872</v>
      </c>
      <c r="BY102" s="393">
        <v>1000</v>
      </c>
      <c r="BZ102" s="612">
        <f>BX102/BY102</f>
        <v>0.872</v>
      </c>
      <c r="CA102" s="831" t="s">
        <v>4870</v>
      </c>
      <c r="CB102" s="830" t="s">
        <v>4869</v>
      </c>
      <c r="CC102" s="829" t="s">
        <v>4868</v>
      </c>
      <c r="CE102" s="495">
        <f>U102+Z102+AE102+AJ102+AO102+AT102+AY102+BD102+BI102+BN102+BS102+BX102</f>
        <v>9300</v>
      </c>
      <c r="CF102" s="495">
        <f>V102+AA102+AF102+AK102+AP102+AU102+AZ102+BE102+BJ102+BO102+BT102+BY102</f>
        <v>8800</v>
      </c>
      <c r="CG102" s="435">
        <f>+CE102/CF102</f>
        <v>1.0568181818181819</v>
      </c>
      <c r="CH102" s="435">
        <f>+CG102</f>
        <v>1.0568181818181819</v>
      </c>
      <c r="CI102" s="620">
        <v>1</v>
      </c>
      <c r="CJ102" s="435">
        <f>+CH102/CI102</f>
        <v>1.0568181818181819</v>
      </c>
      <c r="CK102" s="388"/>
    </row>
    <row r="103" spans="1:89" s="389" customFormat="1" ht="180" x14ac:dyDescent="0.25">
      <c r="B103" s="610" t="s">
        <v>221</v>
      </c>
      <c r="C103" s="606" t="s">
        <v>213</v>
      </c>
      <c r="D103" s="582" t="s">
        <v>2485</v>
      </c>
      <c r="E103" s="584" t="s">
        <v>4002</v>
      </c>
      <c r="F103" s="371" t="s">
        <v>3950</v>
      </c>
      <c r="G103" s="583" t="s">
        <v>4003</v>
      </c>
      <c r="H103" s="583" t="s">
        <v>4004</v>
      </c>
      <c r="I103" s="586" t="s">
        <v>4005</v>
      </c>
      <c r="J103" s="587" t="s">
        <v>2329</v>
      </c>
      <c r="K103" s="586" t="s">
        <v>4006</v>
      </c>
      <c r="L103" s="586" t="s">
        <v>4007</v>
      </c>
      <c r="M103" s="586" t="s">
        <v>4008</v>
      </c>
      <c r="N103" s="584" t="s">
        <v>3975</v>
      </c>
      <c r="O103" s="583" t="s">
        <v>4009</v>
      </c>
      <c r="P103" s="587" t="s">
        <v>1747</v>
      </c>
      <c r="Q103" s="589" t="s">
        <v>3935</v>
      </c>
      <c r="R103" s="602" t="s">
        <v>2291</v>
      </c>
      <c r="S103" s="602" t="s">
        <v>2291</v>
      </c>
      <c r="T103" s="602">
        <v>1</v>
      </c>
      <c r="U103" s="611"/>
      <c r="V103" s="611"/>
      <c r="W103" s="612"/>
      <c r="X103" s="395"/>
      <c r="Y103" s="559"/>
      <c r="Z103" s="443"/>
      <c r="AA103" s="443"/>
      <c r="AB103" s="444"/>
      <c r="AC103" s="613"/>
      <c r="AD103" s="505"/>
      <c r="AE103" s="392"/>
      <c r="AF103" s="393"/>
      <c r="AG103" s="394"/>
      <c r="AH103" s="395"/>
      <c r="AI103" s="559"/>
      <c r="AJ103" s="443"/>
      <c r="AK103" s="443"/>
      <c r="AL103" s="444"/>
      <c r="AM103" s="411"/>
      <c r="AN103" s="559"/>
      <c r="AO103" s="498"/>
      <c r="AP103" s="443"/>
      <c r="AQ103" s="444"/>
      <c r="AR103" s="413"/>
      <c r="AS103" s="505"/>
      <c r="AT103" s="421"/>
      <c r="AU103" s="421"/>
      <c r="AV103" s="422"/>
      <c r="AW103" s="614"/>
      <c r="AX103" s="505"/>
      <c r="AY103" s="498"/>
      <c r="AZ103" s="443"/>
      <c r="BA103" s="444"/>
      <c r="BB103" s="505"/>
      <c r="BC103" s="595"/>
      <c r="BD103" s="592"/>
      <c r="BE103" s="592"/>
      <c r="BF103" s="593"/>
      <c r="BG103" s="505"/>
      <c r="BH103" s="505"/>
      <c r="BI103" s="421">
        <v>10</v>
      </c>
      <c r="BJ103" s="596">
        <v>10</v>
      </c>
      <c r="BK103" s="598">
        <v>1</v>
      </c>
      <c r="BL103" s="505" t="s">
        <v>4867</v>
      </c>
      <c r="BM103" s="505" t="s">
        <v>4010</v>
      </c>
      <c r="BN103" s="393">
        <v>37</v>
      </c>
      <c r="BO103" s="389">
        <v>37</v>
      </c>
      <c r="BP103" s="598">
        <v>1</v>
      </c>
      <c r="BQ103" s="505" t="s">
        <v>4866</v>
      </c>
      <c r="BR103" s="505" t="s">
        <v>4865</v>
      </c>
      <c r="BS103" s="392">
        <v>13</v>
      </c>
      <c r="BT103" s="393">
        <v>13</v>
      </c>
      <c r="BU103" s="394">
        <v>1</v>
      </c>
      <c r="BV103" s="505" t="s">
        <v>4864</v>
      </c>
      <c r="BW103" s="505"/>
      <c r="BX103" s="393">
        <v>11</v>
      </c>
      <c r="BY103" s="393">
        <v>11</v>
      </c>
      <c r="BZ103" s="612">
        <f>BX103/BY103</f>
        <v>1</v>
      </c>
      <c r="CA103" s="831" t="s">
        <v>4863</v>
      </c>
      <c r="CB103" s="830" t="s">
        <v>4862</v>
      </c>
      <c r="CC103" s="829" t="s">
        <v>4861</v>
      </c>
      <c r="CE103" s="495">
        <f>U103+Z103+AE103+AJ103+AO103+AT103+AY103+BD103+BI103+BN103+BS103+BX103</f>
        <v>71</v>
      </c>
      <c r="CF103" s="495">
        <f>V103+AA103+AF103+AK103+AP103+AU103+AZ103+BE103+BJ103+BO103+BT103+BY103</f>
        <v>71</v>
      </c>
      <c r="CG103" s="435">
        <f>+CE103/CF103</f>
        <v>1</v>
      </c>
      <c r="CH103" s="435">
        <f>+CG103</f>
        <v>1</v>
      </c>
      <c r="CI103" s="620">
        <v>1</v>
      </c>
      <c r="CJ103" s="435">
        <f>+CH103/CI103</f>
        <v>1</v>
      </c>
      <c r="CK103" s="388"/>
    </row>
    <row r="104" spans="1:89" s="389" customFormat="1" ht="204" x14ac:dyDescent="0.25">
      <c r="B104" s="369" t="s">
        <v>4011</v>
      </c>
      <c r="C104" s="369" t="s">
        <v>2238</v>
      </c>
      <c r="D104" s="369" t="s">
        <v>65</v>
      </c>
      <c r="E104" s="370" t="s">
        <v>4012</v>
      </c>
      <c r="F104" s="371" t="s">
        <v>4013</v>
      </c>
      <c r="G104" s="372" t="s">
        <v>4014</v>
      </c>
      <c r="H104" s="372" t="s">
        <v>4015</v>
      </c>
      <c r="I104" s="372" t="s">
        <v>4016</v>
      </c>
      <c r="J104" s="370" t="s">
        <v>2244</v>
      </c>
      <c r="K104" s="438" t="s">
        <v>4017</v>
      </c>
      <c r="L104" s="372" t="s">
        <v>4018</v>
      </c>
      <c r="M104" s="372" t="s">
        <v>4860</v>
      </c>
      <c r="N104" s="369" t="s">
        <v>2248</v>
      </c>
      <c r="O104" s="372" t="s">
        <v>4018</v>
      </c>
      <c r="P104" s="419" t="s">
        <v>1777</v>
      </c>
      <c r="Q104" s="420" t="s">
        <v>30</v>
      </c>
      <c r="R104" s="373">
        <v>0.96</v>
      </c>
      <c r="S104" s="369" t="s">
        <v>2248</v>
      </c>
      <c r="T104" s="373">
        <v>0.98</v>
      </c>
      <c r="U104" s="393"/>
      <c r="V104" s="393"/>
      <c r="W104" s="394"/>
      <c r="X104" s="507" t="s">
        <v>4019</v>
      </c>
      <c r="Y104" s="410" t="s">
        <v>4020</v>
      </c>
      <c r="Z104" s="393"/>
      <c r="AA104" s="393"/>
      <c r="AB104" s="394"/>
      <c r="AC104" s="508" t="s">
        <v>4021</v>
      </c>
      <c r="AD104" s="410" t="s">
        <v>4020</v>
      </c>
      <c r="AE104" s="394">
        <v>0.82</v>
      </c>
      <c r="AF104" s="394">
        <v>0.96</v>
      </c>
      <c r="AG104" s="394">
        <f>+AE104/AF104</f>
        <v>0.85416666666666663</v>
      </c>
      <c r="AH104" s="507" t="s">
        <v>4022</v>
      </c>
      <c r="AI104" s="410" t="s">
        <v>3067</v>
      </c>
      <c r="AJ104" s="393"/>
      <c r="AK104" s="393"/>
      <c r="AL104" s="394"/>
      <c r="AM104" s="508" t="s">
        <v>4023</v>
      </c>
      <c r="AN104" s="410" t="s">
        <v>4024</v>
      </c>
      <c r="AO104" s="394"/>
      <c r="AP104" s="393"/>
      <c r="AQ104" s="394"/>
      <c r="AR104" s="507" t="s">
        <v>4025</v>
      </c>
      <c r="AS104" s="410" t="s">
        <v>2337</v>
      </c>
      <c r="AT104" s="422">
        <v>1.0900000000000001</v>
      </c>
      <c r="AU104" s="422">
        <v>1</v>
      </c>
      <c r="AV104" s="422">
        <f>+AT104/AU104</f>
        <v>1.0900000000000001</v>
      </c>
      <c r="AW104" s="623" t="s">
        <v>4026</v>
      </c>
      <c r="AX104" s="410" t="s">
        <v>4027</v>
      </c>
      <c r="AY104" s="422"/>
      <c r="AZ104" s="393"/>
      <c r="BA104" s="394"/>
      <c r="BB104" s="623" t="s">
        <v>4028</v>
      </c>
      <c r="BC104" s="410" t="s">
        <v>4029</v>
      </c>
      <c r="BD104" s="393"/>
      <c r="BE104" s="393"/>
      <c r="BF104" s="394"/>
      <c r="BG104" s="508" t="s">
        <v>4030</v>
      </c>
      <c r="BH104" s="410" t="s">
        <v>4031</v>
      </c>
      <c r="BI104" s="422">
        <v>0.97</v>
      </c>
      <c r="BJ104" s="422">
        <v>1</v>
      </c>
      <c r="BK104" s="394">
        <f>+BI104/BJ104</f>
        <v>0.97</v>
      </c>
      <c r="BL104" s="507" t="s">
        <v>4032</v>
      </c>
      <c r="BM104" s="410" t="s">
        <v>4859</v>
      </c>
      <c r="BN104" s="393"/>
      <c r="BO104" s="393"/>
      <c r="BP104" s="394"/>
      <c r="BQ104" s="508" t="s">
        <v>4858</v>
      </c>
      <c r="BR104" s="410" t="s">
        <v>4857</v>
      </c>
      <c r="BS104" s="393"/>
      <c r="BT104" s="393"/>
      <c r="BU104" s="394"/>
      <c r="BV104" s="396" t="s">
        <v>4856</v>
      </c>
      <c r="BW104" s="410" t="s">
        <v>4855</v>
      </c>
      <c r="BX104" s="394">
        <v>0.96</v>
      </c>
      <c r="BY104" s="394">
        <v>1</v>
      </c>
      <c r="BZ104" s="394">
        <f>+BX104/BY104</f>
        <v>0.96</v>
      </c>
      <c r="CA104" s="507" t="s">
        <v>4854</v>
      </c>
      <c r="CB104" s="410" t="s">
        <v>4853</v>
      </c>
      <c r="CC104" s="411" t="s">
        <v>4852</v>
      </c>
      <c r="CE104" s="435">
        <f>AVERAGE(BX104,BI104,AT104,AE104)</f>
        <v>0.96</v>
      </c>
      <c r="CF104" s="435">
        <f>AVERAGE(BY104,BJ104,AU104,AF104)</f>
        <v>0.99</v>
      </c>
      <c r="CG104" s="435">
        <f>+CE104/CF104</f>
        <v>0.96969696969696972</v>
      </c>
      <c r="CH104" s="435">
        <f>+CG104</f>
        <v>0.96969696969696972</v>
      </c>
      <c r="CI104" s="435">
        <f>+T104</f>
        <v>0.98</v>
      </c>
      <c r="CJ104" s="435">
        <f>+CH104/CI104</f>
        <v>0.9894867037724181</v>
      </c>
      <c r="CK104" s="388"/>
    </row>
    <row r="105" spans="1:89" s="389" customFormat="1" ht="392.25" customHeight="1" x14ac:dyDescent="0.25">
      <c r="A105" s="401"/>
      <c r="B105" s="369" t="s">
        <v>230</v>
      </c>
      <c r="C105" s="369" t="s">
        <v>2238</v>
      </c>
      <c r="D105" s="372" t="s">
        <v>91</v>
      </c>
      <c r="E105" s="370" t="s">
        <v>4033</v>
      </c>
      <c r="F105" s="371" t="s">
        <v>4034</v>
      </c>
      <c r="G105" s="372" t="s">
        <v>4035</v>
      </c>
      <c r="H105" s="372" t="s">
        <v>4036</v>
      </c>
      <c r="I105" s="372" t="s">
        <v>4037</v>
      </c>
      <c r="J105" s="370" t="s">
        <v>2244</v>
      </c>
      <c r="K105" s="372" t="s">
        <v>4038</v>
      </c>
      <c r="L105" s="372" t="s">
        <v>4039</v>
      </c>
      <c r="M105" s="372" t="s">
        <v>4040</v>
      </c>
      <c r="N105" s="369" t="s">
        <v>2248</v>
      </c>
      <c r="O105" s="372" t="s">
        <v>4041</v>
      </c>
      <c r="P105" s="370" t="s">
        <v>1777</v>
      </c>
      <c r="Q105" s="402" t="s">
        <v>30</v>
      </c>
      <c r="R105" s="624">
        <v>1</v>
      </c>
      <c r="S105" s="625" t="s">
        <v>2248</v>
      </c>
      <c r="T105" s="626">
        <v>1</v>
      </c>
      <c r="U105" s="393"/>
      <c r="V105" s="393"/>
      <c r="W105" s="394"/>
      <c r="X105" s="396" t="s">
        <v>4042</v>
      </c>
      <c r="Y105" s="396" t="s">
        <v>4043</v>
      </c>
      <c r="Z105" s="396"/>
      <c r="AA105" s="396"/>
      <c r="AB105" s="396"/>
      <c r="AC105" s="396" t="s">
        <v>4044</v>
      </c>
      <c r="AD105" s="396" t="s">
        <v>4043</v>
      </c>
      <c r="AE105" s="519">
        <v>9</v>
      </c>
      <c r="AF105" s="519">
        <v>9</v>
      </c>
      <c r="AG105" s="394">
        <f>AE105/AF105</f>
        <v>1</v>
      </c>
      <c r="AH105" s="396" t="s">
        <v>4045</v>
      </c>
      <c r="AI105" s="396" t="s">
        <v>4046</v>
      </c>
      <c r="AJ105" s="396"/>
      <c r="AK105" s="396"/>
      <c r="AL105" s="396"/>
      <c r="AM105" s="396" t="s">
        <v>4047</v>
      </c>
      <c r="AN105" s="396" t="s">
        <v>4048</v>
      </c>
      <c r="AO105" s="393"/>
      <c r="AP105" s="393"/>
      <c r="AQ105" s="394"/>
      <c r="AR105" s="396" t="s">
        <v>4049</v>
      </c>
      <c r="AS105" s="396" t="s">
        <v>4050</v>
      </c>
      <c r="AT105" s="519">
        <v>26</v>
      </c>
      <c r="AU105" s="519">
        <v>26</v>
      </c>
      <c r="AV105" s="394">
        <f>+AT105/AU105</f>
        <v>1</v>
      </c>
      <c r="AW105" s="396" t="s">
        <v>4851</v>
      </c>
      <c r="AX105" s="396" t="s">
        <v>4051</v>
      </c>
      <c r="AY105" s="396"/>
      <c r="AZ105" s="396"/>
      <c r="BA105" s="396"/>
      <c r="BB105" s="396" t="s">
        <v>4052</v>
      </c>
      <c r="BC105" s="396" t="s">
        <v>4053</v>
      </c>
      <c r="BD105" s="443"/>
      <c r="BE105" s="443"/>
      <c r="BF105" s="444"/>
      <c r="BG105" s="396" t="s">
        <v>4054</v>
      </c>
      <c r="BH105" s="396" t="s">
        <v>4055</v>
      </c>
      <c r="BI105" s="393">
        <v>30</v>
      </c>
      <c r="BJ105" s="393">
        <v>30</v>
      </c>
      <c r="BK105" s="394">
        <f>+BJ105/BI105</f>
        <v>1</v>
      </c>
      <c r="BL105" s="396" t="s">
        <v>4850</v>
      </c>
      <c r="BM105" s="396" t="s">
        <v>4056</v>
      </c>
      <c r="BN105" s="396"/>
      <c r="BO105" s="396"/>
      <c r="BP105" s="396"/>
      <c r="BQ105" s="396" t="s">
        <v>4849</v>
      </c>
      <c r="BR105" s="396" t="s">
        <v>4848</v>
      </c>
      <c r="BS105" s="443"/>
      <c r="BT105" s="393"/>
      <c r="BU105" s="394"/>
      <c r="BV105" s="396" t="s">
        <v>4847</v>
      </c>
      <c r="BW105" s="396" t="s">
        <v>4846</v>
      </c>
      <c r="BX105" s="443">
        <v>32</v>
      </c>
      <c r="BY105" s="828">
        <v>32</v>
      </c>
      <c r="BZ105" s="394">
        <f>+BX105/BY105</f>
        <v>1</v>
      </c>
      <c r="CA105" s="396" t="s">
        <v>4845</v>
      </c>
      <c r="CB105" s="827" t="s">
        <v>4844</v>
      </c>
      <c r="CC105" s="396" t="s">
        <v>4843</v>
      </c>
      <c r="CE105" s="521">
        <f>AE105+AT105+BI105+BX105</f>
        <v>97</v>
      </c>
      <c r="CF105" s="521">
        <f>AF105+AU105+BJ105+BY105</f>
        <v>97</v>
      </c>
      <c r="CG105" s="435">
        <f>CE105/CF105</f>
        <v>1</v>
      </c>
      <c r="CH105" s="435">
        <f>CG105</f>
        <v>1</v>
      </c>
      <c r="CI105" s="435">
        <f>T105</f>
        <v>1</v>
      </c>
      <c r="CJ105" s="435">
        <f>CH105/CI105</f>
        <v>1</v>
      </c>
      <c r="CK105" s="388"/>
    </row>
    <row r="106" spans="1:89" ht="15" customHeight="1" x14ac:dyDescent="0.25">
      <c r="E106" s="401"/>
      <c r="G106" s="826"/>
      <c r="R106" s="826"/>
      <c r="S106" s="401"/>
      <c r="W106" s="825"/>
      <c r="X106" s="825"/>
      <c r="Y106" s="401"/>
      <c r="AB106" s="825"/>
      <c r="AC106" s="825"/>
      <c r="AG106" s="825"/>
      <c r="AH106" s="825"/>
      <c r="AL106" s="825"/>
      <c r="AM106" s="825"/>
      <c r="AN106" s="401"/>
      <c r="AQ106" s="825"/>
      <c r="AR106" s="825"/>
      <c r="AV106" s="825"/>
      <c r="AW106" s="825"/>
      <c r="BA106" s="825"/>
      <c r="BB106" s="825"/>
      <c r="BF106" s="825"/>
      <c r="BG106" s="825"/>
      <c r="BK106" s="825"/>
      <c r="BL106" s="825"/>
      <c r="BP106" s="825"/>
      <c r="BQ106" s="825"/>
      <c r="BU106" s="825"/>
      <c r="BV106" s="825"/>
      <c r="BZ106" s="825"/>
      <c r="CA106" s="825"/>
    </row>
    <row r="107" spans="1:89" ht="0" hidden="1" customHeight="1" x14ac:dyDescent="0.25">
      <c r="AC107" s="401" t="s">
        <v>4842</v>
      </c>
      <c r="AN107" s="825" t="s">
        <v>4836</v>
      </c>
    </row>
    <row r="108" spans="1:89" ht="0" hidden="1" customHeight="1" x14ac:dyDescent="0.25">
      <c r="AC108" s="401" t="s">
        <v>4841</v>
      </c>
      <c r="AN108" s="825" t="s">
        <v>3291</v>
      </c>
    </row>
    <row r="109" spans="1:89" ht="0" hidden="1" customHeight="1" x14ac:dyDescent="0.25">
      <c r="AC109" s="401" t="s">
        <v>4840</v>
      </c>
    </row>
    <row r="110" spans="1:89" ht="0" hidden="1" customHeight="1" x14ac:dyDescent="0.25">
      <c r="AC110" s="401" t="s">
        <v>4839</v>
      </c>
      <c r="AN110" s="825" t="s">
        <v>4836</v>
      </c>
    </row>
    <row r="111" spans="1:89" ht="0" hidden="1" customHeight="1" x14ac:dyDescent="0.25">
      <c r="AN111" s="825" t="s">
        <v>3291</v>
      </c>
    </row>
    <row r="112" spans="1:89" ht="0" hidden="1" customHeight="1" x14ac:dyDescent="0.25">
      <c r="AC112" s="401" t="s">
        <v>4838</v>
      </c>
    </row>
    <row r="113" spans="29:40" ht="0" hidden="1" customHeight="1" x14ac:dyDescent="0.25">
      <c r="AC113" s="401" t="s">
        <v>4837</v>
      </c>
      <c r="AN113" s="825" t="s">
        <v>4836</v>
      </c>
    </row>
    <row r="114" spans="29:40" ht="0" hidden="1" customHeight="1" x14ac:dyDescent="0.25">
      <c r="AC114" s="401" t="s">
        <v>4835</v>
      </c>
    </row>
  </sheetData>
  <sheetProtection formatCells="0" formatColumns="0" formatRows="0" sort="0" autoFilter="0" pivotTables="0"/>
  <autoFilter ref="A12:EI105" xr:uid="{00000000-0001-0000-0000-000000000000}"/>
  <dataConsolidate/>
  <mergeCells count="30">
    <mergeCell ref="E8:F8"/>
    <mergeCell ref="G7:G8"/>
    <mergeCell ref="B11:D11"/>
    <mergeCell ref="B10:T10"/>
    <mergeCell ref="AJ11:AN11"/>
    <mergeCell ref="E11:I11"/>
    <mergeCell ref="J11:Q11"/>
    <mergeCell ref="R11:T11"/>
    <mergeCell ref="U11:Y11"/>
    <mergeCell ref="B2:C5"/>
    <mergeCell ref="Z11:AD11"/>
    <mergeCell ref="AE11:AI11"/>
    <mergeCell ref="B7:C8"/>
    <mergeCell ref="E7:F7"/>
    <mergeCell ref="BI11:BM11"/>
    <mergeCell ref="BN11:BR11"/>
    <mergeCell ref="BS11:BW11"/>
    <mergeCell ref="BX11:CB11"/>
    <mergeCell ref="AT11:AX11"/>
    <mergeCell ref="AO11:AS11"/>
    <mergeCell ref="CH10:CK11"/>
    <mergeCell ref="CE10:CG11"/>
    <mergeCell ref="BZ2:CC2"/>
    <mergeCell ref="BZ3:CC3"/>
    <mergeCell ref="BZ4:CC4"/>
    <mergeCell ref="BZ5:CC5"/>
    <mergeCell ref="U10:CB10"/>
    <mergeCell ref="D2:BY5"/>
    <mergeCell ref="AY11:BC11"/>
    <mergeCell ref="BD11:BH11"/>
  </mergeCells>
  <conditionalFormatting sqref="E61:E63">
    <cfRule type="containsText" dxfId="242" priority="5" operator="containsText" text="NO">
      <formula>NOT(ISERROR(SEARCH("NO",E61)))</formula>
    </cfRule>
    <cfRule type="containsText" dxfId="241" priority="6" operator="containsText" text="SI">
      <formula>NOT(ISERROR(SEARCH("SI",E61)))</formula>
    </cfRule>
  </conditionalFormatting>
  <conditionalFormatting sqref="E91:E97">
    <cfRule type="containsText" dxfId="240" priority="3" operator="containsText" text="NO">
      <formula>NOT(ISERROR(SEARCH(("NO"),(E91))))</formula>
    </cfRule>
  </conditionalFormatting>
  <conditionalFormatting sqref="E91:E97">
    <cfRule type="containsText" dxfId="239" priority="4" operator="containsText" text="SI">
      <formula>NOT(ISERROR(SEARCH(("SI"),(E91))))</formula>
    </cfRule>
  </conditionalFormatting>
  <conditionalFormatting sqref="E104">
    <cfRule type="containsText" dxfId="238" priority="1" operator="containsText" text="NO">
      <formula>NOT(ISERROR(SEARCH("NO",E104)))</formula>
    </cfRule>
    <cfRule type="containsText" dxfId="237" priority="2" operator="containsText" text="SI">
      <formula>NOT(ISERROR(SEARCH("SI",E104)))</formula>
    </cfRule>
  </conditionalFormatting>
  <dataValidations count="46">
    <dataValidation type="list" allowBlank="1" showInputMessage="1" showErrorMessage="1" errorTitle="Error" error="Seleccione un valor de la lista desplegable" sqref="Q22:Q24" xr:uid="{04CF4C85-2138-4B88-BBAB-41BA18136BFF}">
      <formula1>#REF!</formula1>
    </dataValidation>
    <dataValidation type="list" allowBlank="1" showInputMessage="1" showErrorMessage="1" sqref="B62:C62 P62 J62 P22:P24" xr:uid="{7CAD1628-3599-42F8-BFBA-1559A862944F}">
      <formula1>#REF!</formula1>
    </dataValidation>
    <dataValidation type="textLength" allowBlank="1" showInputMessage="1" showErrorMessage="1" errorTitle="Entrada no válida" error="Escriba un texto  Maximo 100 Caracteres" promptTitle="Cualquier contenido Maximo 100 Caracteres" sqref="G55:G56" xr:uid="{C6623F20-E1A7-4C9C-953F-B661690449E9}">
      <formula1>0</formula1>
      <formula2>100</formula2>
    </dataValidation>
    <dataValidation type="textLength" allowBlank="1" showInputMessage="1" showErrorMessage="1" errorTitle="Entrada no válida" error="Escriba un texto  Maximo 500 Caracteres" promptTitle="Cualquier contenido Maximo 500 Caracteres" sqref="H55:I56" xr:uid="{2BF23C31-AB63-40B0-9F1D-F96B484B5B5C}">
      <formula1>0</formula1>
      <formula2>500</formula2>
    </dataValidation>
    <dataValidation type="list" allowBlank="1" showErrorMessage="1" sqref="T95" xr:uid="{0AA60787-FB1E-439E-917A-552B1AFC9CAD}">
      <formula1>TipoMeta</formula1>
    </dataValidation>
    <dataValidation allowBlank="1" showInputMessage="1" showErrorMessage="1" promptTitle="Gràfica del indicador" prompt="De acuerdo a la periodicidad del indicador graficar su avance y tendencia, comparando lo ejecutado, contra lo programado y su meta, asi como, aisgnar el color y rango segun su resultado (&gt;= a 90%  verde, &gt; 70% y &lt; 90% amarillo y &lt;= 70% rojo)." sqref="CK12" xr:uid="{00000000-0002-0000-0000-000028000000}"/>
    <dataValidation allowBlank="1" showInputMessage="1" showErrorMessage="1" prompt="Seleccionar la tendencia que presentará el indicador en la vigencia:_x000a_* Constante: en cada periodo siempre es el mismo valor._x000a_* Creciente: en cada periodo incrementa su valor._x000a_* Decreciente: en cada período disminuye su valor." sqref="Q12" xr:uid="{00000000-0002-0000-0000-000027000000}"/>
    <dataValidation allowBlank="1" showInputMessage="1" showErrorMessage="1" prompt="Registre las observaciones o recomendaciones de la revisión del seguimiento reportado por el proceso. Se diligencia por parte del equipo del Sistema de Gestión al recibir el reporte del seguimiento." sqref="AN12 AS12 AX12 BC12 BH12 BM12 BR12 BW12 CB12 Y12 AD12 AI12" xr:uid="{00000000-0002-0000-0000-000026000000}"/>
    <dataValidation allowBlank="1" showInputMessage="1" showErrorMessage="1" prompt="Es el producto de dividir el resultado del indicador para la vigencia (columna BV) entre la meta anual del indicador para la vigencia (columna BW)." sqref="CJ12" xr:uid="{00000000-0002-0000-0000-000025000000}"/>
    <dataValidation allowBlank="1" showInputMessage="1" showErrorMessage="1" prompt="Registrar la meta anual formulada para el indicador, es decir, el valor de la columna S." sqref="CI12" xr:uid="{00000000-0002-0000-0000-000024000000}"/>
    <dataValidation allowBlank="1" showInputMessage="1" showErrorMessage="1" prompt="Corresponde al porcentaje de avance acumulado, es decir, es el mismo valor calculado en la columna anterior (BU)._x000a_" sqref="CH12" xr:uid="{00000000-0002-0000-0000-000023000000}"/>
    <dataValidation allowBlank="1" showInputMessage="1" showErrorMessage="1" prompt="Es el producto de dividir el resultado del indicador acumulado (columna BS) entre lo programado del indicador acumulado (columna BT)._x000a_" sqref="CG12" xr:uid="{00000000-0002-0000-0000-000022000000}"/>
    <dataValidation allowBlank="1" showInputMessage="1" showErrorMessage="1" prompt="Corresponde al avance programado acumulado (constante; suma o promedio) o al último reporte de programación (creciente o decreciente) del indicador, según corresponda y de acuerdo a su periodicidad." sqref="CF12" xr:uid="{00000000-0002-0000-0000-000021000000}"/>
    <dataValidation allowBlank="1" showInputMessage="1" showErrorMessage="1" prompt="Corresponde al avance ejecutado acumulado (constante; suma o promedio) o al último reporte de ejecución (creciente o decreciente) del indicador, según corresponda y de acuerdo a su periodicidad." sqref="CE12" xr:uid="{00000000-0002-0000-0000-000020000000}"/>
    <dataValidation allowBlank="1" showInputMessage="1" showErrorMessage="1" prompt="Enunciar los pasos que se deben realizar para obtener las variables que conforman el indicador y calcular su resultado. Así mismo, indicar como se obtiene el avance acumulado del indicador, si se debe sumar, promediar o tomar el último dato cuantitativo." sqref="M12" xr:uid="{00000000-0002-0000-0000-00001F000000}"/>
    <dataValidation type="list" allowBlank="1" showInputMessage="1" showErrorMessage="1" sqref="B106:B1048576" xr:uid="{00000000-0002-0000-0000-00001E000000}">
      <formula1>Procesos</formula1>
    </dataValidation>
    <dataValidation type="list" allowBlank="1" showInputMessage="1" showErrorMessage="1" sqref="P107:P1048576" xr:uid="{00000000-0002-0000-0000-00001D000000}">
      <formula1>TipoInd</formula1>
    </dataValidation>
    <dataValidation type="list" allowBlank="1" showInputMessage="1" showErrorMessage="1" sqref="C107:C1048576" xr:uid="{00000000-0002-0000-0000-00001C000000}">
      <formula1>Subsistema</formula1>
    </dataValidation>
    <dataValidation allowBlank="1" showInputMessage="1" showErrorMessage="1" prompt="Formúlese según las características y programación del indicador." sqref="CE10 CH10" xr:uid="{00000000-0002-0000-0000-00001B000000}"/>
    <dataValidation type="list" allowBlank="1" showInputMessage="1" showErrorMessage="1" sqref="D106 E107:E1048576 D89" xr:uid="{00000000-0002-0000-0000-00001A000000}">
      <formula1>ObjEstratégico</formula1>
    </dataValidation>
    <dataValidation type="list" allowBlank="1" showInputMessage="1" showErrorMessage="1" sqref="C106 D107:D1048576" xr:uid="{00000000-0002-0000-0000-000019000000}">
      <formula1>ProyectoInv</formula1>
    </dataValidation>
    <dataValidation type="list" allowBlank="1" showInputMessage="1" showErrorMessage="1" sqref="P106 M107:N1048576" xr:uid="{00000000-0002-0000-0000-000018000000}">
      <formula1>periodicidad</formula1>
    </dataValidation>
    <dataValidation type="list" allowBlank="1" showInputMessage="1" showErrorMessage="1" sqref="E7:E8" xr:uid="{00000000-0002-0000-0000-000017000000}">
      <formula1>Meses</formula1>
    </dataValidation>
    <dataValidation allowBlank="1" showInputMessage="1" showErrorMessage="1" prompt="Corresponde a los logros obtenidos durante el periodo de medición así como la identificación de las situaciones que conllevaron al incumplimiento de las metas propuestas." sqref="AC12 AH12 AM12 AR12 AW12 BB12 BG12 BL12 CA12 BQ12 BV12 X12" xr:uid="{00000000-0002-0000-0000-000016000000}"/>
    <dataValidation allowBlank="1" showInputMessage="1" showErrorMessage="1" prompt="Corresponde a la operación matemática de la fórmula del indicador y que reflejará el resultado del indicador para el periodo de medición." sqref="AQ12 AL12 AG12 AV12 BA12 BF12 BK12 BP12 BZ12 AB12 W12 BU12" xr:uid="{00000000-0002-0000-0000-000015000000}"/>
    <dataValidation allowBlank="1" showInputMessage="1" showErrorMessage="1" prompt="Corresponde a los resultados planificados para el periodo de medición. Todos los indicadores de gestión deben incluir programación." sqref="AU12 AP12 AK12 AZ12 BE12 BJ12 BO12 BT12 BY12 AF12 AA12 V12" xr:uid="{00000000-0002-0000-0000-000014000000}"/>
    <dataValidation allowBlank="1" showInputMessage="1" showErrorMessage="1" prompt="Corresponde a los resultados obtenidos en el periodo de medición." sqref="AJ12 AT12 AO12 AY12 BD12 BI12 BN12 BS12 BX12 U12 AE12 Z12" xr:uid="{00000000-0002-0000-0000-000013000000}"/>
    <dataValidation allowBlank="1" showInputMessage="1" showErrorMessage="1" prompt="Es el resultado del indicador que se pretende alcanzar durante la vigencia, se debe tener como referencia la unidad de medida formulada para el indicador." sqref="T12" xr:uid="{00000000-0002-0000-0000-000012000000}"/>
    <dataValidation allowBlank="1" showInputMessage="1" showErrorMessage="1" prompt="Debe coincidir con la unidad de medida del indicador para poder ser comparables." sqref="S12" xr:uid="{00000000-0002-0000-0000-000011000000}"/>
    <dataValidation allowBlank="1" showInputMessage="1" showErrorMessage="1" prompt="Resultado que se tiene de la primera medición realizada sobre este indicador, oficializado ante el Sistema de Gestión._x000a__x000a_En los casos en los que no se cuente con línea base se debe registrar “No aplica”." sqref="R12" xr:uid="{00000000-0002-0000-0000-000010000000}"/>
    <dataValidation allowBlank="1" showInputMessage="1" showErrorMessage="1" prompt="Es el elemento que soporta la medición del indicador, estos pueden ser; documento, base de datos, entre otros. " sqref="O12" xr:uid="{00000000-0002-0000-0000-00000F000000}"/>
    <dataValidation allowBlank="1" showInputMessage="1" showErrorMessage="1" prompt="Corresponde a la información a partir de la cual se obtienen los datos para el cálculo del indicador." sqref="L12" xr:uid="{00000000-0002-0000-0000-00000E000000}"/>
    <dataValidation allowBlank="1" showInputMessage="1" showErrorMessage="1" prompt="Relacionar la medida en la cual se obtiene el resultado del indicador, la cual para el presente formato se estandariza en &quot;Porcentaje&quot;." sqref="N12" xr:uid="{00000000-0002-0000-0000-00000D000000}"/>
    <dataValidation allowBlank="1" showInputMessage="1" showErrorMessage="1" prompt="Frecuencia en la cual se debe calcular y registrar los resultados del indicador. _x000a__x000a_De la lista desplegable seleccione la frecuencia del indicador; mensual, bimestral, trimestral, semestral o anual." sqref="P12" xr:uid="{00000000-0002-0000-0000-00000C000000}"/>
    <dataValidation allowBlank="1" showInputMessage="1" showErrorMessage="1" prompt="Hace referencia a la clasificación del indicador._x000a__x000a_De la lista desplegable seleccione una de las siguientes opciones: eficacia, eficiencia o efectividad." sqref="J12" xr:uid="{00000000-0002-0000-0000-00000B000000}"/>
    <dataValidation allowBlank="1" showInputMessage="1" showErrorMessage="1" prompt="Corresponde a la ecuación matemática que relaciona las variables del indicador (numerador/denominador)." sqref="K12" xr:uid="{00000000-0002-0000-0000-00000A000000}"/>
    <dataValidation allowBlank="1" showInputMessage="1" showErrorMessage="1" prompt="Corresponde al aspecto clave de cuyo resultado depende el logro de la meta propuesta para el indicador." sqref="I12" xr:uid="{00000000-0002-0000-0000-000009000000}"/>
    <dataValidation allowBlank="1" showInputMessage="1" showErrorMessage="1" prompt="Describe al fin para el cual se formuló el indicador." sqref="H12" xr:uid="{00000000-0002-0000-0000-000008000000}"/>
    <dataValidation allowBlank="1" showInputMessage="1" showErrorMessage="1" prompt="Registre el nombre asignado al indicador. Este debe ser; claro, preciso y auto explicativo. _x000a__x000a_Estructura sugerida: objeto a cuantificar (sujeto) + condición deseada del objeto (verbo en participio pasado) + complemento descriptivo (si se requiere)" sqref="G12" xr:uid="{00000000-0002-0000-0000-000007000000}"/>
    <dataValidation allowBlank="1" showInputMessage="1" showErrorMessage="1" prompt="Hace referencia a la fecha de expedición de la circular mediante la cual se solicita la creación o actualización del indicador de gestión." sqref="F12" xr:uid="{00000000-0002-0000-0000-000006000000}"/>
    <dataValidation allowBlank="1" showInputMessage="1" showErrorMessage="1" prompt="Se refiere al código consecutivo que es asignado por la Subdirección de Diseño, Evaluación y Sistematización – Equipo del Sistema Integrado de Gestión." sqref="E12" xr:uid="{00000000-0002-0000-0000-000005000000}"/>
    <dataValidation allowBlank="1" showInputMessage="1" showErrorMessage="1" prompt="Indicar a cual objetivo estratégico de la Entidad contribuye la medición del indicador de gestión._x000a__x000a_De la lista desplegable seleccione el objetivo estratégico._x000a__x000a_*Todos los indicadores deben estar relacionados a un objetivo estratégico._x000a_" sqref="D12" xr:uid="{00000000-0002-0000-0000-000004000000}"/>
    <dataValidation allowBlank="1" showInputMessage="1" showErrorMessage="1" prompt="Relacionar el proyecto de inversión al cuál está asociado el indicador de gestión._x000a__x000a_De la lista desplegable  seleccione el proyecto de inversión._x000a__x000a_* No todos los indicadores deben estar asociados a un proyecto de inversión." sqref="C12" xr:uid="{00000000-0002-0000-0000-000003000000}"/>
    <dataValidation allowBlank="1" showInputMessage="1" showErrorMessage="1" prompt="Indicar el proceso institucional al cuál está asociado el indicador de gestión._x000a__x000a_De la lista despegable  seleccione el proceso." sqref="B12" xr:uid="{00000000-0002-0000-0000-000002000000}"/>
    <dataValidation allowBlank="1" showInputMessage="1" showErrorMessage="1" prompt="Corresponde al registro de los logros obtenidos durante el año de medición del indicador de manera consolidada. En este también se identificarán las situaciones que conllevaron a logros no esperados y las acciones que al respecto se hayan adelantado_x000a_" sqref="CC12" xr:uid="{00000000-0002-0000-0000-000001000000}"/>
    <dataValidation type="list" allowBlank="1" showInputMessage="1" showErrorMessage="1" sqref="T106 Q106:Q1048576 S53:S56" xr:uid="{00000000-0002-0000-0000-000000000000}">
      <formula1>TipoMeta</formula1>
    </dataValidation>
  </dataValidations>
  <pageMargins left="0.7" right="0.7" top="0.75" bottom="0.75" header="0.3" footer="0.3"/>
  <pageSetup orientation="portrait" horizontalDpi="4294967295" verticalDpi="4294967295"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C92DD-4EFB-4683-9B81-9A331ABA7544}">
  <dimension ref="A1:BA92"/>
  <sheetViews>
    <sheetView zoomScale="70" zoomScaleNormal="70" zoomScaleSheetLayoutView="70" zoomScalePageLayoutView="51" workbookViewId="0">
      <selection sqref="A1:B4"/>
    </sheetView>
  </sheetViews>
  <sheetFormatPr baseColWidth="10" defaultColWidth="11.42578125" defaultRowHeight="12.75" x14ac:dyDescent="0.2"/>
  <cols>
    <col min="1" max="1" width="15.28515625" style="922" customWidth="1"/>
    <col min="2" max="2" width="25" style="922" customWidth="1"/>
    <col min="3" max="3" width="27.140625" style="922" customWidth="1"/>
    <col min="4" max="4" width="15.28515625" style="922" customWidth="1"/>
    <col min="5" max="5" width="10.85546875" style="922" bestFit="1" customWidth="1"/>
    <col min="6" max="6" width="30.7109375" style="922" customWidth="1"/>
    <col min="7" max="7" width="47" style="922" customWidth="1"/>
    <col min="8" max="8" width="19.140625" style="922" customWidth="1"/>
    <col min="9" max="9" width="15.7109375" style="922" customWidth="1"/>
    <col min="10" max="10" width="15.140625" style="922" customWidth="1"/>
    <col min="11" max="11" width="10" style="922" customWidth="1"/>
    <col min="12" max="12" width="10.85546875" style="922" bestFit="1" customWidth="1"/>
    <col min="13" max="13" width="62.85546875" style="922" customWidth="1"/>
    <col min="14" max="14" width="10.85546875" style="922" customWidth="1"/>
    <col min="15" max="15" width="12.140625" style="922" customWidth="1"/>
    <col min="16" max="16" width="14.28515625" style="922" customWidth="1"/>
    <col min="17" max="17" width="10" style="922" customWidth="1"/>
    <col min="18" max="18" width="10.42578125" style="922" customWidth="1"/>
    <col min="19" max="19" width="11.7109375" style="922" customWidth="1"/>
    <col min="20" max="20" width="64.140625" style="922" customWidth="1"/>
    <col min="21" max="21" width="14.85546875" style="922" customWidth="1"/>
    <col min="22" max="22" width="32.85546875" style="922" customWidth="1"/>
    <col min="23" max="23" width="15.42578125" style="922" customWidth="1"/>
    <col min="24" max="24" width="12.7109375" style="922" customWidth="1"/>
    <col min="25" max="25" width="14.85546875" style="922" customWidth="1"/>
    <col min="26" max="26" width="12.28515625" style="922" bestFit="1" customWidth="1"/>
    <col min="27" max="27" width="12.42578125" style="922" customWidth="1"/>
    <col min="28" max="28" width="89.28515625" style="922" customWidth="1"/>
    <col min="29" max="29" width="15.5703125" style="922" customWidth="1"/>
    <col min="30" max="30" width="34.7109375" style="922" customWidth="1"/>
    <col min="31" max="31" width="12.5703125" style="922" bestFit="1" customWidth="1"/>
    <col min="32" max="32" width="11.140625" style="922" bestFit="1" customWidth="1"/>
    <col min="33" max="33" width="12.5703125" style="922" customWidth="1"/>
    <col min="34" max="34" width="89.28515625" style="922" customWidth="1"/>
    <col min="35" max="35" width="15" style="922" customWidth="1"/>
    <col min="36" max="36" width="40" style="922" customWidth="1"/>
    <col min="37" max="37" width="10.7109375" style="922" bestFit="1" customWidth="1"/>
    <col min="38" max="38" width="12.85546875" style="922" customWidth="1"/>
    <col min="39" max="39" width="13.140625" style="922" customWidth="1"/>
    <col min="40" max="40" width="90" style="922" customWidth="1"/>
    <col min="41" max="41" width="15.140625" style="922" customWidth="1"/>
    <col min="42" max="42" width="34.7109375" style="922" customWidth="1"/>
    <col min="43" max="43" width="12.28515625" style="922" bestFit="1" customWidth="1"/>
    <col min="44" max="44" width="13.140625" style="922" customWidth="1"/>
    <col min="45" max="45" width="12.5703125" style="922" customWidth="1"/>
    <col min="46" max="46" width="109.28515625" style="922" customWidth="1"/>
    <col min="47" max="47" width="16.42578125" style="922" customWidth="1"/>
    <col min="48" max="48" width="42.7109375" style="922" customWidth="1"/>
    <col min="49" max="49" width="2.42578125" style="922" customWidth="1"/>
    <col min="50" max="52" width="11.42578125" style="922" customWidth="1"/>
    <col min="53" max="16384" width="11.42578125" style="922"/>
  </cols>
  <sheetData>
    <row r="1" spans="1:53" ht="21" customHeight="1" x14ac:dyDescent="0.2">
      <c r="A1" s="914"/>
      <c r="B1" s="914"/>
      <c r="C1" s="915" t="s">
        <v>4057</v>
      </c>
      <c r="D1" s="916"/>
      <c r="E1" s="916"/>
      <c r="F1" s="916"/>
      <c r="G1" s="916"/>
      <c r="H1" s="916"/>
      <c r="I1" s="916"/>
      <c r="J1" s="916"/>
      <c r="K1" s="916"/>
      <c r="L1" s="916"/>
      <c r="M1" s="916"/>
      <c r="N1" s="916"/>
      <c r="O1" s="916"/>
      <c r="P1" s="916"/>
      <c r="Q1" s="916"/>
      <c r="R1" s="916"/>
      <c r="S1" s="916"/>
      <c r="T1" s="916"/>
      <c r="U1" s="916"/>
      <c r="V1" s="916"/>
      <c r="W1" s="916"/>
      <c r="X1" s="916"/>
      <c r="Y1" s="916"/>
      <c r="Z1" s="916"/>
      <c r="AA1" s="916"/>
      <c r="AB1" s="916"/>
      <c r="AC1" s="916"/>
      <c r="AD1" s="916"/>
      <c r="AE1" s="916"/>
      <c r="AF1" s="916"/>
      <c r="AG1" s="916"/>
      <c r="AH1" s="916"/>
      <c r="AI1" s="916"/>
      <c r="AJ1" s="916"/>
      <c r="AK1" s="916"/>
      <c r="AL1" s="916"/>
      <c r="AM1" s="916"/>
      <c r="AN1" s="916"/>
      <c r="AO1" s="916"/>
      <c r="AP1" s="916"/>
      <c r="AQ1" s="916"/>
      <c r="AR1" s="916"/>
      <c r="AS1" s="916"/>
      <c r="AT1" s="917"/>
      <c r="AU1" s="918" t="s">
        <v>4058</v>
      </c>
      <c r="AV1" s="919" t="s">
        <v>4059</v>
      </c>
      <c r="AW1" s="920"/>
      <c r="AX1" s="921"/>
      <c r="AY1" s="921"/>
      <c r="AZ1" s="921"/>
      <c r="BA1" s="921"/>
    </row>
    <row r="2" spans="1:53" ht="21" customHeight="1" x14ac:dyDescent="0.2">
      <c r="A2" s="914"/>
      <c r="B2" s="914"/>
      <c r="C2" s="923"/>
      <c r="D2" s="924"/>
      <c r="E2" s="924"/>
      <c r="F2" s="924"/>
      <c r="G2" s="924"/>
      <c r="H2" s="924"/>
      <c r="I2" s="924"/>
      <c r="J2" s="924"/>
      <c r="K2" s="924"/>
      <c r="L2" s="924"/>
      <c r="M2" s="924"/>
      <c r="N2" s="924"/>
      <c r="O2" s="924"/>
      <c r="P2" s="924"/>
      <c r="Q2" s="924"/>
      <c r="R2" s="924"/>
      <c r="S2" s="924"/>
      <c r="T2" s="924"/>
      <c r="U2" s="924"/>
      <c r="V2" s="924"/>
      <c r="W2" s="924"/>
      <c r="X2" s="924"/>
      <c r="Y2" s="924"/>
      <c r="Z2" s="924"/>
      <c r="AA2" s="924"/>
      <c r="AB2" s="924"/>
      <c r="AC2" s="924"/>
      <c r="AD2" s="924"/>
      <c r="AE2" s="924"/>
      <c r="AF2" s="924"/>
      <c r="AG2" s="924"/>
      <c r="AH2" s="924"/>
      <c r="AI2" s="924"/>
      <c r="AJ2" s="924"/>
      <c r="AK2" s="924"/>
      <c r="AL2" s="924"/>
      <c r="AM2" s="924"/>
      <c r="AN2" s="924"/>
      <c r="AO2" s="924"/>
      <c r="AP2" s="924"/>
      <c r="AQ2" s="924"/>
      <c r="AR2" s="924"/>
      <c r="AS2" s="924"/>
      <c r="AT2" s="925"/>
      <c r="AU2" s="918" t="s">
        <v>4060</v>
      </c>
      <c r="AV2" s="919">
        <v>2</v>
      </c>
      <c r="AW2" s="920"/>
      <c r="AX2" s="921"/>
      <c r="AY2" s="921"/>
      <c r="AZ2" s="921"/>
      <c r="BA2" s="921"/>
    </row>
    <row r="3" spans="1:53" ht="21" customHeight="1" x14ac:dyDescent="0.2">
      <c r="A3" s="914"/>
      <c r="B3" s="914"/>
      <c r="C3" s="923"/>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4"/>
      <c r="AO3" s="924"/>
      <c r="AP3" s="924"/>
      <c r="AQ3" s="924"/>
      <c r="AR3" s="924"/>
      <c r="AS3" s="924"/>
      <c r="AT3" s="925"/>
      <c r="AU3" s="918" t="s">
        <v>4061</v>
      </c>
      <c r="AV3" s="919" t="s">
        <v>4062</v>
      </c>
      <c r="AW3" s="920"/>
      <c r="AX3" s="921"/>
      <c r="AY3" s="921"/>
      <c r="AZ3" s="921"/>
      <c r="BA3" s="921"/>
    </row>
    <row r="4" spans="1:53" ht="21" customHeight="1" x14ac:dyDescent="0.2">
      <c r="A4" s="914"/>
      <c r="B4" s="914"/>
      <c r="C4" s="926"/>
      <c r="D4" s="927"/>
      <c r="E4" s="927"/>
      <c r="F4" s="927"/>
      <c r="G4" s="927"/>
      <c r="H4" s="927"/>
      <c r="I4" s="927"/>
      <c r="J4" s="927"/>
      <c r="K4" s="927"/>
      <c r="L4" s="927"/>
      <c r="M4" s="927"/>
      <c r="N4" s="927"/>
      <c r="O4" s="927"/>
      <c r="P4" s="927"/>
      <c r="Q4" s="927"/>
      <c r="R4" s="927"/>
      <c r="S4" s="927"/>
      <c r="T4" s="927"/>
      <c r="U4" s="927"/>
      <c r="V4" s="927"/>
      <c r="W4" s="927"/>
      <c r="X4" s="927"/>
      <c r="Y4" s="927"/>
      <c r="Z4" s="927"/>
      <c r="AA4" s="927"/>
      <c r="AB4" s="927"/>
      <c r="AC4" s="927"/>
      <c r="AD4" s="927"/>
      <c r="AE4" s="927"/>
      <c r="AF4" s="927"/>
      <c r="AG4" s="927"/>
      <c r="AH4" s="927"/>
      <c r="AI4" s="927"/>
      <c r="AJ4" s="927"/>
      <c r="AK4" s="927"/>
      <c r="AL4" s="927"/>
      <c r="AM4" s="927"/>
      <c r="AN4" s="927"/>
      <c r="AO4" s="927"/>
      <c r="AP4" s="927"/>
      <c r="AQ4" s="927"/>
      <c r="AR4" s="927"/>
      <c r="AS4" s="927"/>
      <c r="AT4" s="928"/>
      <c r="AU4" s="918" t="s">
        <v>4063</v>
      </c>
      <c r="AV4" s="919" t="s">
        <v>4064</v>
      </c>
      <c r="AW4" s="920"/>
      <c r="AX4" s="921"/>
      <c r="AY4" s="921"/>
      <c r="AZ4" s="921"/>
      <c r="BA4" s="921"/>
    </row>
    <row r="5" spans="1:53" x14ac:dyDescent="0.2">
      <c r="A5" s="929"/>
      <c r="B5" s="929"/>
      <c r="C5" s="929"/>
      <c r="D5" s="929"/>
      <c r="E5" s="929"/>
      <c r="F5" s="929"/>
      <c r="G5" s="929"/>
      <c r="H5" s="929"/>
      <c r="I5" s="929"/>
      <c r="J5" s="929"/>
      <c r="K5" s="929"/>
      <c r="L5" s="929"/>
      <c r="M5" s="929"/>
      <c r="N5" s="929"/>
      <c r="O5" s="929"/>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9"/>
      <c r="AO5" s="929"/>
      <c r="AP5" s="929"/>
      <c r="AQ5" s="929"/>
      <c r="AR5" s="929"/>
      <c r="AS5" s="929"/>
      <c r="AT5" s="929"/>
      <c r="AU5" s="929"/>
      <c r="AV5" s="930"/>
      <c r="AW5" s="920"/>
      <c r="AX5" s="921"/>
      <c r="AY5" s="921"/>
      <c r="AZ5" s="921"/>
      <c r="BA5" s="921"/>
    </row>
    <row r="6" spans="1:53" x14ac:dyDescent="0.2">
      <c r="A6" s="931" t="s">
        <v>4065</v>
      </c>
      <c r="B6" s="931"/>
      <c r="C6" s="932" t="s">
        <v>4066</v>
      </c>
      <c r="D6" s="933"/>
      <c r="E6" s="933"/>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c r="AF6" s="930"/>
      <c r="AG6" s="930"/>
      <c r="AH6" s="930"/>
      <c r="AI6" s="930"/>
      <c r="AJ6" s="930"/>
      <c r="AK6" s="930"/>
      <c r="AL6" s="930"/>
      <c r="AM6" s="930"/>
      <c r="AN6" s="930"/>
      <c r="AO6" s="930"/>
      <c r="AP6" s="930"/>
      <c r="AQ6" s="930"/>
      <c r="AR6" s="930"/>
      <c r="AS6" s="930"/>
      <c r="AT6" s="930"/>
      <c r="AU6" s="930"/>
      <c r="AV6" s="930"/>
      <c r="AW6" s="920"/>
      <c r="AX6" s="921"/>
      <c r="AY6" s="921"/>
      <c r="AZ6" s="921"/>
      <c r="BA6" s="921"/>
    </row>
    <row r="7" spans="1:53" x14ac:dyDescent="0.2">
      <c r="A7" s="930"/>
      <c r="B7" s="930"/>
      <c r="C7" s="930"/>
      <c r="D7" s="930"/>
      <c r="E7" s="930"/>
      <c r="F7" s="930"/>
      <c r="G7" s="930"/>
      <c r="H7" s="930"/>
      <c r="I7" s="930"/>
      <c r="J7" s="930"/>
      <c r="K7" s="930"/>
      <c r="L7" s="930"/>
      <c r="M7" s="930"/>
      <c r="N7" s="930"/>
      <c r="O7" s="930"/>
      <c r="P7" s="930"/>
      <c r="Q7" s="930"/>
      <c r="R7" s="930"/>
      <c r="S7" s="930"/>
      <c r="T7" s="930"/>
      <c r="U7" s="930"/>
      <c r="V7" s="930"/>
      <c r="W7" s="930"/>
      <c r="X7" s="930"/>
      <c r="Y7" s="930"/>
      <c r="Z7" s="930"/>
      <c r="AA7" s="930"/>
      <c r="AB7" s="930"/>
      <c r="AC7" s="930"/>
      <c r="AD7" s="930"/>
      <c r="AE7" s="930"/>
      <c r="AF7" s="930"/>
      <c r="AG7" s="930"/>
      <c r="AH7" s="930"/>
      <c r="AI7" s="930"/>
      <c r="AJ7" s="930"/>
      <c r="AK7" s="930"/>
      <c r="AL7" s="930"/>
      <c r="AM7" s="930"/>
      <c r="AN7" s="930"/>
      <c r="AO7" s="930"/>
      <c r="AP7" s="930"/>
      <c r="AQ7" s="930"/>
      <c r="AR7" s="930"/>
      <c r="AS7" s="930"/>
      <c r="AT7" s="930"/>
      <c r="AU7" s="930"/>
      <c r="AV7" s="930"/>
      <c r="AW7" s="920"/>
      <c r="AX7" s="921"/>
      <c r="AY7" s="921"/>
      <c r="AZ7" s="921"/>
      <c r="BA7" s="921"/>
    </row>
    <row r="8" spans="1:53" ht="26.25" customHeight="1" x14ac:dyDescent="0.2">
      <c r="A8" s="934" t="s">
        <v>4067</v>
      </c>
      <c r="B8" s="935"/>
      <c r="C8" s="935"/>
      <c r="D8" s="935"/>
      <c r="E8" s="935"/>
      <c r="F8" s="935"/>
      <c r="G8" s="935"/>
      <c r="H8" s="935"/>
      <c r="I8" s="935"/>
      <c r="J8" s="935"/>
      <c r="K8" s="935"/>
      <c r="L8" s="936"/>
      <c r="M8" s="937" t="s">
        <v>4068</v>
      </c>
      <c r="N8" s="938"/>
      <c r="O8" s="938"/>
      <c r="P8" s="938"/>
      <c r="Q8" s="938"/>
      <c r="R8" s="938"/>
      <c r="S8" s="938"/>
      <c r="T8" s="938"/>
      <c r="U8" s="938"/>
      <c r="V8" s="938"/>
      <c r="W8" s="938"/>
      <c r="X8" s="938"/>
      <c r="Y8" s="939"/>
      <c r="Z8" s="940" t="s">
        <v>4069</v>
      </c>
      <c r="AA8" s="940"/>
      <c r="AB8" s="940"/>
      <c r="AC8" s="940"/>
      <c r="AD8" s="940"/>
      <c r="AE8" s="940"/>
      <c r="AF8" s="940"/>
      <c r="AG8" s="940"/>
      <c r="AH8" s="940"/>
      <c r="AI8" s="940"/>
      <c r="AJ8" s="940"/>
      <c r="AK8" s="940"/>
      <c r="AL8" s="940"/>
      <c r="AM8" s="940"/>
      <c r="AN8" s="940"/>
      <c r="AO8" s="940"/>
      <c r="AP8" s="940"/>
      <c r="AQ8" s="940"/>
      <c r="AR8" s="940"/>
      <c r="AS8" s="940"/>
      <c r="AT8" s="940"/>
      <c r="AU8" s="940"/>
      <c r="AV8" s="940"/>
      <c r="AW8" s="941"/>
    </row>
    <row r="9" spans="1:53" s="957" customFormat="1" ht="46.5" customHeight="1" x14ac:dyDescent="0.25">
      <c r="A9" s="942" t="s">
        <v>4070</v>
      </c>
      <c r="B9" s="942" t="s">
        <v>4071</v>
      </c>
      <c r="C9" s="942" t="s">
        <v>4072</v>
      </c>
      <c r="D9" s="942" t="s">
        <v>4073</v>
      </c>
      <c r="E9" s="942" t="s">
        <v>4074</v>
      </c>
      <c r="F9" s="942" t="s">
        <v>4075</v>
      </c>
      <c r="G9" s="943" t="s">
        <v>4076</v>
      </c>
      <c r="H9" s="943" t="s">
        <v>4077</v>
      </c>
      <c r="I9" s="944" t="s">
        <v>4078</v>
      </c>
      <c r="J9" s="945" t="s">
        <v>4079</v>
      </c>
      <c r="K9" s="946"/>
      <c r="L9" s="946"/>
      <c r="M9" s="947" t="s">
        <v>4080</v>
      </c>
      <c r="N9" s="947" t="s">
        <v>4081</v>
      </c>
      <c r="O9" s="947" t="s">
        <v>4082</v>
      </c>
      <c r="P9" s="948" t="s">
        <v>4083</v>
      </c>
      <c r="Q9" s="948"/>
      <c r="R9" s="948"/>
      <c r="S9" s="949" t="s">
        <v>4084</v>
      </c>
      <c r="T9" s="950" t="s">
        <v>4085</v>
      </c>
      <c r="U9" s="951"/>
      <c r="V9" s="951"/>
      <c r="W9" s="951"/>
      <c r="X9" s="951"/>
      <c r="Y9" s="952"/>
      <c r="Z9" s="953" t="s">
        <v>4086</v>
      </c>
      <c r="AA9" s="954"/>
      <c r="AB9" s="954"/>
      <c r="AC9" s="954"/>
      <c r="AD9" s="955"/>
      <c r="AE9" s="953" t="s">
        <v>4087</v>
      </c>
      <c r="AF9" s="954"/>
      <c r="AG9" s="954"/>
      <c r="AH9" s="954"/>
      <c r="AI9" s="954"/>
      <c r="AJ9" s="955"/>
      <c r="AK9" s="953" t="s">
        <v>4088</v>
      </c>
      <c r="AL9" s="954"/>
      <c r="AM9" s="954"/>
      <c r="AN9" s="954"/>
      <c r="AO9" s="954"/>
      <c r="AP9" s="955"/>
      <c r="AQ9" s="953" t="s">
        <v>4089</v>
      </c>
      <c r="AR9" s="954"/>
      <c r="AS9" s="954"/>
      <c r="AT9" s="954"/>
      <c r="AU9" s="954"/>
      <c r="AV9" s="955"/>
      <c r="AW9" s="956"/>
    </row>
    <row r="10" spans="1:53" ht="46.5" customHeight="1" x14ac:dyDescent="0.2">
      <c r="A10" s="943"/>
      <c r="B10" s="943"/>
      <c r="C10" s="943"/>
      <c r="D10" s="943"/>
      <c r="E10" s="943"/>
      <c r="F10" s="943"/>
      <c r="G10" s="958"/>
      <c r="H10" s="958"/>
      <c r="I10" s="947"/>
      <c r="J10" s="959" t="s">
        <v>4090</v>
      </c>
      <c r="K10" s="959" t="s">
        <v>4091</v>
      </c>
      <c r="L10" s="959" t="s">
        <v>4092</v>
      </c>
      <c r="M10" s="947"/>
      <c r="N10" s="947"/>
      <c r="O10" s="947"/>
      <c r="P10" s="959" t="s">
        <v>4090</v>
      </c>
      <c r="Q10" s="959" t="s">
        <v>4091</v>
      </c>
      <c r="R10" s="959" t="s">
        <v>4092</v>
      </c>
      <c r="S10" s="944"/>
      <c r="T10" s="959" t="s">
        <v>4093</v>
      </c>
      <c r="U10" s="959" t="s">
        <v>4094</v>
      </c>
      <c r="V10" s="959" t="s">
        <v>4095</v>
      </c>
      <c r="W10" s="960" t="s">
        <v>4096</v>
      </c>
      <c r="X10" s="960" t="s">
        <v>4097</v>
      </c>
      <c r="Y10" s="960" t="s">
        <v>4098</v>
      </c>
      <c r="Z10" s="961" t="s">
        <v>4099</v>
      </c>
      <c r="AA10" s="961" t="s">
        <v>4100</v>
      </c>
      <c r="AB10" s="961" t="s">
        <v>4101</v>
      </c>
      <c r="AC10" s="961" t="s">
        <v>4102</v>
      </c>
      <c r="AD10" s="962" t="s">
        <v>4103</v>
      </c>
      <c r="AE10" s="961" t="s">
        <v>4099</v>
      </c>
      <c r="AF10" s="961" t="s">
        <v>4100</v>
      </c>
      <c r="AG10" s="961" t="s">
        <v>4104</v>
      </c>
      <c r="AH10" s="961" t="s">
        <v>4101</v>
      </c>
      <c r="AI10" s="961" t="s">
        <v>4102</v>
      </c>
      <c r="AJ10" s="962" t="s">
        <v>4103</v>
      </c>
      <c r="AK10" s="961" t="s">
        <v>4099</v>
      </c>
      <c r="AL10" s="961" t="s">
        <v>4100</v>
      </c>
      <c r="AM10" s="961" t="s">
        <v>4104</v>
      </c>
      <c r="AN10" s="961" t="s">
        <v>4101</v>
      </c>
      <c r="AO10" s="961" t="s">
        <v>4102</v>
      </c>
      <c r="AP10" s="962" t="s">
        <v>4103</v>
      </c>
      <c r="AQ10" s="961" t="s">
        <v>4099</v>
      </c>
      <c r="AR10" s="961" t="s">
        <v>4100</v>
      </c>
      <c r="AS10" s="961" t="s">
        <v>4104</v>
      </c>
      <c r="AT10" s="961" t="s">
        <v>4101</v>
      </c>
      <c r="AU10" s="961" t="s">
        <v>4102</v>
      </c>
      <c r="AV10" s="962" t="s">
        <v>4103</v>
      </c>
    </row>
    <row r="11" spans="1:53" s="974" customFormat="1" ht="225.75" customHeight="1" x14ac:dyDescent="0.2">
      <c r="A11" s="963" t="s">
        <v>212</v>
      </c>
      <c r="B11" s="963" t="s">
        <v>5449</v>
      </c>
      <c r="C11" s="964" t="s">
        <v>4105</v>
      </c>
      <c r="D11" s="965" t="s">
        <v>2486</v>
      </c>
      <c r="E11" s="966" t="s">
        <v>4106</v>
      </c>
      <c r="F11" s="964" t="s">
        <v>4107</v>
      </c>
      <c r="G11" s="967" t="s">
        <v>4108</v>
      </c>
      <c r="H11" s="964" t="s">
        <v>4109</v>
      </c>
      <c r="I11" s="968" t="s">
        <v>4110</v>
      </c>
      <c r="J11" s="964" t="s">
        <v>4111</v>
      </c>
      <c r="K11" s="964" t="s">
        <v>4112</v>
      </c>
      <c r="L11" s="969" t="str">
        <f>VLOOKUP(J11,'[34]2. Anexos'!$B$35:$G$41,(HLOOKUP(K11,'[34]2. Anexos'!$C$35:$G$36,2,0)),0)</f>
        <v>Alto</v>
      </c>
      <c r="M11" s="970" t="s">
        <v>4113</v>
      </c>
      <c r="N11" s="967" t="s">
        <v>4114</v>
      </c>
      <c r="O11" s="967" t="s">
        <v>4115</v>
      </c>
      <c r="P11" s="964" t="s">
        <v>4111</v>
      </c>
      <c r="Q11" s="964" t="s">
        <v>4112</v>
      </c>
      <c r="R11" s="971" t="str">
        <f>VLOOKUP(P11,'[34]2. Anexos'!$B$35:$G$41,(HLOOKUP(Q11,'[34]2. Anexos'!$C$35:$G$36,2,0)),0)</f>
        <v>Alto</v>
      </c>
      <c r="S11" s="966" t="s">
        <v>4116</v>
      </c>
      <c r="T11" s="970" t="s">
        <v>4113</v>
      </c>
      <c r="U11" s="964" t="s">
        <v>4117</v>
      </c>
      <c r="V11" s="965" t="s">
        <v>4118</v>
      </c>
      <c r="W11" s="972">
        <v>1</v>
      </c>
      <c r="X11" s="973">
        <v>44621</v>
      </c>
      <c r="Y11" s="973">
        <v>44926</v>
      </c>
      <c r="Z11" s="649">
        <v>44651</v>
      </c>
      <c r="AA11" s="650">
        <v>0.1</v>
      </c>
      <c r="AB11" s="970" t="s">
        <v>4119</v>
      </c>
      <c r="AC11" s="967" t="s">
        <v>4120</v>
      </c>
      <c r="AD11" s="964" t="s">
        <v>4121</v>
      </c>
      <c r="AE11" s="651">
        <v>44742</v>
      </c>
      <c r="AF11" s="650">
        <v>0.3</v>
      </c>
      <c r="AG11" s="650">
        <f>+AA11+AF11</f>
        <v>0.4</v>
      </c>
      <c r="AH11" s="970" t="s">
        <v>4122</v>
      </c>
      <c r="AI11" s="967" t="s">
        <v>4120</v>
      </c>
      <c r="AJ11" s="964" t="s">
        <v>4123</v>
      </c>
      <c r="AK11" s="651">
        <v>44834</v>
      </c>
      <c r="AL11" s="650">
        <v>0.3</v>
      </c>
      <c r="AM11" s="650">
        <v>0.7</v>
      </c>
      <c r="AN11" s="970" t="s">
        <v>4124</v>
      </c>
      <c r="AO11" s="967" t="s">
        <v>4120</v>
      </c>
      <c r="AP11" s="964" t="s">
        <v>4125</v>
      </c>
      <c r="AQ11" s="649">
        <v>44926</v>
      </c>
      <c r="AR11" s="650">
        <v>0.3</v>
      </c>
      <c r="AS11" s="650">
        <v>1</v>
      </c>
      <c r="AT11" s="964" t="s">
        <v>5450</v>
      </c>
      <c r="AU11" s="967" t="s">
        <v>4120</v>
      </c>
      <c r="AV11" s="964" t="s">
        <v>5451</v>
      </c>
    </row>
    <row r="12" spans="1:53" s="974" customFormat="1" ht="191.25" x14ac:dyDescent="0.2">
      <c r="A12" s="975"/>
      <c r="B12" s="975"/>
      <c r="C12" s="976" t="s">
        <v>4126</v>
      </c>
      <c r="D12" s="965" t="s">
        <v>3156</v>
      </c>
      <c r="E12" s="977" t="s">
        <v>4127</v>
      </c>
      <c r="F12" s="978" t="s">
        <v>5452</v>
      </c>
      <c r="G12" s="979" t="s">
        <v>4128</v>
      </c>
      <c r="H12" s="976" t="s">
        <v>4129</v>
      </c>
      <c r="I12" s="980" t="s">
        <v>4130</v>
      </c>
      <c r="J12" s="976" t="s">
        <v>4131</v>
      </c>
      <c r="K12" s="976" t="s">
        <v>4132</v>
      </c>
      <c r="L12" s="981" t="str">
        <f>VLOOKUP(J12,'[34]2. Anexos'!$B$35:$G$41,(HLOOKUP(K12,'[34]2. Anexos'!$C$35:$G$36,2,0)),0)</f>
        <v>Moderado</v>
      </c>
      <c r="M12" s="982" t="s">
        <v>5453</v>
      </c>
      <c r="N12" s="979" t="s">
        <v>4114</v>
      </c>
      <c r="O12" s="979" t="s">
        <v>4115</v>
      </c>
      <c r="P12" s="976" t="s">
        <v>4111</v>
      </c>
      <c r="Q12" s="976" t="s">
        <v>4132</v>
      </c>
      <c r="R12" s="981" t="str">
        <f>VLOOKUP(P12,'[34]2. Anexos'!$B$35:$G$41,(HLOOKUP(Q12,'[34]2. Anexos'!$C$35:$G$36,2,0)),0)</f>
        <v>Moderado</v>
      </c>
      <c r="S12" s="983" t="s">
        <v>4133</v>
      </c>
      <c r="T12" s="982" t="s">
        <v>5453</v>
      </c>
      <c r="U12" s="976" t="s">
        <v>4134</v>
      </c>
      <c r="V12" s="984" t="s">
        <v>5454</v>
      </c>
      <c r="W12" s="985">
        <v>1</v>
      </c>
      <c r="X12" s="986">
        <v>44621</v>
      </c>
      <c r="Y12" s="986">
        <v>44926</v>
      </c>
      <c r="Z12" s="653">
        <v>44651</v>
      </c>
      <c r="AA12" s="654">
        <v>1</v>
      </c>
      <c r="AB12" s="976" t="s">
        <v>4135</v>
      </c>
      <c r="AC12" s="979" t="s">
        <v>4120</v>
      </c>
      <c r="AD12" s="976" t="s">
        <v>4136</v>
      </c>
      <c r="AE12" s="655">
        <v>44742</v>
      </c>
      <c r="AF12" s="654">
        <v>1</v>
      </c>
      <c r="AG12" s="654">
        <v>1</v>
      </c>
      <c r="AH12" s="976" t="s">
        <v>4137</v>
      </c>
      <c r="AI12" s="979" t="s">
        <v>4120</v>
      </c>
      <c r="AJ12" s="976" t="s">
        <v>4138</v>
      </c>
      <c r="AK12" s="651">
        <v>44834</v>
      </c>
      <c r="AL12" s="654">
        <v>1</v>
      </c>
      <c r="AM12" s="654">
        <v>1</v>
      </c>
      <c r="AN12" s="976" t="s">
        <v>4139</v>
      </c>
      <c r="AO12" s="979" t="s">
        <v>4120</v>
      </c>
      <c r="AP12" s="976" t="s">
        <v>4140</v>
      </c>
      <c r="AQ12" s="649">
        <v>44926</v>
      </c>
      <c r="AR12" s="654">
        <v>1</v>
      </c>
      <c r="AS12" s="654">
        <v>1</v>
      </c>
      <c r="AT12" s="987" t="s">
        <v>5455</v>
      </c>
      <c r="AU12" s="979" t="s">
        <v>4120</v>
      </c>
      <c r="AV12" s="964" t="s">
        <v>5451</v>
      </c>
    </row>
    <row r="13" spans="1:53" s="974" customFormat="1" ht="255" customHeight="1" x14ac:dyDescent="0.2">
      <c r="A13" s="975"/>
      <c r="B13" s="975"/>
      <c r="C13" s="976" t="s">
        <v>4141</v>
      </c>
      <c r="D13" s="965" t="s">
        <v>2486</v>
      </c>
      <c r="E13" s="988" t="s">
        <v>4142</v>
      </c>
      <c r="F13" s="976" t="s">
        <v>4143</v>
      </c>
      <c r="G13" s="989" t="s">
        <v>4144</v>
      </c>
      <c r="H13" s="964" t="s">
        <v>4109</v>
      </c>
      <c r="I13" s="980" t="s">
        <v>4145</v>
      </c>
      <c r="J13" s="976" t="s">
        <v>4131</v>
      </c>
      <c r="K13" s="976" t="s">
        <v>4146</v>
      </c>
      <c r="L13" s="969" t="str">
        <f>VLOOKUP(J13,'[34]2. Anexos'!$B$35:$G$41,(HLOOKUP(K13,'[34]2. Anexos'!$C$35:$G$36,2,0)),0)</f>
        <v>Moderado</v>
      </c>
      <c r="M13" s="970" t="s">
        <v>4147</v>
      </c>
      <c r="N13" s="979" t="s">
        <v>4148</v>
      </c>
      <c r="O13" s="979" t="s">
        <v>4149</v>
      </c>
      <c r="P13" s="976" t="s">
        <v>4111</v>
      </c>
      <c r="Q13" s="976" t="s">
        <v>4132</v>
      </c>
      <c r="R13" s="969" t="str">
        <f>VLOOKUP(P13,'[34]2. Anexos'!$B$35:$G$41,(HLOOKUP(Q13,'[34]2. Anexos'!$C$35:$G$36,2,0)),0)</f>
        <v>Moderado</v>
      </c>
      <c r="S13" s="983" t="s">
        <v>4133</v>
      </c>
      <c r="T13" s="970" t="s">
        <v>4150</v>
      </c>
      <c r="U13" s="984" t="s">
        <v>4151</v>
      </c>
      <c r="V13" s="984" t="s">
        <v>4152</v>
      </c>
      <c r="W13" s="985">
        <v>1</v>
      </c>
      <c r="X13" s="986">
        <v>44621</v>
      </c>
      <c r="Y13" s="986">
        <v>44926</v>
      </c>
      <c r="Z13" s="653">
        <v>44651</v>
      </c>
      <c r="AA13" s="654">
        <v>1</v>
      </c>
      <c r="AB13" s="987" t="s">
        <v>4153</v>
      </c>
      <c r="AC13" s="979" t="s">
        <v>4120</v>
      </c>
      <c r="AD13" s="976" t="s">
        <v>4154</v>
      </c>
      <c r="AE13" s="655">
        <v>44742</v>
      </c>
      <c r="AF13" s="654">
        <v>1</v>
      </c>
      <c r="AG13" s="654">
        <v>1</v>
      </c>
      <c r="AH13" s="987" t="s">
        <v>4155</v>
      </c>
      <c r="AI13" s="979" t="s">
        <v>4120</v>
      </c>
      <c r="AJ13" s="964" t="s">
        <v>4123</v>
      </c>
      <c r="AK13" s="651">
        <v>44834</v>
      </c>
      <c r="AL13" s="654">
        <v>1</v>
      </c>
      <c r="AM13" s="654">
        <v>1</v>
      </c>
      <c r="AN13" s="987" t="s">
        <v>4156</v>
      </c>
      <c r="AO13" s="979" t="s">
        <v>4120</v>
      </c>
      <c r="AP13" s="976" t="s">
        <v>4140</v>
      </c>
      <c r="AQ13" s="649">
        <v>44926</v>
      </c>
      <c r="AR13" s="654">
        <v>1</v>
      </c>
      <c r="AS13" s="654">
        <v>1</v>
      </c>
      <c r="AT13" s="987" t="s">
        <v>5456</v>
      </c>
      <c r="AU13" s="979" t="s">
        <v>4120</v>
      </c>
      <c r="AV13" s="964" t="s">
        <v>5451</v>
      </c>
    </row>
    <row r="14" spans="1:53" s="974" customFormat="1" ht="165.75" x14ac:dyDescent="0.2">
      <c r="A14" s="990"/>
      <c r="B14" s="990"/>
      <c r="C14" s="976" t="s">
        <v>4105</v>
      </c>
      <c r="D14" s="976" t="s">
        <v>5457</v>
      </c>
      <c r="E14" s="988" t="s">
        <v>5458</v>
      </c>
      <c r="F14" s="976" t="s">
        <v>5459</v>
      </c>
      <c r="G14" s="979" t="s">
        <v>5460</v>
      </c>
      <c r="H14" s="976" t="s">
        <v>4109</v>
      </c>
      <c r="I14" s="980" t="s">
        <v>5461</v>
      </c>
      <c r="J14" s="976" t="s">
        <v>4111</v>
      </c>
      <c r="K14" s="976" t="s">
        <v>4146</v>
      </c>
      <c r="L14" s="969" t="str">
        <f>VLOOKUP(J14,'[34]2. Anexos'!$B$35:$G$41,(HLOOKUP(K14,'[34]2. Anexos'!$C$35:$G$36,2,0)),0)</f>
        <v>Moderado</v>
      </c>
      <c r="M14" s="976" t="s">
        <v>5462</v>
      </c>
      <c r="N14" s="979" t="s">
        <v>4114</v>
      </c>
      <c r="O14" s="979" t="s">
        <v>4115</v>
      </c>
      <c r="P14" s="976" t="s">
        <v>4111</v>
      </c>
      <c r="Q14" s="976" t="s">
        <v>4146</v>
      </c>
      <c r="R14" s="969" t="str">
        <f>VLOOKUP(P14,'[34]2. Anexos'!$B$35:$G$41,(HLOOKUP(Q14,'[34]2. Anexos'!$C$35:$G$36,2,0)),0)</f>
        <v>Moderado</v>
      </c>
      <c r="S14" s="983" t="s">
        <v>4133</v>
      </c>
      <c r="T14" s="976" t="s">
        <v>5462</v>
      </c>
      <c r="U14" s="984" t="s">
        <v>5463</v>
      </c>
      <c r="V14" s="984" t="s">
        <v>5464</v>
      </c>
      <c r="W14" s="991" t="s">
        <v>5465</v>
      </c>
      <c r="X14" s="986">
        <v>44837</v>
      </c>
      <c r="Y14" s="986">
        <v>44926</v>
      </c>
      <c r="Z14" s="653"/>
      <c r="AA14" s="658"/>
      <c r="AB14" s="992" t="s">
        <v>5466</v>
      </c>
      <c r="AC14" s="979"/>
      <c r="AD14" s="976"/>
      <c r="AE14" s="653"/>
      <c r="AF14" s="658"/>
      <c r="AG14" s="658"/>
      <c r="AH14" s="992" t="s">
        <v>5466</v>
      </c>
      <c r="AI14" s="979"/>
      <c r="AJ14" s="976"/>
      <c r="AK14" s="653"/>
      <c r="AL14" s="658"/>
      <c r="AM14" s="658"/>
      <c r="AN14" s="992" t="s">
        <v>5466</v>
      </c>
      <c r="AO14" s="979"/>
      <c r="AP14" s="976"/>
      <c r="AQ14" s="649">
        <v>44926</v>
      </c>
      <c r="AR14" s="654">
        <v>1</v>
      </c>
      <c r="AS14" s="654">
        <v>1</v>
      </c>
      <c r="AT14" s="987" t="s">
        <v>5467</v>
      </c>
      <c r="AU14" s="979" t="s">
        <v>4120</v>
      </c>
      <c r="AV14" s="964" t="s">
        <v>5451</v>
      </c>
    </row>
    <row r="15" spans="1:53" s="974" customFormat="1" ht="242.25" x14ac:dyDescent="0.2">
      <c r="A15" s="963" t="s">
        <v>4157</v>
      </c>
      <c r="B15" s="993" t="s">
        <v>4158</v>
      </c>
      <c r="C15" s="976" t="s">
        <v>4159</v>
      </c>
      <c r="D15" s="976" t="s">
        <v>4160</v>
      </c>
      <c r="E15" s="988" t="s">
        <v>4161</v>
      </c>
      <c r="F15" s="976" t="s">
        <v>4162</v>
      </c>
      <c r="G15" s="979" t="s">
        <v>4163</v>
      </c>
      <c r="H15" s="976" t="s">
        <v>4129</v>
      </c>
      <c r="I15" s="980" t="s">
        <v>4130</v>
      </c>
      <c r="J15" s="976" t="s">
        <v>4111</v>
      </c>
      <c r="K15" s="976" t="s">
        <v>4132</v>
      </c>
      <c r="L15" s="969" t="str">
        <f>VLOOKUP(J15,'[17]2. Anexos'!$B$35:$G$41,(HLOOKUP(K15,'[17]2. Anexos'!$C$35:$G$36,2,0)),0)</f>
        <v>Moderado</v>
      </c>
      <c r="M15" s="984" t="s">
        <v>4164</v>
      </c>
      <c r="N15" s="979" t="s">
        <v>4114</v>
      </c>
      <c r="O15" s="979" t="s">
        <v>4115</v>
      </c>
      <c r="P15" s="976" t="s">
        <v>4111</v>
      </c>
      <c r="Q15" s="976" t="s">
        <v>4132</v>
      </c>
      <c r="R15" s="969" t="str">
        <f>VLOOKUP(P15,'[17]2. Anexos'!$B$35:$G$41,(HLOOKUP(Q15,'[17]2. Anexos'!$C$35:$G$36,2,0)),0)</f>
        <v>Moderado</v>
      </c>
      <c r="S15" s="994" t="s">
        <v>4133</v>
      </c>
      <c r="T15" s="984" t="s">
        <v>4164</v>
      </c>
      <c r="U15" s="976" t="s">
        <v>4165</v>
      </c>
      <c r="V15" s="976" t="s">
        <v>4166</v>
      </c>
      <c r="W15" s="995">
        <v>1</v>
      </c>
      <c r="X15" s="986">
        <v>44620</v>
      </c>
      <c r="Y15" s="986">
        <v>44926</v>
      </c>
      <c r="Z15" s="653">
        <v>44652</v>
      </c>
      <c r="AA15" s="654">
        <v>0.09</v>
      </c>
      <c r="AB15" s="976" t="s">
        <v>4167</v>
      </c>
      <c r="AC15" s="979" t="s">
        <v>4120</v>
      </c>
      <c r="AD15" s="976" t="s">
        <v>4168</v>
      </c>
      <c r="AE15" s="653">
        <v>44743</v>
      </c>
      <c r="AF15" s="654">
        <v>0.27</v>
      </c>
      <c r="AG15" s="654">
        <v>0.36</v>
      </c>
      <c r="AH15" s="976" t="s">
        <v>4169</v>
      </c>
      <c r="AI15" s="979" t="s">
        <v>4120</v>
      </c>
      <c r="AJ15" s="976" t="s">
        <v>4170</v>
      </c>
      <c r="AK15" s="655">
        <v>44835</v>
      </c>
      <c r="AL15" s="654">
        <v>0.27</v>
      </c>
      <c r="AM15" s="654">
        <v>0.63</v>
      </c>
      <c r="AN15" s="976" t="s">
        <v>4171</v>
      </c>
      <c r="AO15" s="979" t="s">
        <v>4120</v>
      </c>
      <c r="AP15" s="976" t="s">
        <v>4172</v>
      </c>
      <c r="AQ15" s="653">
        <v>44926</v>
      </c>
      <c r="AR15" s="658">
        <v>0.27</v>
      </c>
      <c r="AS15" s="658">
        <v>0.9</v>
      </c>
      <c r="AT15" s="976" t="s">
        <v>5468</v>
      </c>
      <c r="AU15" s="979" t="s">
        <v>4120</v>
      </c>
      <c r="AV15" s="976" t="s">
        <v>5469</v>
      </c>
    </row>
    <row r="16" spans="1:53" s="974" customFormat="1" ht="255" x14ac:dyDescent="0.2">
      <c r="A16" s="975"/>
      <c r="B16" s="996"/>
      <c r="C16" s="997" t="s">
        <v>4173</v>
      </c>
      <c r="D16" s="993" t="s">
        <v>4160</v>
      </c>
      <c r="E16" s="998" t="s">
        <v>4174</v>
      </c>
      <c r="F16" s="976" t="s">
        <v>4175</v>
      </c>
      <c r="G16" s="963" t="s">
        <v>4176</v>
      </c>
      <c r="H16" s="993" t="s">
        <v>4129</v>
      </c>
      <c r="I16" s="999" t="s">
        <v>4130</v>
      </c>
      <c r="J16" s="993" t="s">
        <v>4111</v>
      </c>
      <c r="K16" s="993" t="s">
        <v>4132</v>
      </c>
      <c r="L16" s="1000" t="str">
        <f>VLOOKUP(J16,'[17]2. Anexos'!$B$35:$G$41,(HLOOKUP(K16,'[17]2. Anexos'!$C$35:$G$36,2,0)),0)</f>
        <v>Moderado</v>
      </c>
      <c r="M16" s="978" t="s">
        <v>4177</v>
      </c>
      <c r="N16" s="964" t="s">
        <v>4114</v>
      </c>
      <c r="O16" s="964" t="s">
        <v>4115</v>
      </c>
      <c r="P16" s="963" t="s">
        <v>4178</v>
      </c>
      <c r="Q16" s="963" t="s">
        <v>4132</v>
      </c>
      <c r="R16" s="1001" t="str">
        <f>VLOOKUP(P16,'[17]2. Anexos'!$B$35:$G$41,(HLOOKUP(Q16,'[17]2. Anexos'!$C$35:$G$36,2,0)),0)</f>
        <v>Bajo</v>
      </c>
      <c r="S16" s="1002" t="s">
        <v>4133</v>
      </c>
      <c r="T16" s="978" t="s">
        <v>4177</v>
      </c>
      <c r="U16" s="976" t="s">
        <v>4179</v>
      </c>
      <c r="V16" s="978" t="s">
        <v>4180</v>
      </c>
      <c r="W16" s="995">
        <v>1</v>
      </c>
      <c r="X16" s="986">
        <v>44620</v>
      </c>
      <c r="Y16" s="986">
        <v>44926</v>
      </c>
      <c r="Z16" s="653">
        <v>44652</v>
      </c>
      <c r="AA16" s="654">
        <v>0.17</v>
      </c>
      <c r="AB16" s="976" t="s">
        <v>4181</v>
      </c>
      <c r="AC16" s="963" t="s">
        <v>4120</v>
      </c>
      <c r="AD16" s="976" t="s">
        <v>4182</v>
      </c>
      <c r="AE16" s="653">
        <v>44743</v>
      </c>
      <c r="AF16" s="654">
        <v>0.33</v>
      </c>
      <c r="AG16" s="654">
        <v>0.5</v>
      </c>
      <c r="AH16" s="976" t="s">
        <v>4183</v>
      </c>
      <c r="AI16" s="963" t="s">
        <v>4120</v>
      </c>
      <c r="AJ16" s="976" t="s">
        <v>4184</v>
      </c>
      <c r="AK16" s="655">
        <v>44835</v>
      </c>
      <c r="AL16" s="654">
        <v>0.17</v>
      </c>
      <c r="AM16" s="654">
        <v>0.67</v>
      </c>
      <c r="AN16" s="976" t="s">
        <v>4185</v>
      </c>
      <c r="AO16" s="963" t="s">
        <v>4120</v>
      </c>
      <c r="AP16" s="976" t="s">
        <v>4186</v>
      </c>
      <c r="AQ16" s="653">
        <v>44926</v>
      </c>
      <c r="AR16" s="1003">
        <v>0.33</v>
      </c>
      <c r="AS16" s="1003">
        <v>1</v>
      </c>
      <c r="AT16" s="976" t="s">
        <v>5470</v>
      </c>
      <c r="AU16" s="963" t="s">
        <v>4120</v>
      </c>
      <c r="AV16" s="976" t="s">
        <v>5471</v>
      </c>
    </row>
    <row r="17" spans="1:48" s="974" customFormat="1" ht="255" x14ac:dyDescent="0.2">
      <c r="A17" s="990"/>
      <c r="B17" s="1004"/>
      <c r="C17" s="1005"/>
      <c r="D17" s="1004"/>
      <c r="E17" s="1006"/>
      <c r="F17" s="976" t="s">
        <v>4187</v>
      </c>
      <c r="G17" s="990"/>
      <c r="H17" s="1004"/>
      <c r="I17" s="1007"/>
      <c r="J17" s="1004"/>
      <c r="K17" s="1004"/>
      <c r="L17" s="1008"/>
      <c r="M17" s="976" t="s">
        <v>4188</v>
      </c>
      <c r="N17" s="964" t="s">
        <v>4114</v>
      </c>
      <c r="O17" s="964" t="s">
        <v>4115</v>
      </c>
      <c r="P17" s="990"/>
      <c r="Q17" s="990"/>
      <c r="R17" s="1009"/>
      <c r="S17" s="1010"/>
      <c r="T17" s="976" t="s">
        <v>4188</v>
      </c>
      <c r="U17" s="976" t="s">
        <v>4189</v>
      </c>
      <c r="V17" s="978" t="s">
        <v>4190</v>
      </c>
      <c r="W17" s="995">
        <v>1</v>
      </c>
      <c r="X17" s="986">
        <v>44620</v>
      </c>
      <c r="Y17" s="986">
        <v>44926</v>
      </c>
      <c r="Z17" s="653">
        <v>44652</v>
      </c>
      <c r="AA17" s="654">
        <v>0.09</v>
      </c>
      <c r="AB17" s="976" t="s">
        <v>4191</v>
      </c>
      <c r="AC17" s="990"/>
      <c r="AD17" s="976" t="s">
        <v>4192</v>
      </c>
      <c r="AE17" s="653">
        <v>44743</v>
      </c>
      <c r="AF17" s="654">
        <v>0.27</v>
      </c>
      <c r="AG17" s="654">
        <v>0.54</v>
      </c>
      <c r="AH17" s="976" t="s">
        <v>4193</v>
      </c>
      <c r="AI17" s="990"/>
      <c r="AJ17" s="976" t="s">
        <v>4194</v>
      </c>
      <c r="AK17" s="653">
        <v>44835</v>
      </c>
      <c r="AL17" s="658">
        <v>0.27</v>
      </c>
      <c r="AM17" s="658">
        <v>0.81</v>
      </c>
      <c r="AN17" s="976" t="s">
        <v>4195</v>
      </c>
      <c r="AO17" s="990"/>
      <c r="AP17" s="976" t="s">
        <v>4196</v>
      </c>
      <c r="AQ17" s="653">
        <v>44926</v>
      </c>
      <c r="AR17" s="1003">
        <v>0.19</v>
      </c>
      <c r="AS17" s="1003">
        <v>1</v>
      </c>
      <c r="AT17" s="976" t="s">
        <v>5472</v>
      </c>
      <c r="AU17" s="990"/>
      <c r="AV17" s="976" t="s">
        <v>5473</v>
      </c>
    </row>
    <row r="18" spans="1:48" s="974" customFormat="1" ht="242.25" x14ac:dyDescent="0.2">
      <c r="A18" s="976" t="s">
        <v>4197</v>
      </c>
      <c r="B18" s="976" t="s">
        <v>4198</v>
      </c>
      <c r="C18" s="976" t="s">
        <v>4199</v>
      </c>
      <c r="D18" s="976" t="s">
        <v>2486</v>
      </c>
      <c r="E18" s="977" t="s">
        <v>4200</v>
      </c>
      <c r="F18" s="976" t="s">
        <v>4201</v>
      </c>
      <c r="G18" s="1011" t="s">
        <v>4202</v>
      </c>
      <c r="H18" s="976" t="s">
        <v>4109</v>
      </c>
      <c r="I18" s="980" t="s">
        <v>4130</v>
      </c>
      <c r="J18" s="976" t="s">
        <v>4131</v>
      </c>
      <c r="K18" s="976" t="s">
        <v>4132</v>
      </c>
      <c r="L18" s="969" t="str">
        <f>VLOOKUP(J18,'[18]2. Anexos'!$B$35:$G$41,(HLOOKUP(K18,'[18]2. Anexos'!$C$35:$G$36,2,0)),0)</f>
        <v>Moderado</v>
      </c>
      <c r="M18" s="976" t="s">
        <v>4203</v>
      </c>
      <c r="N18" s="979" t="s">
        <v>4114</v>
      </c>
      <c r="O18" s="979" t="s">
        <v>4115</v>
      </c>
      <c r="P18" s="976" t="s">
        <v>4111</v>
      </c>
      <c r="Q18" s="976" t="s">
        <v>4132</v>
      </c>
      <c r="R18" s="969" t="str">
        <f>VLOOKUP(P18,'[18]2. Anexos'!$B$35:$G$41,(HLOOKUP(Q18,'[18]2. Anexos'!$C$35:$G$36,2,0)),0)</f>
        <v>Moderado</v>
      </c>
      <c r="S18" s="994" t="s">
        <v>4133</v>
      </c>
      <c r="T18" s="976" t="s">
        <v>4203</v>
      </c>
      <c r="U18" s="976" t="s">
        <v>4204</v>
      </c>
      <c r="V18" s="976" t="s">
        <v>4205</v>
      </c>
      <c r="W18" s="995">
        <v>1</v>
      </c>
      <c r="X18" s="986">
        <v>44620</v>
      </c>
      <c r="Y18" s="986">
        <v>44926</v>
      </c>
      <c r="Z18" s="655">
        <v>44658</v>
      </c>
      <c r="AA18" s="654">
        <v>1</v>
      </c>
      <c r="AB18" s="976" t="s">
        <v>4206</v>
      </c>
      <c r="AC18" s="979" t="s">
        <v>4120</v>
      </c>
      <c r="AD18" s="1012" t="s">
        <v>4207</v>
      </c>
      <c r="AE18" s="653">
        <v>44753</v>
      </c>
      <c r="AF18" s="654">
        <v>0.25</v>
      </c>
      <c r="AG18" s="654">
        <v>0.5</v>
      </c>
      <c r="AH18" s="976" t="s">
        <v>4208</v>
      </c>
      <c r="AI18" s="979" t="s">
        <v>4120</v>
      </c>
      <c r="AJ18" s="976" t="s">
        <v>4209</v>
      </c>
      <c r="AK18" s="653">
        <v>44844</v>
      </c>
      <c r="AL18" s="654">
        <v>0.25</v>
      </c>
      <c r="AM18" s="654">
        <v>0.75</v>
      </c>
      <c r="AN18" s="976" t="s">
        <v>4210</v>
      </c>
      <c r="AO18" s="979" t="s">
        <v>4120</v>
      </c>
      <c r="AP18" s="976" t="s">
        <v>4211</v>
      </c>
      <c r="AQ18" s="653">
        <v>44936</v>
      </c>
      <c r="AR18" s="654">
        <v>0.25</v>
      </c>
      <c r="AS18" s="654">
        <v>1</v>
      </c>
      <c r="AT18" s="976" t="s">
        <v>5474</v>
      </c>
      <c r="AU18" s="979" t="s">
        <v>4120</v>
      </c>
      <c r="AV18" s="976" t="s">
        <v>5475</v>
      </c>
    </row>
    <row r="19" spans="1:48" s="974" customFormat="1" ht="178.5" x14ac:dyDescent="0.2">
      <c r="A19" s="997" t="s">
        <v>4212</v>
      </c>
      <c r="B19" s="997" t="s">
        <v>4213</v>
      </c>
      <c r="C19" s="997" t="s">
        <v>4214</v>
      </c>
      <c r="D19" s="997" t="s">
        <v>3205</v>
      </c>
      <c r="E19" s="1002" t="s">
        <v>4215</v>
      </c>
      <c r="F19" s="993" t="s">
        <v>4216</v>
      </c>
      <c r="G19" s="963" t="s">
        <v>4217</v>
      </c>
      <c r="H19" s="993" t="s">
        <v>4129</v>
      </c>
      <c r="I19" s="999" t="s">
        <v>4110</v>
      </c>
      <c r="J19" s="993" t="s">
        <v>4111</v>
      </c>
      <c r="K19" s="993" t="s">
        <v>4146</v>
      </c>
      <c r="L19" s="1001" t="str">
        <f>VLOOKUP(J19,'[19]2. Anexos'!$B$35:$G$41,(HLOOKUP(K19,'[19]2. Anexos'!$C$35:$G$36,2,0)),0)</f>
        <v>Moderado</v>
      </c>
      <c r="M19" s="976" t="s">
        <v>4218</v>
      </c>
      <c r="N19" s="1013" t="s">
        <v>4114</v>
      </c>
      <c r="O19" s="1013" t="s">
        <v>4115</v>
      </c>
      <c r="P19" s="993" t="s">
        <v>4178</v>
      </c>
      <c r="Q19" s="993" t="s">
        <v>4146</v>
      </c>
      <c r="R19" s="1001" t="str">
        <f>VLOOKUP(P19,'[19]2. Anexos'!$B$35:$G$41,(HLOOKUP(Q19,'[19]2. Anexos'!$C$35:$G$36,2,0)),0)</f>
        <v>Moderado</v>
      </c>
      <c r="S19" s="1014" t="s">
        <v>4133</v>
      </c>
      <c r="T19" s="976" t="s">
        <v>4219</v>
      </c>
      <c r="U19" s="976" t="s">
        <v>4220</v>
      </c>
      <c r="V19" s="976" t="s">
        <v>4221</v>
      </c>
      <c r="W19" s="654">
        <v>1</v>
      </c>
      <c r="X19" s="986">
        <v>44651</v>
      </c>
      <c r="Y19" s="986">
        <v>44926</v>
      </c>
      <c r="Z19" s="653">
        <v>44662</v>
      </c>
      <c r="AA19" s="658" t="s">
        <v>1897</v>
      </c>
      <c r="AB19" s="976" t="s">
        <v>4222</v>
      </c>
      <c r="AC19" s="963" t="s">
        <v>4120</v>
      </c>
      <c r="AD19" s="976" t="s">
        <v>4223</v>
      </c>
      <c r="AE19" s="653">
        <v>44750</v>
      </c>
      <c r="AF19" s="654" t="s">
        <v>1897</v>
      </c>
      <c r="AG19" s="659" t="s">
        <v>1897</v>
      </c>
      <c r="AH19" s="976" t="s">
        <v>4224</v>
      </c>
      <c r="AI19" s="1015" t="s">
        <v>4120</v>
      </c>
      <c r="AJ19" s="976" t="s">
        <v>4225</v>
      </c>
      <c r="AK19" s="653">
        <v>44839</v>
      </c>
      <c r="AL19" s="659">
        <v>1</v>
      </c>
      <c r="AM19" s="659">
        <v>1</v>
      </c>
      <c r="AN19" s="978" t="s">
        <v>4226</v>
      </c>
      <c r="AO19" s="1015" t="s">
        <v>4120</v>
      </c>
      <c r="AP19" s="976" t="s">
        <v>4227</v>
      </c>
      <c r="AQ19" s="655">
        <v>44930</v>
      </c>
      <c r="AR19" s="654" t="s">
        <v>1897</v>
      </c>
      <c r="AS19" s="654">
        <v>1</v>
      </c>
      <c r="AT19" s="987" t="s">
        <v>5476</v>
      </c>
      <c r="AU19" s="963" t="s">
        <v>4120</v>
      </c>
      <c r="AV19" s="1012" t="s">
        <v>5477</v>
      </c>
    </row>
    <row r="20" spans="1:48" s="974" customFormat="1" ht="191.25" x14ac:dyDescent="0.2">
      <c r="A20" s="1005"/>
      <c r="B20" s="1005"/>
      <c r="C20" s="1005"/>
      <c r="D20" s="1005"/>
      <c r="E20" s="1010"/>
      <c r="F20" s="1004"/>
      <c r="G20" s="990"/>
      <c r="H20" s="1004"/>
      <c r="I20" s="1007"/>
      <c r="J20" s="1004"/>
      <c r="K20" s="1004"/>
      <c r="L20" s="1009"/>
      <c r="M20" s="976" t="s">
        <v>4228</v>
      </c>
      <c r="N20" s="964" t="s">
        <v>4114</v>
      </c>
      <c r="O20" s="964" t="s">
        <v>4115</v>
      </c>
      <c r="P20" s="1004"/>
      <c r="Q20" s="1004"/>
      <c r="R20" s="1009"/>
      <c r="S20" s="1016"/>
      <c r="T20" s="976" t="s">
        <v>4229</v>
      </c>
      <c r="U20" s="976" t="s">
        <v>4220</v>
      </c>
      <c r="V20" s="976" t="s">
        <v>4230</v>
      </c>
      <c r="W20" s="1017">
        <v>2</v>
      </c>
      <c r="X20" s="986">
        <v>44651</v>
      </c>
      <c r="Y20" s="986">
        <v>44926</v>
      </c>
      <c r="Z20" s="653">
        <v>44662</v>
      </c>
      <c r="AA20" s="658" t="s">
        <v>1897</v>
      </c>
      <c r="AB20" s="976" t="s">
        <v>4231</v>
      </c>
      <c r="AC20" s="990"/>
      <c r="AD20" s="976" t="s">
        <v>4223</v>
      </c>
      <c r="AE20" s="653">
        <v>44750</v>
      </c>
      <c r="AF20" s="654" t="s">
        <v>1897</v>
      </c>
      <c r="AG20" s="659" t="s">
        <v>1897</v>
      </c>
      <c r="AH20" s="976" t="s">
        <v>4232</v>
      </c>
      <c r="AI20" s="1018"/>
      <c r="AJ20" s="976" t="s">
        <v>4225</v>
      </c>
      <c r="AK20" s="653">
        <v>44839</v>
      </c>
      <c r="AL20" s="654" t="s">
        <v>4233</v>
      </c>
      <c r="AM20" s="654" t="s">
        <v>4233</v>
      </c>
      <c r="AN20" s="978" t="s">
        <v>4234</v>
      </c>
      <c r="AO20" s="1018"/>
      <c r="AP20" s="976" t="s">
        <v>4227</v>
      </c>
      <c r="AQ20" s="655">
        <v>44930</v>
      </c>
      <c r="AR20" s="654" t="s">
        <v>1897</v>
      </c>
      <c r="AS20" s="654" t="s">
        <v>1897</v>
      </c>
      <c r="AT20" s="987" t="s">
        <v>5478</v>
      </c>
      <c r="AU20" s="990"/>
      <c r="AV20" s="1012" t="s">
        <v>5479</v>
      </c>
    </row>
    <row r="21" spans="1:48" s="974" customFormat="1" ht="178.5" x14ac:dyDescent="0.2">
      <c r="A21" s="993" t="s">
        <v>4236</v>
      </c>
      <c r="B21" s="993" t="s">
        <v>4237</v>
      </c>
      <c r="C21" s="1011" t="s">
        <v>4238</v>
      </c>
      <c r="D21" s="976" t="s">
        <v>4239</v>
      </c>
      <c r="E21" s="988" t="s">
        <v>4240</v>
      </c>
      <c r="F21" s="976" t="s">
        <v>4241</v>
      </c>
      <c r="G21" s="979" t="s">
        <v>5480</v>
      </c>
      <c r="H21" s="976" t="s">
        <v>4109</v>
      </c>
      <c r="I21" s="980" t="s">
        <v>4145</v>
      </c>
      <c r="J21" s="976" t="s">
        <v>4111</v>
      </c>
      <c r="K21" s="976" t="s">
        <v>4146</v>
      </c>
      <c r="L21" s="969" t="str">
        <f>VLOOKUP(J21,'[20]2. Anexos'!$B$35:$G$41,(HLOOKUP(K21,'[20]2. Anexos'!$C$35:$G$36,2,0)),0)</f>
        <v>Moderado</v>
      </c>
      <c r="M21" s="987" t="s">
        <v>4242</v>
      </c>
      <c r="N21" s="979" t="s">
        <v>4114</v>
      </c>
      <c r="O21" s="979" t="s">
        <v>4115</v>
      </c>
      <c r="P21" s="976" t="s">
        <v>4111</v>
      </c>
      <c r="Q21" s="976" t="s">
        <v>4146</v>
      </c>
      <c r="R21" s="969" t="str">
        <f>VLOOKUP(P21,'[20]2. Anexos'!$B$35:$G$41,(HLOOKUP(Q21,'[20]2. Anexos'!$C$35:$G$36,2,0)),0)</f>
        <v>Moderado</v>
      </c>
      <c r="S21" s="983" t="s">
        <v>4243</v>
      </c>
      <c r="T21" s="987" t="s">
        <v>4242</v>
      </c>
      <c r="U21" s="976" t="s">
        <v>4244</v>
      </c>
      <c r="V21" s="976" t="s">
        <v>4245</v>
      </c>
      <c r="W21" s="995">
        <v>1</v>
      </c>
      <c r="X21" s="986">
        <v>44620</v>
      </c>
      <c r="Y21" s="986">
        <v>44926</v>
      </c>
      <c r="Z21" s="655">
        <v>44658</v>
      </c>
      <c r="AA21" s="654">
        <v>1</v>
      </c>
      <c r="AB21" s="987" t="s">
        <v>4246</v>
      </c>
      <c r="AC21" s="979" t="s">
        <v>4120</v>
      </c>
      <c r="AD21" s="987" t="s">
        <v>4247</v>
      </c>
      <c r="AE21" s="655">
        <v>44748</v>
      </c>
      <c r="AF21" s="654">
        <v>1</v>
      </c>
      <c r="AG21" s="654">
        <v>1</v>
      </c>
      <c r="AH21" s="987" t="s">
        <v>4248</v>
      </c>
      <c r="AI21" s="979" t="s">
        <v>4120</v>
      </c>
      <c r="AJ21" s="987" t="s">
        <v>4249</v>
      </c>
      <c r="AK21" s="653">
        <v>44839</v>
      </c>
      <c r="AL21" s="654">
        <v>1</v>
      </c>
      <c r="AM21" s="654">
        <v>1</v>
      </c>
      <c r="AN21" s="987" t="s">
        <v>4250</v>
      </c>
      <c r="AO21" s="979" t="s">
        <v>4120</v>
      </c>
      <c r="AP21" s="987" t="s">
        <v>4251</v>
      </c>
      <c r="AQ21" s="653">
        <v>44931</v>
      </c>
      <c r="AR21" s="658">
        <v>1</v>
      </c>
      <c r="AS21" s="658">
        <v>1</v>
      </c>
      <c r="AT21" s="987" t="s">
        <v>5481</v>
      </c>
      <c r="AU21" s="979" t="s">
        <v>4120</v>
      </c>
      <c r="AV21" s="987" t="s">
        <v>5482</v>
      </c>
    </row>
    <row r="22" spans="1:48" s="974" customFormat="1" ht="216.75" x14ac:dyDescent="0.2">
      <c r="A22" s="1004"/>
      <c r="B22" s="1004"/>
      <c r="C22" s="1019" t="s">
        <v>4252</v>
      </c>
      <c r="D22" s="964" t="s">
        <v>4239</v>
      </c>
      <c r="E22" s="1020" t="s">
        <v>4253</v>
      </c>
      <c r="F22" s="964" t="s">
        <v>4254</v>
      </c>
      <c r="G22" s="967" t="s">
        <v>4255</v>
      </c>
      <c r="H22" s="964" t="s">
        <v>4109</v>
      </c>
      <c r="I22" s="968" t="s">
        <v>4145</v>
      </c>
      <c r="J22" s="964" t="s">
        <v>4235</v>
      </c>
      <c r="K22" s="964" t="s">
        <v>4146</v>
      </c>
      <c r="L22" s="969" t="str">
        <f>VLOOKUP(J22,'[20]2. Anexos'!$B$35:$G$41,(HLOOKUP(K22,'[20]2. Anexos'!$C$35:$G$36,2,0)),0)</f>
        <v>Alto</v>
      </c>
      <c r="M22" s="982" t="s">
        <v>4256</v>
      </c>
      <c r="N22" s="967" t="s">
        <v>4114</v>
      </c>
      <c r="O22" s="967" t="s">
        <v>4115</v>
      </c>
      <c r="P22" s="964" t="s">
        <v>4131</v>
      </c>
      <c r="Q22" s="964" t="s">
        <v>4146</v>
      </c>
      <c r="R22" s="969" t="str">
        <f>VLOOKUP(P22,'[20]2. Anexos'!$B$35:$G$41,(HLOOKUP(Q22,'[20]2. Anexos'!$C$35:$G$36,2,0)),0)</f>
        <v>Moderado</v>
      </c>
      <c r="S22" s="1021" t="s">
        <v>4133</v>
      </c>
      <c r="T22" s="982" t="s">
        <v>4256</v>
      </c>
      <c r="U22" s="982" t="s">
        <v>4257</v>
      </c>
      <c r="V22" s="982" t="s">
        <v>4258</v>
      </c>
      <c r="W22" s="1022">
        <v>1</v>
      </c>
      <c r="X22" s="973">
        <v>44620</v>
      </c>
      <c r="Y22" s="973">
        <v>44926</v>
      </c>
      <c r="Z22" s="651">
        <v>44658</v>
      </c>
      <c r="AA22" s="650">
        <v>1</v>
      </c>
      <c r="AB22" s="970" t="s">
        <v>4259</v>
      </c>
      <c r="AC22" s="967" t="s">
        <v>4120</v>
      </c>
      <c r="AD22" s="970" t="s">
        <v>4247</v>
      </c>
      <c r="AE22" s="655">
        <v>44749</v>
      </c>
      <c r="AF22" s="654">
        <v>1</v>
      </c>
      <c r="AG22" s="654">
        <v>1</v>
      </c>
      <c r="AH22" s="976" t="s">
        <v>4260</v>
      </c>
      <c r="AI22" s="979" t="s">
        <v>4120</v>
      </c>
      <c r="AJ22" s="987" t="s">
        <v>4249</v>
      </c>
      <c r="AK22" s="653">
        <v>44839</v>
      </c>
      <c r="AL22" s="654">
        <v>1</v>
      </c>
      <c r="AM22" s="654">
        <v>1</v>
      </c>
      <c r="AN22" s="987" t="s">
        <v>4261</v>
      </c>
      <c r="AO22" s="979" t="s">
        <v>4120</v>
      </c>
      <c r="AP22" s="987" t="s">
        <v>4262</v>
      </c>
      <c r="AQ22" s="653">
        <v>44932</v>
      </c>
      <c r="AR22" s="658">
        <v>1</v>
      </c>
      <c r="AS22" s="658">
        <v>1</v>
      </c>
      <c r="AT22" s="987" t="s">
        <v>5483</v>
      </c>
      <c r="AU22" s="979" t="s">
        <v>4120</v>
      </c>
      <c r="AV22" s="987" t="s">
        <v>5482</v>
      </c>
    </row>
    <row r="23" spans="1:48" s="974" customFormat="1" ht="153" x14ac:dyDescent="0.2">
      <c r="A23" s="963" t="s">
        <v>4263</v>
      </c>
      <c r="B23" s="963" t="s">
        <v>4264</v>
      </c>
      <c r="C23" s="1011" t="s">
        <v>4265</v>
      </c>
      <c r="D23" s="976" t="s">
        <v>4239</v>
      </c>
      <c r="E23" s="979" t="s">
        <v>4266</v>
      </c>
      <c r="F23" s="976" t="s">
        <v>4267</v>
      </c>
      <c r="G23" s="1023" t="s">
        <v>4268</v>
      </c>
      <c r="H23" s="976" t="s">
        <v>4109</v>
      </c>
      <c r="I23" s="980" t="s">
        <v>4130</v>
      </c>
      <c r="J23" s="1011" t="s">
        <v>4235</v>
      </c>
      <c r="K23" s="976" t="s">
        <v>4112</v>
      </c>
      <c r="L23" s="969" t="str">
        <f>VLOOKUP(J23,'[35]2. Anexos'!$B$35:$G$41,(HLOOKUP(K23,'[35]2. Anexos'!$C$35:$G$36,2,0)),0)</f>
        <v>Alto</v>
      </c>
      <c r="M23" s="976" t="s">
        <v>4269</v>
      </c>
      <c r="N23" s="979" t="s">
        <v>4114</v>
      </c>
      <c r="O23" s="979" t="s">
        <v>4115</v>
      </c>
      <c r="P23" s="984" t="s">
        <v>4131</v>
      </c>
      <c r="Q23" s="976" t="s">
        <v>4112</v>
      </c>
      <c r="R23" s="969" t="str">
        <f>VLOOKUP(P23,'[35]2. Anexos'!$B$35:$G$41,(HLOOKUP(Q23,'[35]2. Anexos'!$C$35:$G$36,2,0)),0)</f>
        <v>Alto</v>
      </c>
      <c r="S23" s="983" t="s">
        <v>4133</v>
      </c>
      <c r="T23" s="976" t="s">
        <v>4269</v>
      </c>
      <c r="U23" s="976" t="s">
        <v>4270</v>
      </c>
      <c r="V23" s="976" t="s">
        <v>4271</v>
      </c>
      <c r="W23" s="995" t="s">
        <v>4272</v>
      </c>
      <c r="X23" s="986">
        <v>44620</v>
      </c>
      <c r="Y23" s="986">
        <v>44926</v>
      </c>
      <c r="Z23" s="653">
        <v>44658</v>
      </c>
      <c r="AA23" s="654">
        <v>0.18179999999999999</v>
      </c>
      <c r="AB23" s="976" t="s">
        <v>4273</v>
      </c>
      <c r="AC23" s="979" t="s">
        <v>4120</v>
      </c>
      <c r="AD23" s="976" t="s">
        <v>4274</v>
      </c>
      <c r="AE23" s="653">
        <v>44749</v>
      </c>
      <c r="AF23" s="659">
        <v>0.27</v>
      </c>
      <c r="AG23" s="654">
        <v>0.45450000000000002</v>
      </c>
      <c r="AH23" s="976" t="s">
        <v>4275</v>
      </c>
      <c r="AI23" s="979" t="s">
        <v>4120</v>
      </c>
      <c r="AJ23" s="976" t="s">
        <v>4276</v>
      </c>
      <c r="AK23" s="653">
        <v>44840</v>
      </c>
      <c r="AL23" s="654">
        <v>0.27</v>
      </c>
      <c r="AM23" s="654">
        <v>0.72719999999999996</v>
      </c>
      <c r="AN23" s="976" t="s">
        <v>4277</v>
      </c>
      <c r="AO23" s="979" t="s">
        <v>4120</v>
      </c>
      <c r="AP23" s="976" t="s">
        <v>4278</v>
      </c>
      <c r="AQ23" s="653">
        <v>44932</v>
      </c>
      <c r="AR23" s="654">
        <v>0.27</v>
      </c>
      <c r="AS23" s="654">
        <v>1</v>
      </c>
      <c r="AT23" s="976" t="s">
        <v>5484</v>
      </c>
      <c r="AU23" s="979" t="s">
        <v>4120</v>
      </c>
      <c r="AV23" s="976" t="s">
        <v>5485</v>
      </c>
    </row>
    <row r="24" spans="1:48" s="974" customFormat="1" ht="242.25" x14ac:dyDescent="0.2">
      <c r="A24" s="975"/>
      <c r="B24" s="975"/>
      <c r="C24" s="993" t="s">
        <v>4279</v>
      </c>
      <c r="D24" s="993" t="s">
        <v>4239</v>
      </c>
      <c r="E24" s="963" t="s">
        <v>4280</v>
      </c>
      <c r="F24" s="976" t="s">
        <v>4281</v>
      </c>
      <c r="G24" s="1024" t="s">
        <v>4282</v>
      </c>
      <c r="H24" s="993" t="s">
        <v>4109</v>
      </c>
      <c r="I24" s="1025" t="s">
        <v>4145</v>
      </c>
      <c r="J24" s="1024" t="s">
        <v>4283</v>
      </c>
      <c r="K24" s="963" t="s">
        <v>4112</v>
      </c>
      <c r="L24" s="1001" t="str">
        <f>VLOOKUP(J24,'[35]2. Anexos'!$B$35:$G$41,(HLOOKUP(K24,'[35]2. Anexos'!$C$35:$G$36,2,0)),0)</f>
        <v>Alto</v>
      </c>
      <c r="M24" s="976" t="s">
        <v>4284</v>
      </c>
      <c r="N24" s="979" t="s">
        <v>4114</v>
      </c>
      <c r="O24" s="979" t="s">
        <v>4115</v>
      </c>
      <c r="P24" s="1015" t="s">
        <v>4111</v>
      </c>
      <c r="Q24" s="963" t="s">
        <v>4112</v>
      </c>
      <c r="R24" s="1001" t="str">
        <f>VLOOKUP(P24,'[35]2. Anexos'!$B$35:$G$41,(HLOOKUP(Q24,'[35]2. Anexos'!$C$35:$G$36,2,0)),0)</f>
        <v>Alto</v>
      </c>
      <c r="S24" s="1014" t="s">
        <v>4133</v>
      </c>
      <c r="T24" s="976" t="s">
        <v>4284</v>
      </c>
      <c r="U24" s="976" t="s">
        <v>4285</v>
      </c>
      <c r="V24" s="976" t="s">
        <v>4286</v>
      </c>
      <c r="W24" s="979" t="s">
        <v>4287</v>
      </c>
      <c r="X24" s="986">
        <v>44682</v>
      </c>
      <c r="Y24" s="986">
        <v>44926</v>
      </c>
      <c r="Z24" s="653">
        <v>44658</v>
      </c>
      <c r="AA24" s="658" t="s">
        <v>4233</v>
      </c>
      <c r="AB24" s="976" t="s">
        <v>4288</v>
      </c>
      <c r="AC24" s="963" t="s">
        <v>4120</v>
      </c>
      <c r="AD24" s="976" t="s">
        <v>4289</v>
      </c>
      <c r="AE24" s="653">
        <v>44749</v>
      </c>
      <c r="AF24" s="654">
        <v>0.33</v>
      </c>
      <c r="AG24" s="654">
        <v>0.33329999999999999</v>
      </c>
      <c r="AH24" s="976" t="s">
        <v>4290</v>
      </c>
      <c r="AI24" s="963" t="s">
        <v>4120</v>
      </c>
      <c r="AJ24" s="976" t="s">
        <v>4291</v>
      </c>
      <c r="AK24" s="653">
        <v>44840</v>
      </c>
      <c r="AL24" s="654">
        <v>0.33</v>
      </c>
      <c r="AM24" s="654">
        <v>0.66659999999999997</v>
      </c>
      <c r="AN24" s="976" t="s">
        <v>4292</v>
      </c>
      <c r="AO24" s="963" t="s">
        <v>4120</v>
      </c>
      <c r="AP24" s="976" t="s">
        <v>4293</v>
      </c>
      <c r="AQ24" s="653">
        <v>44932</v>
      </c>
      <c r="AR24" s="654">
        <v>0.33</v>
      </c>
      <c r="AS24" s="654">
        <v>1</v>
      </c>
      <c r="AT24" s="976" t="s">
        <v>5486</v>
      </c>
      <c r="AU24" s="963" t="s">
        <v>4120</v>
      </c>
      <c r="AV24" s="976" t="s">
        <v>5485</v>
      </c>
    </row>
    <row r="25" spans="1:48" s="974" customFormat="1" ht="178.5" x14ac:dyDescent="0.2">
      <c r="A25" s="975"/>
      <c r="B25" s="975"/>
      <c r="C25" s="1004"/>
      <c r="D25" s="1004"/>
      <c r="E25" s="990"/>
      <c r="F25" s="976" t="s">
        <v>4294</v>
      </c>
      <c r="G25" s="1026"/>
      <c r="H25" s="1004"/>
      <c r="I25" s="1027"/>
      <c r="J25" s="1026"/>
      <c r="K25" s="990"/>
      <c r="L25" s="1009"/>
      <c r="M25" s="976" t="s">
        <v>4295</v>
      </c>
      <c r="N25" s="979" t="s">
        <v>4114</v>
      </c>
      <c r="O25" s="979" t="s">
        <v>4115</v>
      </c>
      <c r="P25" s="1018"/>
      <c r="Q25" s="990"/>
      <c r="R25" s="1009"/>
      <c r="S25" s="1016"/>
      <c r="T25" s="976" t="s">
        <v>4295</v>
      </c>
      <c r="U25" s="976" t="s">
        <v>4296</v>
      </c>
      <c r="V25" s="1011" t="s">
        <v>4297</v>
      </c>
      <c r="W25" s="1028" t="s">
        <v>4298</v>
      </c>
      <c r="X25" s="986">
        <v>44669</v>
      </c>
      <c r="Y25" s="986">
        <v>44926</v>
      </c>
      <c r="Z25" s="653">
        <v>44658</v>
      </c>
      <c r="AA25" s="658" t="s">
        <v>4233</v>
      </c>
      <c r="AB25" s="976" t="s">
        <v>4299</v>
      </c>
      <c r="AC25" s="990"/>
      <c r="AD25" s="976" t="s">
        <v>4289</v>
      </c>
      <c r="AE25" s="653">
        <v>44749</v>
      </c>
      <c r="AF25" s="654">
        <v>0.1</v>
      </c>
      <c r="AG25" s="654">
        <v>0.1</v>
      </c>
      <c r="AH25" s="976" t="s">
        <v>4300</v>
      </c>
      <c r="AI25" s="990"/>
      <c r="AJ25" s="976" t="s">
        <v>4276</v>
      </c>
      <c r="AK25" s="653">
        <v>44840</v>
      </c>
      <c r="AL25" s="654">
        <v>0.3</v>
      </c>
      <c r="AM25" s="654">
        <v>0.4</v>
      </c>
      <c r="AN25" s="976" t="s">
        <v>4301</v>
      </c>
      <c r="AO25" s="990"/>
      <c r="AP25" s="976" t="s">
        <v>4278</v>
      </c>
      <c r="AQ25" s="653">
        <v>44932</v>
      </c>
      <c r="AR25" s="654">
        <v>0.6</v>
      </c>
      <c r="AS25" s="654">
        <v>1</v>
      </c>
      <c r="AT25" s="976" t="s">
        <v>5487</v>
      </c>
      <c r="AU25" s="990"/>
      <c r="AV25" s="976" t="s">
        <v>5485</v>
      </c>
    </row>
    <row r="26" spans="1:48" s="974" customFormat="1" ht="140.25" x14ac:dyDescent="0.2">
      <c r="A26" s="975"/>
      <c r="B26" s="975"/>
      <c r="C26" s="963" t="s">
        <v>4279</v>
      </c>
      <c r="D26" s="963" t="s">
        <v>5488</v>
      </c>
      <c r="E26" s="963" t="s">
        <v>5489</v>
      </c>
      <c r="F26" s="964" t="s">
        <v>5490</v>
      </c>
      <c r="G26" s="963" t="s">
        <v>5491</v>
      </c>
      <c r="H26" s="963" t="s">
        <v>4109</v>
      </c>
      <c r="I26" s="1029" t="s">
        <v>5461</v>
      </c>
      <c r="J26" s="963" t="s">
        <v>4235</v>
      </c>
      <c r="K26" s="963" t="s">
        <v>4112</v>
      </c>
      <c r="L26" s="1001" t="str">
        <f>VLOOKUP(J26,'[36]2. Anexos'!$B$35:$G$41,(HLOOKUP(K26,'[36]2. Anexos'!$C$35:$G$36,2,0)),0)</f>
        <v>Alto</v>
      </c>
      <c r="M26" s="976" t="s">
        <v>5492</v>
      </c>
      <c r="N26" s="979" t="s">
        <v>4114</v>
      </c>
      <c r="O26" s="979" t="s">
        <v>4115</v>
      </c>
      <c r="P26" s="1015" t="s">
        <v>4178</v>
      </c>
      <c r="Q26" s="963" t="s">
        <v>4112</v>
      </c>
      <c r="R26" s="1001" t="str">
        <f>VLOOKUP(P26,'[36]2. Anexos'!$B$35:$G$41,(HLOOKUP(Q26,'[36]2. Anexos'!$C$35:$G$36,2,0)),0)</f>
        <v>Alto</v>
      </c>
      <c r="S26" s="1002" t="s">
        <v>4133</v>
      </c>
      <c r="T26" s="976" t="s">
        <v>5492</v>
      </c>
      <c r="U26" s="979" t="s">
        <v>5493</v>
      </c>
      <c r="V26" s="979" t="s">
        <v>5494</v>
      </c>
      <c r="W26" s="979" t="s">
        <v>5495</v>
      </c>
      <c r="X26" s="986">
        <v>44837</v>
      </c>
      <c r="Y26" s="986">
        <v>44926</v>
      </c>
      <c r="Z26" s="653"/>
      <c r="AA26" s="658"/>
      <c r="AB26" s="992" t="s">
        <v>5466</v>
      </c>
      <c r="AC26" s="979"/>
      <c r="AD26" s="976"/>
      <c r="AE26" s="653"/>
      <c r="AF26" s="654"/>
      <c r="AG26" s="654"/>
      <c r="AH26" s="992" t="s">
        <v>5466</v>
      </c>
      <c r="AI26" s="979"/>
      <c r="AJ26" s="976"/>
      <c r="AK26" s="653"/>
      <c r="AL26" s="658"/>
      <c r="AM26" s="658"/>
      <c r="AN26" s="992" t="s">
        <v>5466</v>
      </c>
      <c r="AO26" s="979"/>
      <c r="AP26" s="984"/>
      <c r="AQ26" s="660">
        <v>44932</v>
      </c>
      <c r="AR26" s="659">
        <v>1</v>
      </c>
      <c r="AS26" s="659">
        <v>1</v>
      </c>
      <c r="AT26" s="984" t="s">
        <v>5496</v>
      </c>
      <c r="AU26" s="1015" t="s">
        <v>4120</v>
      </c>
      <c r="AV26" s="976" t="s">
        <v>5485</v>
      </c>
    </row>
    <row r="27" spans="1:48" s="974" customFormat="1" ht="127.5" x14ac:dyDescent="0.2">
      <c r="A27" s="975"/>
      <c r="B27" s="975"/>
      <c r="C27" s="975"/>
      <c r="D27" s="975"/>
      <c r="E27" s="975"/>
      <c r="F27" s="965" t="s">
        <v>5497</v>
      </c>
      <c r="G27" s="975"/>
      <c r="H27" s="975"/>
      <c r="I27" s="1030"/>
      <c r="J27" s="975"/>
      <c r="K27" s="975"/>
      <c r="L27" s="1031"/>
      <c r="M27" s="982" t="s">
        <v>5498</v>
      </c>
      <c r="N27" s="967" t="s">
        <v>4114</v>
      </c>
      <c r="O27" s="967" t="s">
        <v>4115</v>
      </c>
      <c r="P27" s="1032"/>
      <c r="Q27" s="975"/>
      <c r="R27" s="1031"/>
      <c r="S27" s="1033"/>
      <c r="T27" s="982" t="s">
        <v>5498</v>
      </c>
      <c r="U27" s="967" t="s">
        <v>5499</v>
      </c>
      <c r="V27" s="1023" t="s">
        <v>5500</v>
      </c>
      <c r="W27" s="1023" t="s">
        <v>5501</v>
      </c>
      <c r="X27" s="973">
        <v>44837</v>
      </c>
      <c r="Y27" s="973">
        <v>44926</v>
      </c>
      <c r="Z27" s="651"/>
      <c r="AA27" s="658"/>
      <c r="AB27" s="992" t="s">
        <v>5466</v>
      </c>
      <c r="AC27" s="979"/>
      <c r="AD27" s="976"/>
      <c r="AE27" s="653"/>
      <c r="AF27" s="654"/>
      <c r="AG27" s="654"/>
      <c r="AH27" s="992" t="s">
        <v>5466</v>
      </c>
      <c r="AI27" s="979"/>
      <c r="AJ27" s="976"/>
      <c r="AK27" s="653"/>
      <c r="AL27" s="658"/>
      <c r="AM27" s="658"/>
      <c r="AN27" s="992" t="s">
        <v>5466</v>
      </c>
      <c r="AO27" s="979"/>
      <c r="AP27" s="976"/>
      <c r="AQ27" s="653">
        <v>44932</v>
      </c>
      <c r="AR27" s="654">
        <v>1</v>
      </c>
      <c r="AS27" s="654">
        <v>1</v>
      </c>
      <c r="AT27" s="976" t="s">
        <v>5502</v>
      </c>
      <c r="AU27" s="1032"/>
      <c r="AV27" s="976" t="s">
        <v>5485</v>
      </c>
    </row>
    <row r="28" spans="1:48" s="974" customFormat="1" ht="409.5" x14ac:dyDescent="0.2">
      <c r="A28" s="990"/>
      <c r="B28" s="990"/>
      <c r="C28" s="990"/>
      <c r="D28" s="990"/>
      <c r="E28" s="990"/>
      <c r="F28" s="965" t="s">
        <v>5503</v>
      </c>
      <c r="G28" s="990"/>
      <c r="H28" s="990"/>
      <c r="I28" s="1034"/>
      <c r="J28" s="990"/>
      <c r="K28" s="990"/>
      <c r="L28" s="1031"/>
      <c r="M28" s="982" t="s">
        <v>5504</v>
      </c>
      <c r="N28" s="967" t="s">
        <v>4114</v>
      </c>
      <c r="O28" s="967" t="s">
        <v>4115</v>
      </c>
      <c r="P28" s="1018"/>
      <c r="Q28" s="990"/>
      <c r="R28" s="1009"/>
      <c r="S28" s="1010"/>
      <c r="T28" s="982" t="s">
        <v>5504</v>
      </c>
      <c r="U28" s="967" t="s">
        <v>5505</v>
      </c>
      <c r="V28" s="967" t="s">
        <v>5506</v>
      </c>
      <c r="W28" s="967" t="s">
        <v>5507</v>
      </c>
      <c r="X28" s="973">
        <v>44837</v>
      </c>
      <c r="Y28" s="973">
        <v>44926</v>
      </c>
      <c r="Z28" s="651"/>
      <c r="AA28" s="658"/>
      <c r="AB28" s="992" t="s">
        <v>5466</v>
      </c>
      <c r="AC28" s="979"/>
      <c r="AD28" s="976"/>
      <c r="AE28" s="653"/>
      <c r="AF28" s="658"/>
      <c r="AG28" s="658"/>
      <c r="AH28" s="992" t="s">
        <v>5466</v>
      </c>
      <c r="AI28" s="979"/>
      <c r="AJ28" s="976"/>
      <c r="AK28" s="653"/>
      <c r="AL28" s="658"/>
      <c r="AM28" s="658"/>
      <c r="AN28" s="992" t="s">
        <v>5466</v>
      </c>
      <c r="AO28" s="979"/>
      <c r="AP28" s="976"/>
      <c r="AQ28" s="653">
        <v>44932</v>
      </c>
      <c r="AR28" s="654">
        <v>1</v>
      </c>
      <c r="AS28" s="654">
        <v>1</v>
      </c>
      <c r="AT28" s="976" t="s">
        <v>5508</v>
      </c>
      <c r="AU28" s="1018"/>
      <c r="AV28" s="976" t="s">
        <v>5485</v>
      </c>
    </row>
    <row r="29" spans="1:48" s="974" customFormat="1" ht="267.75" x14ac:dyDescent="0.2">
      <c r="A29" s="997" t="s">
        <v>4302</v>
      </c>
      <c r="B29" s="993" t="s">
        <v>4303</v>
      </c>
      <c r="C29" s="1035" t="s">
        <v>4304</v>
      </c>
      <c r="D29" s="993" t="s">
        <v>4305</v>
      </c>
      <c r="E29" s="998" t="s">
        <v>4306</v>
      </c>
      <c r="F29" s="997" t="s">
        <v>4307</v>
      </c>
      <c r="G29" s="963" t="s">
        <v>4308</v>
      </c>
      <c r="H29" s="997" t="s">
        <v>4129</v>
      </c>
      <c r="I29" s="1036" t="s">
        <v>4130</v>
      </c>
      <c r="J29" s="997" t="s">
        <v>4283</v>
      </c>
      <c r="K29" s="997" t="s">
        <v>4112</v>
      </c>
      <c r="L29" s="1001" t="str">
        <f>VLOOKUP(J29,'[21]2. Anexos'!$B$35:$G$41,(HLOOKUP(K29,'[21]2. Anexos'!$C$35:$G$36,2,0)),0)</f>
        <v>Alto</v>
      </c>
      <c r="M29" s="1037" t="s">
        <v>4309</v>
      </c>
      <c r="N29" s="979" t="s">
        <v>4114</v>
      </c>
      <c r="O29" s="979" t="s">
        <v>4115</v>
      </c>
      <c r="P29" s="997" t="s">
        <v>4178</v>
      </c>
      <c r="Q29" s="997" t="s">
        <v>4112</v>
      </c>
      <c r="R29" s="1001" t="str">
        <f>VLOOKUP(P29,'[21]2. Anexos'!$B$35:$G$41,(HLOOKUP(Q29,'[21]2. Anexos'!$C$35:$G$36,2,0)),0)</f>
        <v>Alto</v>
      </c>
      <c r="S29" s="1038" t="s">
        <v>4133</v>
      </c>
      <c r="T29" s="1037" t="s">
        <v>4309</v>
      </c>
      <c r="U29" s="976" t="s">
        <v>4310</v>
      </c>
      <c r="V29" s="976" t="s">
        <v>4311</v>
      </c>
      <c r="W29" s="995">
        <v>1</v>
      </c>
      <c r="X29" s="1039">
        <v>44696</v>
      </c>
      <c r="Y29" s="1039">
        <v>44926</v>
      </c>
      <c r="Z29" s="655">
        <v>44655</v>
      </c>
      <c r="AA29" s="654">
        <v>0</v>
      </c>
      <c r="AB29" s="1040" t="s">
        <v>4312</v>
      </c>
      <c r="AC29" s="963" t="s">
        <v>4120</v>
      </c>
      <c r="AD29" s="987" t="s">
        <v>4247</v>
      </c>
      <c r="AE29" s="655">
        <v>44747</v>
      </c>
      <c r="AF29" s="659">
        <v>1</v>
      </c>
      <c r="AG29" s="659">
        <v>0.33</v>
      </c>
      <c r="AH29" s="987" t="s">
        <v>4313</v>
      </c>
      <c r="AI29" s="1015" t="s">
        <v>4120</v>
      </c>
      <c r="AJ29" s="987" t="s">
        <v>4249</v>
      </c>
      <c r="AK29" s="653">
        <v>44838</v>
      </c>
      <c r="AL29" s="654">
        <v>0.36</v>
      </c>
      <c r="AM29" s="654">
        <v>0.69</v>
      </c>
      <c r="AN29" s="661" t="s">
        <v>4314</v>
      </c>
      <c r="AO29" s="963" t="s">
        <v>4120</v>
      </c>
      <c r="AP29" s="987" t="s">
        <v>4315</v>
      </c>
      <c r="AQ29" s="653">
        <v>44932</v>
      </c>
      <c r="AR29" s="658">
        <v>1</v>
      </c>
      <c r="AS29" s="658">
        <v>1</v>
      </c>
      <c r="AT29" s="976" t="s">
        <v>5509</v>
      </c>
      <c r="AU29" s="1015" t="s">
        <v>4120</v>
      </c>
      <c r="AV29" s="976" t="s">
        <v>5510</v>
      </c>
    </row>
    <row r="30" spans="1:48" s="974" customFormat="1" ht="344.25" x14ac:dyDescent="0.2">
      <c r="A30" s="1041"/>
      <c r="B30" s="996"/>
      <c r="C30" s="1042"/>
      <c r="D30" s="996"/>
      <c r="E30" s="1043"/>
      <c r="F30" s="1041"/>
      <c r="G30" s="975"/>
      <c r="H30" s="1041"/>
      <c r="I30" s="1044"/>
      <c r="J30" s="1041"/>
      <c r="K30" s="1041"/>
      <c r="L30" s="1031"/>
      <c r="M30" s="1040" t="s">
        <v>4316</v>
      </c>
      <c r="N30" s="979" t="s">
        <v>4114</v>
      </c>
      <c r="O30" s="979" t="s">
        <v>4115</v>
      </c>
      <c r="P30" s="1041"/>
      <c r="Q30" s="1041"/>
      <c r="R30" s="1031"/>
      <c r="S30" s="1045"/>
      <c r="T30" s="1040" t="s">
        <v>4316</v>
      </c>
      <c r="U30" s="976" t="s">
        <v>4317</v>
      </c>
      <c r="V30" s="976" t="s">
        <v>4318</v>
      </c>
      <c r="W30" s="995">
        <v>1</v>
      </c>
      <c r="X30" s="1039">
        <v>44620</v>
      </c>
      <c r="Y30" s="1039">
        <v>44926</v>
      </c>
      <c r="Z30" s="655">
        <v>44655</v>
      </c>
      <c r="AA30" s="654">
        <v>1</v>
      </c>
      <c r="AB30" s="1040" t="s">
        <v>4319</v>
      </c>
      <c r="AC30" s="975"/>
      <c r="AD30" s="987" t="s">
        <v>4247</v>
      </c>
      <c r="AE30" s="655">
        <v>44747</v>
      </c>
      <c r="AF30" s="654">
        <v>1</v>
      </c>
      <c r="AG30" s="654">
        <v>1</v>
      </c>
      <c r="AH30" s="987" t="s">
        <v>4320</v>
      </c>
      <c r="AI30" s="1032"/>
      <c r="AJ30" s="1040" t="s">
        <v>4321</v>
      </c>
      <c r="AK30" s="653">
        <v>44838</v>
      </c>
      <c r="AL30" s="654">
        <v>1</v>
      </c>
      <c r="AM30" s="654">
        <v>1</v>
      </c>
      <c r="AN30" s="661" t="s">
        <v>4322</v>
      </c>
      <c r="AO30" s="975"/>
      <c r="AP30" s="987" t="s">
        <v>4323</v>
      </c>
      <c r="AQ30" s="653">
        <v>44932</v>
      </c>
      <c r="AR30" s="658">
        <v>1</v>
      </c>
      <c r="AS30" s="658">
        <v>1</v>
      </c>
      <c r="AT30" s="976" t="s">
        <v>5511</v>
      </c>
      <c r="AU30" s="1032"/>
      <c r="AV30" s="976" t="s">
        <v>5512</v>
      </c>
    </row>
    <row r="31" spans="1:48" s="974" customFormat="1" ht="191.25" x14ac:dyDescent="0.2">
      <c r="A31" s="1041"/>
      <c r="B31" s="996"/>
      <c r="C31" s="1042"/>
      <c r="D31" s="996"/>
      <c r="E31" s="1043"/>
      <c r="F31" s="1041"/>
      <c r="G31" s="975"/>
      <c r="H31" s="1041"/>
      <c r="I31" s="1044"/>
      <c r="J31" s="1041"/>
      <c r="K31" s="1041"/>
      <c r="L31" s="1031"/>
      <c r="M31" s="1040" t="s">
        <v>4324</v>
      </c>
      <c r="N31" s="979" t="s">
        <v>4114</v>
      </c>
      <c r="O31" s="979" t="s">
        <v>4115</v>
      </c>
      <c r="P31" s="1041"/>
      <c r="Q31" s="1041"/>
      <c r="R31" s="1031"/>
      <c r="S31" s="1045"/>
      <c r="T31" s="1040" t="s">
        <v>4325</v>
      </c>
      <c r="U31" s="976" t="s">
        <v>4317</v>
      </c>
      <c r="V31" s="976" t="s">
        <v>4326</v>
      </c>
      <c r="W31" s="979">
        <v>1</v>
      </c>
      <c r="X31" s="1039">
        <v>44620</v>
      </c>
      <c r="Y31" s="1039">
        <v>44926</v>
      </c>
      <c r="Z31" s="655">
        <v>44655</v>
      </c>
      <c r="AA31" s="654">
        <v>0</v>
      </c>
      <c r="AB31" s="1040" t="s">
        <v>4327</v>
      </c>
      <c r="AC31" s="975"/>
      <c r="AD31" s="987" t="s">
        <v>4247</v>
      </c>
      <c r="AE31" s="655">
        <v>44747</v>
      </c>
      <c r="AF31" s="654">
        <v>1</v>
      </c>
      <c r="AG31" s="654">
        <v>1</v>
      </c>
      <c r="AH31" s="1046" t="s">
        <v>4328</v>
      </c>
      <c r="AI31" s="1032"/>
      <c r="AJ31" s="1040" t="s">
        <v>4329</v>
      </c>
      <c r="AK31" s="653">
        <v>44838</v>
      </c>
      <c r="AL31" s="654">
        <v>1</v>
      </c>
      <c r="AM31" s="654">
        <v>1</v>
      </c>
      <c r="AN31" s="661" t="s">
        <v>4330</v>
      </c>
      <c r="AO31" s="975"/>
      <c r="AP31" s="987" t="s">
        <v>4331</v>
      </c>
      <c r="AQ31" s="653">
        <v>44932</v>
      </c>
      <c r="AR31" s="658">
        <v>1</v>
      </c>
      <c r="AS31" s="658">
        <v>1</v>
      </c>
      <c r="AT31" s="976" t="s">
        <v>4330</v>
      </c>
      <c r="AU31" s="1032"/>
      <c r="AV31" s="987" t="s">
        <v>5513</v>
      </c>
    </row>
    <row r="32" spans="1:48" s="974" customFormat="1" ht="165.75" x14ac:dyDescent="0.2">
      <c r="A32" s="1041"/>
      <c r="B32" s="996"/>
      <c r="C32" s="1042"/>
      <c r="D32" s="1004"/>
      <c r="E32" s="1006"/>
      <c r="F32" s="1005"/>
      <c r="G32" s="990"/>
      <c r="H32" s="1005"/>
      <c r="I32" s="1047"/>
      <c r="J32" s="1005"/>
      <c r="K32" s="1005"/>
      <c r="L32" s="1009"/>
      <c r="M32" s="1040" t="s">
        <v>4332</v>
      </c>
      <c r="N32" s="979" t="s">
        <v>4114</v>
      </c>
      <c r="O32" s="979" t="s">
        <v>4115</v>
      </c>
      <c r="P32" s="1005"/>
      <c r="Q32" s="1005"/>
      <c r="R32" s="1009"/>
      <c r="S32" s="1048"/>
      <c r="T32" s="1040" t="s">
        <v>4332</v>
      </c>
      <c r="U32" s="976" t="s">
        <v>4317</v>
      </c>
      <c r="V32" s="976" t="s">
        <v>4333</v>
      </c>
      <c r="W32" s="995">
        <v>1</v>
      </c>
      <c r="X32" s="1039">
        <v>44620</v>
      </c>
      <c r="Y32" s="1039">
        <v>44926</v>
      </c>
      <c r="Z32" s="655">
        <v>44655</v>
      </c>
      <c r="AA32" s="654">
        <v>1</v>
      </c>
      <c r="AB32" s="976" t="s">
        <v>4334</v>
      </c>
      <c r="AC32" s="990"/>
      <c r="AD32" s="987" t="s">
        <v>4247</v>
      </c>
      <c r="AE32" s="655">
        <v>44747</v>
      </c>
      <c r="AF32" s="659">
        <v>1</v>
      </c>
      <c r="AG32" s="659">
        <v>0.48</v>
      </c>
      <c r="AH32" s="987" t="s">
        <v>4335</v>
      </c>
      <c r="AI32" s="1018"/>
      <c r="AJ32" s="987" t="s">
        <v>4249</v>
      </c>
      <c r="AK32" s="653">
        <v>44838</v>
      </c>
      <c r="AL32" s="654">
        <v>0.17</v>
      </c>
      <c r="AM32" s="662">
        <v>0.69599999999999995</v>
      </c>
      <c r="AN32" s="661" t="s">
        <v>4336</v>
      </c>
      <c r="AO32" s="990"/>
      <c r="AP32" s="987" t="s">
        <v>4337</v>
      </c>
      <c r="AQ32" s="1049">
        <v>44932</v>
      </c>
      <c r="AR32" s="658">
        <v>0.82609999999999995</v>
      </c>
      <c r="AS32" s="658">
        <v>0.82609999999999995</v>
      </c>
      <c r="AT32" s="976" t="s">
        <v>5514</v>
      </c>
      <c r="AU32" s="1018"/>
      <c r="AV32" s="976" t="s">
        <v>5512</v>
      </c>
    </row>
    <row r="33" spans="1:48" s="974" customFormat="1" ht="255" x14ac:dyDescent="0.2">
      <c r="A33" s="1041"/>
      <c r="B33" s="996"/>
      <c r="C33" s="965" t="s">
        <v>4338</v>
      </c>
      <c r="D33" s="984" t="s">
        <v>4239</v>
      </c>
      <c r="E33" s="977" t="s">
        <v>4339</v>
      </c>
      <c r="F33" s="984" t="s">
        <v>4340</v>
      </c>
      <c r="G33" s="1050" t="s">
        <v>4341</v>
      </c>
      <c r="H33" s="978" t="s">
        <v>4129</v>
      </c>
      <c r="I33" s="1051" t="s">
        <v>4145</v>
      </c>
      <c r="J33" s="1052" t="s">
        <v>4131</v>
      </c>
      <c r="K33" s="978" t="s">
        <v>4112</v>
      </c>
      <c r="L33" s="969" t="str">
        <f>VLOOKUP(J33,'[21]2. Anexos'!$B$35:$G$41,(HLOOKUP(K33,'[21]2. Anexos'!$C$35:$G$36,2,0)),0)</f>
        <v>Alto</v>
      </c>
      <c r="M33" s="1040" t="s">
        <v>4342</v>
      </c>
      <c r="N33" s="979" t="s">
        <v>4114</v>
      </c>
      <c r="O33" s="979" t="s">
        <v>4115</v>
      </c>
      <c r="P33" s="978" t="s">
        <v>4111</v>
      </c>
      <c r="Q33" s="978" t="s">
        <v>4112</v>
      </c>
      <c r="R33" s="969" t="str">
        <f>VLOOKUP(P33,'[21]2. Anexos'!$B$35:$G$41,(HLOOKUP(Q33,'[21]2. Anexos'!$C$35:$G$36,2,0)),0)</f>
        <v>Alto</v>
      </c>
      <c r="S33" s="1053" t="s">
        <v>4133</v>
      </c>
      <c r="T33" s="1040" t="s">
        <v>4342</v>
      </c>
      <c r="U33" s="976" t="s">
        <v>4310</v>
      </c>
      <c r="V33" s="663" t="s">
        <v>4343</v>
      </c>
      <c r="W33" s="995">
        <v>1</v>
      </c>
      <c r="X33" s="1039">
        <v>44620</v>
      </c>
      <c r="Y33" s="1039">
        <v>44926</v>
      </c>
      <c r="Z33" s="655">
        <v>44655</v>
      </c>
      <c r="AA33" s="654">
        <v>1</v>
      </c>
      <c r="AB33" s="976" t="s">
        <v>4344</v>
      </c>
      <c r="AC33" s="979" t="s">
        <v>4120</v>
      </c>
      <c r="AD33" s="987" t="s">
        <v>4247</v>
      </c>
      <c r="AE33" s="655">
        <v>44747</v>
      </c>
      <c r="AF33" s="654">
        <v>1</v>
      </c>
      <c r="AG33" s="654">
        <v>1</v>
      </c>
      <c r="AH33" s="1046" t="s">
        <v>4345</v>
      </c>
      <c r="AI33" s="979" t="s">
        <v>4120</v>
      </c>
      <c r="AJ33" s="987" t="s">
        <v>4249</v>
      </c>
      <c r="AK33" s="653">
        <v>44838</v>
      </c>
      <c r="AL33" s="654">
        <v>1</v>
      </c>
      <c r="AM33" s="654">
        <v>1</v>
      </c>
      <c r="AN33" s="661" t="s">
        <v>4346</v>
      </c>
      <c r="AO33" s="979" t="s">
        <v>4120</v>
      </c>
      <c r="AP33" s="987" t="s">
        <v>4323</v>
      </c>
      <c r="AQ33" s="653">
        <v>44932</v>
      </c>
      <c r="AR33" s="658">
        <v>1</v>
      </c>
      <c r="AS33" s="658">
        <v>1</v>
      </c>
      <c r="AT33" s="976" t="s">
        <v>5515</v>
      </c>
      <c r="AU33" s="1050" t="s">
        <v>4120</v>
      </c>
      <c r="AV33" s="976" t="s">
        <v>5516</v>
      </c>
    </row>
    <row r="34" spans="1:48" s="974" customFormat="1" ht="331.5" x14ac:dyDescent="0.2">
      <c r="A34" s="1005"/>
      <c r="B34" s="1004"/>
      <c r="C34" s="984" t="s">
        <v>4347</v>
      </c>
      <c r="D34" s="984" t="s">
        <v>4239</v>
      </c>
      <c r="E34" s="977" t="s">
        <v>4348</v>
      </c>
      <c r="F34" s="976" t="s">
        <v>4349</v>
      </c>
      <c r="G34" s="979" t="s">
        <v>4350</v>
      </c>
      <c r="H34" s="978" t="s">
        <v>4129</v>
      </c>
      <c r="I34" s="1051" t="s">
        <v>4130</v>
      </c>
      <c r="J34" s="1052" t="s">
        <v>4131</v>
      </c>
      <c r="K34" s="978" t="s">
        <v>4112</v>
      </c>
      <c r="L34" s="969" t="str">
        <f>VLOOKUP(J34,'[21]2. Anexos'!$B$35:$G$41,(HLOOKUP(K34,'[21]2. Anexos'!$C$35:$G$36,2,0)),0)</f>
        <v>Alto</v>
      </c>
      <c r="M34" s="1040" t="s">
        <v>4351</v>
      </c>
      <c r="N34" s="979" t="s">
        <v>4114</v>
      </c>
      <c r="O34" s="979" t="s">
        <v>4115</v>
      </c>
      <c r="P34" s="978" t="s">
        <v>4111</v>
      </c>
      <c r="Q34" s="978" t="s">
        <v>4112</v>
      </c>
      <c r="R34" s="969" t="str">
        <f>VLOOKUP(P34,'[21]2. Anexos'!$B$35:$G$41,(HLOOKUP(Q34,'[21]2. Anexos'!$C$35:$G$36,2,0)),0)</f>
        <v>Alto</v>
      </c>
      <c r="S34" s="1053" t="s">
        <v>4133</v>
      </c>
      <c r="T34" s="1040" t="s">
        <v>4351</v>
      </c>
      <c r="U34" s="976" t="s">
        <v>4317</v>
      </c>
      <c r="V34" s="976" t="s">
        <v>4352</v>
      </c>
      <c r="W34" s="995">
        <v>1</v>
      </c>
      <c r="X34" s="1039">
        <v>44620</v>
      </c>
      <c r="Y34" s="1039">
        <v>44926</v>
      </c>
      <c r="Z34" s="655">
        <v>44655</v>
      </c>
      <c r="AA34" s="654">
        <v>1</v>
      </c>
      <c r="AB34" s="976" t="s">
        <v>4353</v>
      </c>
      <c r="AC34" s="979" t="s">
        <v>4120</v>
      </c>
      <c r="AD34" s="987" t="s">
        <v>4247</v>
      </c>
      <c r="AE34" s="655">
        <v>44747</v>
      </c>
      <c r="AF34" s="654">
        <v>1</v>
      </c>
      <c r="AG34" s="654">
        <v>1</v>
      </c>
      <c r="AH34" s="987" t="s">
        <v>4354</v>
      </c>
      <c r="AI34" s="979" t="s">
        <v>4120</v>
      </c>
      <c r="AJ34" s="987" t="s">
        <v>4249</v>
      </c>
      <c r="AK34" s="653" t="s">
        <v>4355</v>
      </c>
      <c r="AL34" s="654">
        <v>0.66</v>
      </c>
      <c r="AM34" s="654">
        <v>0.89</v>
      </c>
      <c r="AN34" s="661" t="s">
        <v>4356</v>
      </c>
      <c r="AO34" s="979" t="s">
        <v>4120</v>
      </c>
      <c r="AP34" s="987" t="s">
        <v>4357</v>
      </c>
      <c r="AQ34" s="653">
        <v>44932</v>
      </c>
      <c r="AR34" s="658">
        <v>1</v>
      </c>
      <c r="AS34" s="658">
        <v>1</v>
      </c>
      <c r="AT34" s="976" t="s">
        <v>5517</v>
      </c>
      <c r="AU34" s="1050" t="s">
        <v>4120</v>
      </c>
      <c r="AV34" s="976" t="s">
        <v>5516</v>
      </c>
    </row>
    <row r="35" spans="1:48" s="974" customFormat="1" ht="202.5" customHeight="1" x14ac:dyDescent="0.2">
      <c r="A35" s="963" t="s">
        <v>4358</v>
      </c>
      <c r="B35" s="993" t="s">
        <v>4359</v>
      </c>
      <c r="C35" s="976" t="s">
        <v>4360</v>
      </c>
      <c r="D35" s="976" t="s">
        <v>4160</v>
      </c>
      <c r="E35" s="988" t="s">
        <v>4361</v>
      </c>
      <c r="F35" s="976" t="s">
        <v>4362</v>
      </c>
      <c r="G35" s="1054" t="s">
        <v>4363</v>
      </c>
      <c r="H35" s="976" t="s">
        <v>4364</v>
      </c>
      <c r="I35" s="980" t="s">
        <v>4130</v>
      </c>
      <c r="J35" s="976" t="s">
        <v>4235</v>
      </c>
      <c r="K35" s="976" t="s">
        <v>4112</v>
      </c>
      <c r="L35" s="969" t="str">
        <f>VLOOKUP(J35,'[22]2. Anexos'!$B$35:$G$41,(HLOOKUP(K35,'[22]2. Anexos'!$C$35:$G$36,2,0)),0)</f>
        <v>Alto</v>
      </c>
      <c r="M35" s="976" t="s">
        <v>4365</v>
      </c>
      <c r="N35" s="979" t="s">
        <v>4114</v>
      </c>
      <c r="O35" s="979" t="s">
        <v>4115</v>
      </c>
      <c r="P35" s="976" t="s">
        <v>4131</v>
      </c>
      <c r="Q35" s="976" t="s">
        <v>4112</v>
      </c>
      <c r="R35" s="969" t="str">
        <f>VLOOKUP(P35,'[22]2. Anexos'!$B$35:$G$41,(HLOOKUP(Q35,'[22]2. Anexos'!$C$35:$G$36,2,0)),0)</f>
        <v>Alto</v>
      </c>
      <c r="S35" s="994" t="s">
        <v>4133</v>
      </c>
      <c r="T35" s="976" t="s">
        <v>4366</v>
      </c>
      <c r="U35" s="976" t="s">
        <v>4367</v>
      </c>
      <c r="V35" s="976" t="s">
        <v>4368</v>
      </c>
      <c r="W35" s="1055">
        <v>1</v>
      </c>
      <c r="X35" s="986">
        <v>44620</v>
      </c>
      <c r="Y35" s="986">
        <v>44926</v>
      </c>
      <c r="Z35" s="653">
        <v>44657</v>
      </c>
      <c r="AA35" s="654">
        <v>1</v>
      </c>
      <c r="AB35" s="976" t="s">
        <v>4369</v>
      </c>
      <c r="AC35" s="979" t="s">
        <v>4120</v>
      </c>
      <c r="AD35" s="976" t="s">
        <v>4370</v>
      </c>
      <c r="AE35" s="653">
        <v>44748</v>
      </c>
      <c r="AF35" s="654">
        <v>1</v>
      </c>
      <c r="AG35" s="654">
        <v>1</v>
      </c>
      <c r="AH35" s="976" t="s">
        <v>4371</v>
      </c>
      <c r="AI35" s="979" t="s">
        <v>4120</v>
      </c>
      <c r="AJ35" s="976" t="s">
        <v>4372</v>
      </c>
      <c r="AK35" s="653">
        <v>44841</v>
      </c>
      <c r="AL35" s="658">
        <v>1</v>
      </c>
      <c r="AM35" s="658">
        <v>1</v>
      </c>
      <c r="AN35" s="976" t="s">
        <v>4373</v>
      </c>
      <c r="AO35" s="979" t="s">
        <v>4120</v>
      </c>
      <c r="AP35" s="976" t="s">
        <v>4374</v>
      </c>
      <c r="AQ35" s="653">
        <v>44932</v>
      </c>
      <c r="AR35" s="1003">
        <v>1</v>
      </c>
      <c r="AS35" s="1003">
        <v>1</v>
      </c>
      <c r="AT35" s="976" t="s">
        <v>5518</v>
      </c>
      <c r="AU35" s="979" t="s">
        <v>4120</v>
      </c>
      <c r="AV35" s="1012" t="s">
        <v>5519</v>
      </c>
    </row>
    <row r="36" spans="1:48" s="974" customFormat="1" ht="225" customHeight="1" x14ac:dyDescent="0.2">
      <c r="A36" s="975"/>
      <c r="B36" s="996"/>
      <c r="C36" s="976" t="s">
        <v>4375</v>
      </c>
      <c r="D36" s="976" t="s">
        <v>4160</v>
      </c>
      <c r="E36" s="1056" t="s">
        <v>4376</v>
      </c>
      <c r="F36" s="976" t="s">
        <v>4377</v>
      </c>
      <c r="G36" s="1054" t="s">
        <v>4378</v>
      </c>
      <c r="H36" s="976" t="s">
        <v>4129</v>
      </c>
      <c r="I36" s="1057" t="s">
        <v>4130</v>
      </c>
      <c r="J36" s="976" t="s">
        <v>4235</v>
      </c>
      <c r="K36" s="976" t="s">
        <v>4146</v>
      </c>
      <c r="L36" s="969" t="str">
        <f>VLOOKUP(J36,'[22]2. Anexos'!$B$35:$G$41,(HLOOKUP(K36,'[22]2. Anexos'!$C$35:$G$36,2,0)),0)</f>
        <v>Alto</v>
      </c>
      <c r="M36" s="976" t="s">
        <v>4379</v>
      </c>
      <c r="N36" s="979" t="s">
        <v>4114</v>
      </c>
      <c r="O36" s="979" t="s">
        <v>4115</v>
      </c>
      <c r="P36" s="976" t="s">
        <v>4131</v>
      </c>
      <c r="Q36" s="976" t="s">
        <v>4146</v>
      </c>
      <c r="R36" s="969" t="str">
        <f>VLOOKUP(P36,'[22]2. Anexos'!$B$35:$G$41,(HLOOKUP(Q36,'[22]2. Anexos'!$C$35:$G$36,2,0)),0)</f>
        <v>Moderado</v>
      </c>
      <c r="S36" s="994" t="s">
        <v>4133</v>
      </c>
      <c r="T36" s="976" t="s">
        <v>4379</v>
      </c>
      <c r="U36" s="976" t="s">
        <v>4380</v>
      </c>
      <c r="V36" s="976" t="s">
        <v>4381</v>
      </c>
      <c r="W36" s="1055">
        <v>1</v>
      </c>
      <c r="X36" s="986">
        <v>44620</v>
      </c>
      <c r="Y36" s="986">
        <v>44926</v>
      </c>
      <c r="Z36" s="653">
        <v>44657</v>
      </c>
      <c r="AA36" s="654">
        <v>0.25</v>
      </c>
      <c r="AB36" s="976" t="s">
        <v>4382</v>
      </c>
      <c r="AC36" s="979" t="s">
        <v>4120</v>
      </c>
      <c r="AD36" s="976" t="s">
        <v>4383</v>
      </c>
      <c r="AE36" s="653">
        <v>44748</v>
      </c>
      <c r="AF36" s="654">
        <v>0.25</v>
      </c>
      <c r="AG36" s="654">
        <v>0.5</v>
      </c>
      <c r="AH36" s="976" t="s">
        <v>4384</v>
      </c>
      <c r="AI36" s="979" t="s">
        <v>4120</v>
      </c>
      <c r="AJ36" s="976" t="s">
        <v>4385</v>
      </c>
      <c r="AK36" s="653">
        <v>44841</v>
      </c>
      <c r="AL36" s="658">
        <v>0.25</v>
      </c>
      <c r="AM36" s="658">
        <v>0.75</v>
      </c>
      <c r="AN36" s="976" t="s">
        <v>4386</v>
      </c>
      <c r="AO36" s="979" t="s">
        <v>4120</v>
      </c>
      <c r="AP36" s="976" t="s">
        <v>4387</v>
      </c>
      <c r="AQ36" s="653">
        <v>44932</v>
      </c>
      <c r="AR36" s="1003">
        <v>0.25</v>
      </c>
      <c r="AS36" s="1003">
        <v>1</v>
      </c>
      <c r="AT36" s="976" t="s">
        <v>5520</v>
      </c>
      <c r="AU36" s="979" t="s">
        <v>4120</v>
      </c>
      <c r="AV36" s="1012" t="s">
        <v>5519</v>
      </c>
    </row>
    <row r="37" spans="1:48" s="974" customFormat="1" ht="208.5" customHeight="1" x14ac:dyDescent="0.2">
      <c r="A37" s="975"/>
      <c r="B37" s="996"/>
      <c r="C37" s="976" t="s">
        <v>4388</v>
      </c>
      <c r="D37" s="976" t="s">
        <v>4160</v>
      </c>
      <c r="E37" s="1056" t="s">
        <v>4389</v>
      </c>
      <c r="F37" s="976" t="s">
        <v>4390</v>
      </c>
      <c r="G37" s="1056" t="s">
        <v>4391</v>
      </c>
      <c r="H37" s="976" t="s">
        <v>4109</v>
      </c>
      <c r="I37" s="980" t="s">
        <v>4130</v>
      </c>
      <c r="J37" s="976" t="s">
        <v>4235</v>
      </c>
      <c r="K37" s="976" t="s">
        <v>4146</v>
      </c>
      <c r="L37" s="969" t="str">
        <f>VLOOKUP(J37,'[22]2. Anexos'!$B$35:$G$41,(HLOOKUP(K37,'[22]2. Anexos'!$C$35:$G$36,2,0)),0)</f>
        <v>Alto</v>
      </c>
      <c r="M37" s="976" t="s">
        <v>4392</v>
      </c>
      <c r="N37" s="979" t="s">
        <v>4114</v>
      </c>
      <c r="O37" s="979" t="s">
        <v>4115</v>
      </c>
      <c r="P37" s="976" t="s">
        <v>4131</v>
      </c>
      <c r="Q37" s="976" t="s">
        <v>4146</v>
      </c>
      <c r="R37" s="969" t="str">
        <f>VLOOKUP(P37,'[22]2. Anexos'!$B$35:$G$41,(HLOOKUP(Q37,'[22]2. Anexos'!$C$35:$G$36,2,0)),0)</f>
        <v>Moderado</v>
      </c>
      <c r="S37" s="994" t="s">
        <v>4133</v>
      </c>
      <c r="T37" s="976" t="s">
        <v>4393</v>
      </c>
      <c r="U37" s="976" t="s">
        <v>4394</v>
      </c>
      <c r="V37" s="976" t="s">
        <v>4395</v>
      </c>
      <c r="W37" s="1055">
        <v>1</v>
      </c>
      <c r="X37" s="986">
        <v>44620</v>
      </c>
      <c r="Y37" s="986">
        <v>44926</v>
      </c>
      <c r="Z37" s="653">
        <v>44657</v>
      </c>
      <c r="AA37" s="654">
        <v>0.1</v>
      </c>
      <c r="AB37" s="976" t="s">
        <v>4396</v>
      </c>
      <c r="AC37" s="979" t="s">
        <v>4120</v>
      </c>
      <c r="AD37" s="976" t="s">
        <v>4383</v>
      </c>
      <c r="AE37" s="653">
        <v>44748</v>
      </c>
      <c r="AF37" s="654">
        <v>0.3</v>
      </c>
      <c r="AG37" s="654">
        <v>0.4</v>
      </c>
      <c r="AH37" s="976" t="s">
        <v>4397</v>
      </c>
      <c r="AI37" s="979" t="s">
        <v>4120</v>
      </c>
      <c r="AJ37" s="976" t="s">
        <v>4385</v>
      </c>
      <c r="AK37" s="653">
        <v>44841</v>
      </c>
      <c r="AL37" s="654">
        <v>0.3</v>
      </c>
      <c r="AM37" s="654">
        <v>0.7</v>
      </c>
      <c r="AN37" s="976" t="s">
        <v>4398</v>
      </c>
      <c r="AO37" s="979" t="s">
        <v>4120</v>
      </c>
      <c r="AP37" s="976" t="s">
        <v>4399</v>
      </c>
      <c r="AQ37" s="653">
        <v>44932</v>
      </c>
      <c r="AR37" s="1003">
        <v>0.3</v>
      </c>
      <c r="AS37" s="1003">
        <v>1</v>
      </c>
      <c r="AT37" s="976" t="s">
        <v>5521</v>
      </c>
      <c r="AU37" s="979" t="s">
        <v>4120</v>
      </c>
      <c r="AV37" s="1012" t="s">
        <v>5519</v>
      </c>
    </row>
    <row r="38" spans="1:48" s="974" customFormat="1" ht="244.5" customHeight="1" x14ac:dyDescent="0.2">
      <c r="A38" s="975"/>
      <c r="B38" s="996"/>
      <c r="C38" s="993" t="s">
        <v>4375</v>
      </c>
      <c r="D38" s="993" t="s">
        <v>4160</v>
      </c>
      <c r="E38" s="1058" t="s">
        <v>4400</v>
      </c>
      <c r="F38" s="993" t="s">
        <v>4401</v>
      </c>
      <c r="G38" s="1058" t="s">
        <v>4402</v>
      </c>
      <c r="H38" s="997" t="s">
        <v>4364</v>
      </c>
      <c r="I38" s="1029" t="s">
        <v>4130</v>
      </c>
      <c r="J38" s="993" t="s">
        <v>4235</v>
      </c>
      <c r="K38" s="993" t="s">
        <v>4146</v>
      </c>
      <c r="L38" s="1001" t="str">
        <f>VLOOKUP(J38,'[22]2. Anexos'!$B$35:$G$41,(HLOOKUP(K38,'[22]2. Anexos'!$C$35:$G$36,2,0)),0)</f>
        <v>Alto</v>
      </c>
      <c r="M38" s="976" t="s">
        <v>4403</v>
      </c>
      <c r="N38" s="979" t="s">
        <v>4114</v>
      </c>
      <c r="O38" s="979" t="s">
        <v>4115</v>
      </c>
      <c r="P38" s="993" t="s">
        <v>4111</v>
      </c>
      <c r="Q38" s="993" t="s">
        <v>4146</v>
      </c>
      <c r="R38" s="1001" t="str">
        <f>VLOOKUP(P38,'[22]2. Anexos'!$B$35:$G$41,(HLOOKUP(Q38,'[22]2. Anexos'!$C$35:$G$36,2,0)),0)</f>
        <v>Moderado</v>
      </c>
      <c r="S38" s="1002" t="s">
        <v>4133</v>
      </c>
      <c r="T38" s="976" t="s">
        <v>4403</v>
      </c>
      <c r="U38" s="1013" t="s">
        <v>4367</v>
      </c>
      <c r="V38" s="976" t="s">
        <v>4404</v>
      </c>
      <c r="W38" s="1055">
        <v>1</v>
      </c>
      <c r="X38" s="986">
        <v>44620</v>
      </c>
      <c r="Y38" s="986">
        <v>44926</v>
      </c>
      <c r="Z38" s="653">
        <v>44657</v>
      </c>
      <c r="AA38" s="654">
        <v>0.18</v>
      </c>
      <c r="AB38" s="976" t="s">
        <v>4405</v>
      </c>
      <c r="AC38" s="963" t="s">
        <v>4120</v>
      </c>
      <c r="AD38" s="976" t="s">
        <v>4406</v>
      </c>
      <c r="AE38" s="653">
        <v>44748</v>
      </c>
      <c r="AF38" s="654">
        <v>0.27</v>
      </c>
      <c r="AG38" s="654">
        <v>0.45</v>
      </c>
      <c r="AH38" s="976" t="s">
        <v>4407</v>
      </c>
      <c r="AI38" s="963" t="s">
        <v>4120</v>
      </c>
      <c r="AJ38" s="976" t="s">
        <v>4408</v>
      </c>
      <c r="AK38" s="653">
        <v>44841</v>
      </c>
      <c r="AL38" s="658">
        <v>0.27</v>
      </c>
      <c r="AM38" s="658">
        <v>0.72</v>
      </c>
      <c r="AN38" s="976" t="s">
        <v>4409</v>
      </c>
      <c r="AO38" s="963" t="s">
        <v>4120</v>
      </c>
      <c r="AP38" s="976" t="s">
        <v>4374</v>
      </c>
      <c r="AQ38" s="653">
        <v>44932</v>
      </c>
      <c r="AR38" s="1003">
        <v>0.28000000000000003</v>
      </c>
      <c r="AS38" s="1003">
        <v>1</v>
      </c>
      <c r="AT38" s="976" t="s">
        <v>5522</v>
      </c>
      <c r="AU38" s="963" t="s">
        <v>4120</v>
      </c>
      <c r="AV38" s="1012" t="s">
        <v>5523</v>
      </c>
    </row>
    <row r="39" spans="1:48" ht="222.75" customHeight="1" x14ac:dyDescent="0.2">
      <c r="A39" s="990"/>
      <c r="B39" s="1004"/>
      <c r="C39" s="1004"/>
      <c r="D39" s="1004"/>
      <c r="E39" s="1059"/>
      <c r="F39" s="1004"/>
      <c r="G39" s="1059"/>
      <c r="H39" s="1005"/>
      <c r="I39" s="1034"/>
      <c r="J39" s="1004"/>
      <c r="K39" s="1004"/>
      <c r="L39" s="1009"/>
      <c r="M39" s="976" t="s">
        <v>4410</v>
      </c>
      <c r="N39" s="979" t="s">
        <v>4114</v>
      </c>
      <c r="O39" s="979" t="s">
        <v>4115</v>
      </c>
      <c r="P39" s="1004"/>
      <c r="Q39" s="1004"/>
      <c r="R39" s="1009"/>
      <c r="S39" s="1010"/>
      <c r="T39" s="976" t="s">
        <v>4410</v>
      </c>
      <c r="U39" s="964" t="s">
        <v>4367</v>
      </c>
      <c r="V39" s="976" t="s">
        <v>4411</v>
      </c>
      <c r="W39" s="1055">
        <v>1</v>
      </c>
      <c r="X39" s="986">
        <v>44620</v>
      </c>
      <c r="Y39" s="986">
        <v>44561</v>
      </c>
      <c r="Z39" s="653">
        <v>44657</v>
      </c>
      <c r="AA39" s="654">
        <v>0.18</v>
      </c>
      <c r="AB39" s="976" t="s">
        <v>4412</v>
      </c>
      <c r="AC39" s="990"/>
      <c r="AD39" s="976" t="s">
        <v>4413</v>
      </c>
      <c r="AE39" s="653">
        <v>44748</v>
      </c>
      <c r="AF39" s="654">
        <v>0.27</v>
      </c>
      <c r="AG39" s="654">
        <v>0.45</v>
      </c>
      <c r="AH39" s="976" t="s">
        <v>4414</v>
      </c>
      <c r="AI39" s="990"/>
      <c r="AJ39" s="976" t="s">
        <v>4408</v>
      </c>
      <c r="AK39" s="653">
        <v>44841</v>
      </c>
      <c r="AL39" s="658">
        <v>0.27</v>
      </c>
      <c r="AM39" s="658">
        <v>0.72</v>
      </c>
      <c r="AN39" s="976" t="s">
        <v>4409</v>
      </c>
      <c r="AO39" s="990"/>
      <c r="AP39" s="976" t="s">
        <v>4374</v>
      </c>
      <c r="AQ39" s="653">
        <v>44932</v>
      </c>
      <c r="AR39" s="1003">
        <v>0.28000000000000003</v>
      </c>
      <c r="AS39" s="1003">
        <v>1</v>
      </c>
      <c r="AT39" s="976" t="s">
        <v>5522</v>
      </c>
      <c r="AU39" s="990"/>
      <c r="AV39" s="1012" t="s">
        <v>5519</v>
      </c>
    </row>
    <row r="40" spans="1:48" s="974" customFormat="1" ht="228.75" customHeight="1" x14ac:dyDescent="0.2">
      <c r="A40" s="993" t="s">
        <v>4415</v>
      </c>
      <c r="B40" s="993" t="s">
        <v>4416</v>
      </c>
      <c r="C40" s="1060" t="s">
        <v>4417</v>
      </c>
      <c r="D40" s="1060" t="s">
        <v>2486</v>
      </c>
      <c r="E40" s="963" t="s">
        <v>4418</v>
      </c>
      <c r="F40" s="976" t="s">
        <v>4419</v>
      </c>
      <c r="G40" s="1061" t="s">
        <v>4420</v>
      </c>
      <c r="H40" s="993" t="s">
        <v>4109</v>
      </c>
      <c r="I40" s="999" t="s">
        <v>4421</v>
      </c>
      <c r="J40" s="993" t="s">
        <v>4235</v>
      </c>
      <c r="K40" s="993" t="s">
        <v>4146</v>
      </c>
      <c r="L40" s="1001" t="str">
        <f>VLOOKUP(J40,'[23]2. Anexos'!$B$35:$G$41,(HLOOKUP(K40,'[23]2. Anexos'!$C$35:$G$36,2,0)),0)</f>
        <v>Alto</v>
      </c>
      <c r="M40" s="976" t="s">
        <v>4422</v>
      </c>
      <c r="N40" s="979" t="s">
        <v>4114</v>
      </c>
      <c r="O40" s="979" t="s">
        <v>4115</v>
      </c>
      <c r="P40" s="993" t="s">
        <v>4111</v>
      </c>
      <c r="Q40" s="993" t="s">
        <v>4146</v>
      </c>
      <c r="R40" s="1001" t="str">
        <f>VLOOKUP(P40,'[23]2. Anexos'!$B$35:$G$41,(HLOOKUP(Q40,'[23]2. Anexos'!$C$35:$G$36,2,0)),0)</f>
        <v>Moderado</v>
      </c>
      <c r="S40" s="1002" t="s">
        <v>4133</v>
      </c>
      <c r="T40" s="976" t="s">
        <v>4422</v>
      </c>
      <c r="U40" s="976" t="s">
        <v>4423</v>
      </c>
      <c r="V40" s="976" t="s">
        <v>4424</v>
      </c>
      <c r="W40" s="995">
        <v>1</v>
      </c>
      <c r="X40" s="986">
        <v>44620</v>
      </c>
      <c r="Y40" s="986">
        <v>44926</v>
      </c>
      <c r="Z40" s="655">
        <v>44658</v>
      </c>
      <c r="AA40" s="654">
        <v>0.25</v>
      </c>
      <c r="AB40" s="976" t="s">
        <v>4425</v>
      </c>
      <c r="AC40" s="963" t="s">
        <v>4120</v>
      </c>
      <c r="AD40" s="976" t="s">
        <v>4426</v>
      </c>
      <c r="AE40" s="653">
        <v>44753</v>
      </c>
      <c r="AF40" s="654">
        <v>0.25</v>
      </c>
      <c r="AG40" s="654">
        <v>0.5</v>
      </c>
      <c r="AH40" s="976" t="s">
        <v>4427</v>
      </c>
      <c r="AI40" s="963" t="s">
        <v>4120</v>
      </c>
      <c r="AJ40" s="976" t="s">
        <v>4209</v>
      </c>
      <c r="AK40" s="653">
        <v>44844</v>
      </c>
      <c r="AL40" s="654">
        <v>0.25</v>
      </c>
      <c r="AM40" s="654">
        <v>0.75</v>
      </c>
      <c r="AN40" s="976" t="s">
        <v>4428</v>
      </c>
      <c r="AO40" s="963" t="s">
        <v>4120</v>
      </c>
      <c r="AP40" s="976" t="s">
        <v>4211</v>
      </c>
      <c r="AQ40" s="653">
        <v>44571</v>
      </c>
      <c r="AR40" s="654">
        <v>0.25</v>
      </c>
      <c r="AS40" s="654">
        <v>1</v>
      </c>
      <c r="AT40" s="976" t="s">
        <v>5524</v>
      </c>
      <c r="AU40" s="963" t="s">
        <v>4120</v>
      </c>
      <c r="AV40" s="976" t="s">
        <v>5525</v>
      </c>
    </row>
    <row r="41" spans="1:48" s="974" customFormat="1" ht="186" customHeight="1" x14ac:dyDescent="0.2">
      <c r="A41" s="996"/>
      <c r="B41" s="996"/>
      <c r="C41" s="1062"/>
      <c r="D41" s="1062"/>
      <c r="E41" s="990"/>
      <c r="F41" s="976" t="s">
        <v>4429</v>
      </c>
      <c r="G41" s="1063"/>
      <c r="H41" s="1004"/>
      <c r="I41" s="1007"/>
      <c r="J41" s="1004"/>
      <c r="K41" s="1004"/>
      <c r="L41" s="1009"/>
      <c r="M41" s="976" t="s">
        <v>4430</v>
      </c>
      <c r="N41" s="979" t="s">
        <v>4114</v>
      </c>
      <c r="O41" s="979" t="s">
        <v>4115</v>
      </c>
      <c r="P41" s="1004"/>
      <c r="Q41" s="1004"/>
      <c r="R41" s="1009"/>
      <c r="S41" s="1010"/>
      <c r="T41" s="976" t="s">
        <v>4430</v>
      </c>
      <c r="U41" s="976" t="s">
        <v>4431</v>
      </c>
      <c r="V41" s="976" t="s">
        <v>4432</v>
      </c>
      <c r="W41" s="995">
        <v>1</v>
      </c>
      <c r="X41" s="986">
        <v>44620</v>
      </c>
      <c r="Y41" s="986">
        <v>44926</v>
      </c>
      <c r="Z41" s="655">
        <v>44658</v>
      </c>
      <c r="AA41" s="654">
        <v>0.25</v>
      </c>
      <c r="AB41" s="976" t="s">
        <v>4433</v>
      </c>
      <c r="AC41" s="990"/>
      <c r="AD41" s="976" t="s">
        <v>4426</v>
      </c>
      <c r="AE41" s="653">
        <v>44753</v>
      </c>
      <c r="AF41" s="654">
        <v>0.25</v>
      </c>
      <c r="AG41" s="654">
        <v>0.5</v>
      </c>
      <c r="AH41" s="976" t="s">
        <v>4434</v>
      </c>
      <c r="AI41" s="990"/>
      <c r="AJ41" s="976" t="s">
        <v>4209</v>
      </c>
      <c r="AK41" s="653">
        <v>44844</v>
      </c>
      <c r="AL41" s="654">
        <v>0.25</v>
      </c>
      <c r="AM41" s="654">
        <v>0.75</v>
      </c>
      <c r="AN41" s="976" t="s">
        <v>4435</v>
      </c>
      <c r="AO41" s="990"/>
      <c r="AP41" s="976" t="s">
        <v>4211</v>
      </c>
      <c r="AQ41" s="653">
        <v>44571</v>
      </c>
      <c r="AR41" s="654">
        <v>0.25</v>
      </c>
      <c r="AS41" s="654">
        <v>1</v>
      </c>
      <c r="AT41" s="976" t="s">
        <v>5526</v>
      </c>
      <c r="AU41" s="990"/>
      <c r="AV41" s="976" t="s">
        <v>5525</v>
      </c>
    </row>
    <row r="42" spans="1:48" s="974" customFormat="1" ht="102" x14ac:dyDescent="0.2">
      <c r="A42" s="996"/>
      <c r="B42" s="996"/>
      <c r="C42" s="963" t="s">
        <v>5527</v>
      </c>
      <c r="D42" s="993" t="s">
        <v>5457</v>
      </c>
      <c r="E42" s="998" t="s">
        <v>4418</v>
      </c>
      <c r="F42" s="976" t="s">
        <v>5528</v>
      </c>
      <c r="G42" s="963" t="s">
        <v>5529</v>
      </c>
      <c r="H42" s="963" t="s">
        <v>4109</v>
      </c>
      <c r="I42" s="1029" t="s">
        <v>5461</v>
      </c>
      <c r="J42" s="998" t="s">
        <v>4235</v>
      </c>
      <c r="K42" s="963" t="s">
        <v>4146</v>
      </c>
      <c r="L42" s="1001" t="str">
        <f>VLOOKUP(J42,'[37]2. Anexos'!$B$35:$G$41,(HLOOKUP(K42,'[37]2. Anexos'!$C$35:$G$36,2,0)),0)</f>
        <v>Alto</v>
      </c>
      <c r="M42" s="976" t="s">
        <v>5530</v>
      </c>
      <c r="N42" s="979" t="s">
        <v>4114</v>
      </c>
      <c r="O42" s="979" t="s">
        <v>4115</v>
      </c>
      <c r="P42" s="963" t="s">
        <v>4111</v>
      </c>
      <c r="Q42" s="963" t="s">
        <v>4146</v>
      </c>
      <c r="R42" s="1001" t="str">
        <f>VLOOKUP(P42,'[37]2. Anexos'!$B$35:$G$41,(HLOOKUP(Q42,'[37]2. Anexos'!$C$35:$G$36,2,0)),0)</f>
        <v>Moderado</v>
      </c>
      <c r="S42" s="1002" t="s">
        <v>4133</v>
      </c>
      <c r="T42" s="976" t="s">
        <v>5530</v>
      </c>
      <c r="U42" s="976" t="s">
        <v>5531</v>
      </c>
      <c r="V42" s="976" t="s">
        <v>5532</v>
      </c>
      <c r="W42" s="995">
        <v>1</v>
      </c>
      <c r="X42" s="986"/>
      <c r="Y42" s="986">
        <v>44926</v>
      </c>
      <c r="Z42" s="653"/>
      <c r="AA42" s="658"/>
      <c r="AB42" s="997" t="s">
        <v>5533</v>
      </c>
      <c r="AC42" s="979"/>
      <c r="AD42" s="976"/>
      <c r="AE42" s="653"/>
      <c r="AF42" s="658"/>
      <c r="AG42" s="658"/>
      <c r="AH42" s="997" t="s">
        <v>5533</v>
      </c>
      <c r="AI42" s="979"/>
      <c r="AJ42" s="976"/>
      <c r="AK42" s="653"/>
      <c r="AL42" s="658"/>
      <c r="AM42" s="658"/>
      <c r="AN42" s="997" t="s">
        <v>5533</v>
      </c>
      <c r="AO42" s="979"/>
      <c r="AP42" s="976"/>
      <c r="AQ42" s="653">
        <v>44574</v>
      </c>
      <c r="AR42" s="654">
        <v>1</v>
      </c>
      <c r="AS42" s="654">
        <v>1</v>
      </c>
      <c r="AT42" s="976" t="s">
        <v>5534</v>
      </c>
      <c r="AU42" s="967" t="s">
        <v>4120</v>
      </c>
      <c r="AV42" s="976" t="s">
        <v>5525</v>
      </c>
    </row>
    <row r="43" spans="1:48" s="974" customFormat="1" ht="102" x14ac:dyDescent="0.2">
      <c r="A43" s="996"/>
      <c r="B43" s="996"/>
      <c r="C43" s="975"/>
      <c r="D43" s="1064"/>
      <c r="E43" s="1043"/>
      <c r="F43" s="976" t="s">
        <v>5535</v>
      </c>
      <c r="G43" s="975"/>
      <c r="H43" s="975"/>
      <c r="I43" s="1030"/>
      <c r="J43" s="1043"/>
      <c r="K43" s="975"/>
      <c r="L43" s="1031"/>
      <c r="M43" s="976" t="s">
        <v>5536</v>
      </c>
      <c r="N43" s="979" t="s">
        <v>4114</v>
      </c>
      <c r="O43" s="979" t="s">
        <v>4115</v>
      </c>
      <c r="P43" s="975"/>
      <c r="Q43" s="975"/>
      <c r="R43" s="1031"/>
      <c r="S43" s="1033"/>
      <c r="T43" s="976" t="s">
        <v>5536</v>
      </c>
      <c r="U43" s="976" t="s">
        <v>5537</v>
      </c>
      <c r="V43" s="976" t="s">
        <v>5538</v>
      </c>
      <c r="W43" s="995">
        <v>1</v>
      </c>
      <c r="X43" s="986"/>
      <c r="Y43" s="986">
        <v>44926</v>
      </c>
      <c r="Z43" s="653"/>
      <c r="AA43" s="658"/>
      <c r="AB43" s="1041"/>
      <c r="AC43" s="979"/>
      <c r="AD43" s="976"/>
      <c r="AE43" s="653"/>
      <c r="AF43" s="658"/>
      <c r="AG43" s="658"/>
      <c r="AH43" s="1041"/>
      <c r="AI43" s="979"/>
      <c r="AJ43" s="976"/>
      <c r="AK43" s="653"/>
      <c r="AL43" s="658"/>
      <c r="AM43" s="658"/>
      <c r="AN43" s="1041"/>
      <c r="AO43" s="979"/>
      <c r="AP43" s="976"/>
      <c r="AQ43" s="653">
        <v>44574</v>
      </c>
      <c r="AR43" s="654">
        <v>1</v>
      </c>
      <c r="AS43" s="654">
        <v>1</v>
      </c>
      <c r="AT43" s="976" t="s">
        <v>5539</v>
      </c>
      <c r="AU43" s="1065" t="s">
        <v>4120</v>
      </c>
      <c r="AV43" s="976" t="s">
        <v>5525</v>
      </c>
    </row>
    <row r="44" spans="1:48" s="974" customFormat="1" ht="127.5" x14ac:dyDescent="0.2">
      <c r="A44" s="1004"/>
      <c r="B44" s="1004"/>
      <c r="C44" s="990"/>
      <c r="D44" s="1066"/>
      <c r="E44" s="1006"/>
      <c r="F44" s="976" t="s">
        <v>5540</v>
      </c>
      <c r="G44" s="990"/>
      <c r="H44" s="990"/>
      <c r="I44" s="1034"/>
      <c r="J44" s="1006"/>
      <c r="K44" s="990"/>
      <c r="L44" s="1009"/>
      <c r="M44" s="976" t="s">
        <v>5541</v>
      </c>
      <c r="N44" s="979" t="s">
        <v>4114</v>
      </c>
      <c r="O44" s="979" t="s">
        <v>4115</v>
      </c>
      <c r="P44" s="990"/>
      <c r="Q44" s="990"/>
      <c r="R44" s="1009"/>
      <c r="S44" s="1010"/>
      <c r="T44" s="976" t="s">
        <v>5541</v>
      </c>
      <c r="U44" s="976" t="s">
        <v>5542</v>
      </c>
      <c r="V44" s="976" t="s">
        <v>5543</v>
      </c>
      <c r="W44" s="995">
        <v>1</v>
      </c>
      <c r="X44" s="979"/>
      <c r="Y44" s="986">
        <v>44926</v>
      </c>
      <c r="Z44" s="653"/>
      <c r="AA44" s="658"/>
      <c r="AB44" s="1005"/>
      <c r="AC44" s="979"/>
      <c r="AD44" s="976"/>
      <c r="AE44" s="653"/>
      <c r="AF44" s="658"/>
      <c r="AG44" s="658"/>
      <c r="AH44" s="1005"/>
      <c r="AI44" s="979"/>
      <c r="AJ44" s="976"/>
      <c r="AK44" s="653"/>
      <c r="AL44" s="658"/>
      <c r="AM44" s="658"/>
      <c r="AN44" s="1005"/>
      <c r="AO44" s="979"/>
      <c r="AP44" s="976"/>
      <c r="AQ44" s="653">
        <v>44574</v>
      </c>
      <c r="AR44" s="654">
        <v>1</v>
      </c>
      <c r="AS44" s="654">
        <v>1</v>
      </c>
      <c r="AT44" s="976" t="s">
        <v>5544</v>
      </c>
      <c r="AU44" s="967" t="s">
        <v>4120</v>
      </c>
      <c r="AV44" s="976" t="s">
        <v>5525</v>
      </c>
    </row>
    <row r="45" spans="1:48" s="974" customFormat="1" ht="140.25" customHeight="1" x14ac:dyDescent="0.2">
      <c r="A45" s="993" t="s">
        <v>4436</v>
      </c>
      <c r="B45" s="993" t="s">
        <v>4437</v>
      </c>
      <c r="C45" s="976" t="s">
        <v>4438</v>
      </c>
      <c r="D45" s="976" t="s">
        <v>2486</v>
      </c>
      <c r="E45" s="977" t="s">
        <v>4439</v>
      </c>
      <c r="F45" s="976" t="s">
        <v>4440</v>
      </c>
      <c r="G45" s="1050" t="s">
        <v>4441</v>
      </c>
      <c r="H45" s="976" t="s">
        <v>4364</v>
      </c>
      <c r="I45" s="980" t="s">
        <v>4130</v>
      </c>
      <c r="J45" s="976" t="s">
        <v>4131</v>
      </c>
      <c r="K45" s="976" t="s">
        <v>4146</v>
      </c>
      <c r="L45" s="969" t="str">
        <f>VLOOKUP(J45,'[24]2. Anexos'!$B$35:$G$41,(HLOOKUP(K45,'[24]2. Anexos'!$C$35:$G$36,2,0)),0)</f>
        <v>Moderado</v>
      </c>
      <c r="M45" s="976" t="s">
        <v>4442</v>
      </c>
      <c r="N45" s="979" t="s">
        <v>4114</v>
      </c>
      <c r="O45" s="979" t="s">
        <v>4115</v>
      </c>
      <c r="P45" s="1067" t="s">
        <v>4111</v>
      </c>
      <c r="Q45" s="1067" t="s">
        <v>4146</v>
      </c>
      <c r="R45" s="969" t="str">
        <f>VLOOKUP(P45,'[24]2. Anexos'!$B$35:$G$41,(HLOOKUP(Q45,'[24]2. Anexos'!$C$35:$G$36,2,0)),0)</f>
        <v>Moderado</v>
      </c>
      <c r="S45" s="983" t="s">
        <v>4133</v>
      </c>
      <c r="T45" s="976" t="s">
        <v>4442</v>
      </c>
      <c r="U45" s="976" t="s">
        <v>4443</v>
      </c>
      <c r="V45" s="984" t="s">
        <v>4444</v>
      </c>
      <c r="W45" s="995">
        <v>1</v>
      </c>
      <c r="X45" s="986">
        <v>44620</v>
      </c>
      <c r="Y45" s="986">
        <v>44926</v>
      </c>
      <c r="Z45" s="653">
        <v>44650</v>
      </c>
      <c r="AA45" s="654">
        <v>0.25</v>
      </c>
      <c r="AB45" s="976" t="s">
        <v>4445</v>
      </c>
      <c r="AC45" s="979" t="s">
        <v>4120</v>
      </c>
      <c r="AD45" s="976" t="s">
        <v>4446</v>
      </c>
      <c r="AE45" s="660">
        <v>44742</v>
      </c>
      <c r="AF45" s="659">
        <v>0.33</v>
      </c>
      <c r="AG45" s="659">
        <v>0.33</v>
      </c>
      <c r="AH45" s="984" t="s">
        <v>4447</v>
      </c>
      <c r="AI45" s="1039" t="s">
        <v>4120</v>
      </c>
      <c r="AJ45" s="1012" t="s">
        <v>4448</v>
      </c>
      <c r="AK45" s="660">
        <v>44834</v>
      </c>
      <c r="AL45" s="659">
        <v>1</v>
      </c>
      <c r="AM45" s="659">
        <v>0.75</v>
      </c>
      <c r="AN45" s="1068" t="s">
        <v>4449</v>
      </c>
      <c r="AO45" s="1050" t="s">
        <v>4120</v>
      </c>
      <c r="AP45" s="1012" t="s">
        <v>4450</v>
      </c>
      <c r="AQ45" s="683">
        <v>44910</v>
      </c>
      <c r="AR45" s="659">
        <v>1</v>
      </c>
      <c r="AS45" s="659">
        <v>1</v>
      </c>
      <c r="AT45" s="1068" t="s">
        <v>5545</v>
      </c>
      <c r="AU45" s="979" t="s">
        <v>4120</v>
      </c>
      <c r="AV45" s="976" t="s">
        <v>5546</v>
      </c>
    </row>
    <row r="46" spans="1:48" s="974" customFormat="1" ht="178.5" x14ac:dyDescent="0.2">
      <c r="A46" s="996"/>
      <c r="B46" s="996"/>
      <c r="C46" s="976" t="s">
        <v>4451</v>
      </c>
      <c r="D46" s="976" t="s">
        <v>2486</v>
      </c>
      <c r="E46" s="977" t="s">
        <v>4452</v>
      </c>
      <c r="F46" s="984" t="s">
        <v>4453</v>
      </c>
      <c r="G46" s="1069" t="s">
        <v>4454</v>
      </c>
      <c r="H46" s="976" t="s">
        <v>4129</v>
      </c>
      <c r="I46" s="980" t="s">
        <v>4130</v>
      </c>
      <c r="J46" s="976" t="s">
        <v>4235</v>
      </c>
      <c r="K46" s="976" t="s">
        <v>4146</v>
      </c>
      <c r="L46" s="969" t="str">
        <f>VLOOKUP(J46,'[24]2. Anexos'!$B$35:$G$41,(HLOOKUP(K46,'[24]2. Anexos'!$C$35:$G$36,2,0)),0)</f>
        <v>Alto</v>
      </c>
      <c r="M46" s="1011" t="s">
        <v>4455</v>
      </c>
      <c r="N46" s="979" t="s">
        <v>4114</v>
      </c>
      <c r="O46" s="979" t="s">
        <v>4115</v>
      </c>
      <c r="P46" s="976" t="s">
        <v>4131</v>
      </c>
      <c r="Q46" s="976" t="s">
        <v>4146</v>
      </c>
      <c r="R46" s="969" t="str">
        <f>VLOOKUP(P46,'[24]2. Anexos'!$B$35:$G$41,(HLOOKUP(Q46,'[24]2. Anexos'!$C$35:$G$36,2,0)),0)</f>
        <v>Moderado</v>
      </c>
      <c r="S46" s="983" t="s">
        <v>4133</v>
      </c>
      <c r="T46" s="1011" t="s">
        <v>4456</v>
      </c>
      <c r="U46" s="976" t="s">
        <v>4457</v>
      </c>
      <c r="V46" s="984" t="s">
        <v>4458</v>
      </c>
      <c r="W46" s="995">
        <v>1</v>
      </c>
      <c r="X46" s="986">
        <v>44620</v>
      </c>
      <c r="Y46" s="986">
        <v>44926</v>
      </c>
      <c r="Z46" s="653">
        <v>44650</v>
      </c>
      <c r="AA46" s="654">
        <v>0.5</v>
      </c>
      <c r="AB46" s="976" t="s">
        <v>4459</v>
      </c>
      <c r="AC46" s="979" t="s">
        <v>4120</v>
      </c>
      <c r="AD46" s="976" t="s">
        <v>4460</v>
      </c>
      <c r="AE46" s="660">
        <v>44742</v>
      </c>
      <c r="AF46" s="659">
        <v>0</v>
      </c>
      <c r="AG46" s="659">
        <v>0.5</v>
      </c>
      <c r="AH46" s="984" t="s">
        <v>4461</v>
      </c>
      <c r="AI46" s="1039" t="s">
        <v>4120</v>
      </c>
      <c r="AJ46" s="1012" t="s">
        <v>4448</v>
      </c>
      <c r="AK46" s="660">
        <v>44834</v>
      </c>
      <c r="AL46" s="659">
        <v>0.5</v>
      </c>
      <c r="AM46" s="659">
        <v>1</v>
      </c>
      <c r="AN46" s="1068" t="s">
        <v>4462</v>
      </c>
      <c r="AO46" s="1050" t="s">
        <v>4120</v>
      </c>
      <c r="AP46" s="1012" t="s">
        <v>4450</v>
      </c>
      <c r="AQ46" s="683">
        <v>44910</v>
      </c>
      <c r="AR46" s="659">
        <v>1</v>
      </c>
      <c r="AS46" s="659">
        <v>1</v>
      </c>
      <c r="AT46" s="1068" t="s">
        <v>5547</v>
      </c>
      <c r="AU46" s="979" t="s">
        <v>4120</v>
      </c>
      <c r="AV46" s="976" t="s">
        <v>5548</v>
      </c>
    </row>
    <row r="47" spans="1:48" s="974" customFormat="1" ht="243.75" customHeight="1" x14ac:dyDescent="0.2">
      <c r="A47" s="996"/>
      <c r="B47" s="996"/>
      <c r="C47" s="976" t="s">
        <v>4451</v>
      </c>
      <c r="D47" s="976" t="s">
        <v>2486</v>
      </c>
      <c r="E47" s="977" t="s">
        <v>4463</v>
      </c>
      <c r="F47" s="984" t="s">
        <v>4464</v>
      </c>
      <c r="G47" s="1050" t="s">
        <v>4465</v>
      </c>
      <c r="H47" s="976" t="s">
        <v>4364</v>
      </c>
      <c r="I47" s="980" t="s">
        <v>4130</v>
      </c>
      <c r="J47" s="976" t="s">
        <v>4131</v>
      </c>
      <c r="K47" s="976" t="s">
        <v>4146</v>
      </c>
      <c r="L47" s="969" t="str">
        <f>VLOOKUP(J47,'[24]2. Anexos'!$B$35:$G$41,(HLOOKUP(K47,'[24]2. Anexos'!$C$35:$G$36,2,0)),0)</f>
        <v>Moderado</v>
      </c>
      <c r="M47" s="976" t="s">
        <v>4466</v>
      </c>
      <c r="N47" s="979" t="s">
        <v>4114</v>
      </c>
      <c r="O47" s="979" t="s">
        <v>4115</v>
      </c>
      <c r="P47" s="976" t="s">
        <v>4111</v>
      </c>
      <c r="Q47" s="1067" t="s">
        <v>4146</v>
      </c>
      <c r="R47" s="969" t="str">
        <f>VLOOKUP(P47,'[24]2. Anexos'!$B$35:$G$41,(HLOOKUP(Q47,'[24]2. Anexos'!$C$35:$G$36,2,0)),0)</f>
        <v>Moderado</v>
      </c>
      <c r="S47" s="983" t="s">
        <v>4133</v>
      </c>
      <c r="T47" s="976" t="s">
        <v>4466</v>
      </c>
      <c r="U47" s="1067" t="s">
        <v>4467</v>
      </c>
      <c r="V47" s="984" t="s">
        <v>4468</v>
      </c>
      <c r="W47" s="995">
        <v>1</v>
      </c>
      <c r="X47" s="986">
        <v>44620</v>
      </c>
      <c r="Y47" s="986">
        <v>44926</v>
      </c>
      <c r="Z47" s="653">
        <v>44650</v>
      </c>
      <c r="AA47" s="654">
        <v>1</v>
      </c>
      <c r="AB47" s="976" t="s">
        <v>4469</v>
      </c>
      <c r="AC47" s="979" t="s">
        <v>4120</v>
      </c>
      <c r="AD47" s="976" t="s">
        <v>4460</v>
      </c>
      <c r="AE47" s="660">
        <v>44742</v>
      </c>
      <c r="AF47" s="659">
        <v>1</v>
      </c>
      <c r="AG47" s="659">
        <v>1</v>
      </c>
      <c r="AH47" s="984" t="s">
        <v>4470</v>
      </c>
      <c r="AI47" s="1039" t="s">
        <v>4120</v>
      </c>
      <c r="AJ47" s="1012" t="s">
        <v>4448</v>
      </c>
      <c r="AK47" s="660">
        <v>44834</v>
      </c>
      <c r="AL47" s="659">
        <v>0.94</v>
      </c>
      <c r="AM47" s="659">
        <v>0.94</v>
      </c>
      <c r="AN47" s="984" t="s">
        <v>4471</v>
      </c>
      <c r="AO47" s="1050" t="s">
        <v>4120</v>
      </c>
      <c r="AP47" s="1012" t="s">
        <v>4472</v>
      </c>
      <c r="AQ47" s="683">
        <v>44910</v>
      </c>
      <c r="AR47" s="659">
        <v>1</v>
      </c>
      <c r="AS47" s="659">
        <v>1</v>
      </c>
      <c r="AT47" s="984" t="s">
        <v>5549</v>
      </c>
      <c r="AU47" s="979" t="s">
        <v>4120</v>
      </c>
      <c r="AV47" s="1012" t="s">
        <v>5550</v>
      </c>
    </row>
    <row r="48" spans="1:48" s="974" customFormat="1" ht="114.75" x14ac:dyDescent="0.2">
      <c r="A48" s="996"/>
      <c r="B48" s="996"/>
      <c r="C48" s="997" t="s">
        <v>5551</v>
      </c>
      <c r="D48" s="997" t="s">
        <v>5457</v>
      </c>
      <c r="E48" s="998" t="s">
        <v>5552</v>
      </c>
      <c r="F48" s="976" t="s">
        <v>5553</v>
      </c>
      <c r="G48" s="1015" t="s">
        <v>5554</v>
      </c>
      <c r="H48" s="997" t="s">
        <v>4109</v>
      </c>
      <c r="I48" s="1036" t="s">
        <v>5461</v>
      </c>
      <c r="J48" s="997" t="s">
        <v>4131</v>
      </c>
      <c r="K48" s="997" t="s">
        <v>4146</v>
      </c>
      <c r="L48" s="1001" t="str">
        <f>VLOOKUP(J48,'[38]2. Anexos'!$B$35:$G$41,(HLOOKUP(K48,'[38]2. Anexos'!$C$35:$G$36,2,0)),0)</f>
        <v>Moderado</v>
      </c>
      <c r="M48" s="978" t="s">
        <v>5555</v>
      </c>
      <c r="N48" s="979" t="s">
        <v>4114</v>
      </c>
      <c r="O48" s="979" t="s">
        <v>4115</v>
      </c>
      <c r="P48" s="997" t="s">
        <v>4131</v>
      </c>
      <c r="Q48" s="997" t="s">
        <v>4146</v>
      </c>
      <c r="R48" s="1001" t="str">
        <f>VLOOKUP(J48,'[38]2. Anexos'!$B$35:$G$41,(HLOOKUP(K48,'[38]2. Anexos'!$C$35:$G$36,2,0)),0)</f>
        <v>Moderado</v>
      </c>
      <c r="S48" s="1038" t="s">
        <v>4133</v>
      </c>
      <c r="T48" s="976" t="s">
        <v>5555</v>
      </c>
      <c r="U48" s="1052" t="s">
        <v>5556</v>
      </c>
      <c r="V48" s="1052" t="s">
        <v>5557</v>
      </c>
      <c r="W48" s="1070">
        <v>1</v>
      </c>
      <c r="X48" s="1071">
        <v>44835</v>
      </c>
      <c r="Y48" s="1071">
        <v>44926</v>
      </c>
      <c r="Z48" s="1072"/>
      <c r="AA48" s="1072"/>
      <c r="AB48" s="997" t="s">
        <v>5558</v>
      </c>
      <c r="AC48" s="1072"/>
      <c r="AD48" s="976"/>
      <c r="AE48" s="1072"/>
      <c r="AF48" s="1072"/>
      <c r="AG48" s="1072"/>
      <c r="AH48" s="997" t="s">
        <v>5558</v>
      </c>
      <c r="AI48" s="1072"/>
      <c r="AJ48" s="976"/>
      <c r="AK48" s="1072"/>
      <c r="AL48" s="1072"/>
      <c r="AM48" s="1072"/>
      <c r="AN48" s="997" t="s">
        <v>5558</v>
      </c>
      <c r="AO48" s="1072"/>
      <c r="AP48" s="976"/>
      <c r="AQ48" s="683">
        <v>44939</v>
      </c>
      <c r="AR48" s="659">
        <v>1</v>
      </c>
      <c r="AS48" s="659">
        <v>1</v>
      </c>
      <c r="AT48" s="978" t="s">
        <v>5559</v>
      </c>
      <c r="AU48" s="963" t="s">
        <v>4120</v>
      </c>
      <c r="AV48" s="976" t="s">
        <v>5560</v>
      </c>
    </row>
    <row r="49" spans="1:48" s="974" customFormat="1" ht="153" x14ac:dyDescent="0.2">
      <c r="A49" s="1004"/>
      <c r="B49" s="1004"/>
      <c r="C49" s="1005"/>
      <c r="D49" s="1005"/>
      <c r="E49" s="1006"/>
      <c r="F49" s="984" t="s">
        <v>5561</v>
      </c>
      <c r="G49" s="1018"/>
      <c r="H49" s="1005"/>
      <c r="I49" s="1047"/>
      <c r="J49" s="1005"/>
      <c r="K49" s="1005"/>
      <c r="L49" s="1009"/>
      <c r="M49" s="978" t="s">
        <v>5562</v>
      </c>
      <c r="N49" s="979" t="s">
        <v>4114</v>
      </c>
      <c r="O49" s="979" t="s">
        <v>4115</v>
      </c>
      <c r="P49" s="1005"/>
      <c r="Q49" s="1005"/>
      <c r="R49" s="1009"/>
      <c r="S49" s="1048"/>
      <c r="T49" s="976" t="s">
        <v>5562</v>
      </c>
      <c r="U49" s="978" t="s">
        <v>5563</v>
      </c>
      <c r="V49" s="978" t="s">
        <v>5564</v>
      </c>
      <c r="W49" s="995">
        <v>0.5</v>
      </c>
      <c r="X49" s="1071">
        <v>44835</v>
      </c>
      <c r="Y49" s="1071">
        <v>44926</v>
      </c>
      <c r="Z49" s="653"/>
      <c r="AA49" s="658"/>
      <c r="AB49" s="1005"/>
      <c r="AC49" s="979"/>
      <c r="AD49" s="976"/>
      <c r="AE49" s="653"/>
      <c r="AF49" s="658"/>
      <c r="AG49" s="658"/>
      <c r="AH49" s="1005"/>
      <c r="AI49" s="979"/>
      <c r="AJ49" s="976"/>
      <c r="AK49" s="653"/>
      <c r="AL49" s="658"/>
      <c r="AM49" s="658"/>
      <c r="AN49" s="1005"/>
      <c r="AO49" s="979"/>
      <c r="AP49" s="976"/>
      <c r="AQ49" s="683">
        <v>44939</v>
      </c>
      <c r="AR49" s="659">
        <v>1</v>
      </c>
      <c r="AS49" s="659">
        <v>1</v>
      </c>
      <c r="AT49" s="976" t="s">
        <v>5565</v>
      </c>
      <c r="AU49" s="990"/>
      <c r="AV49" s="976" t="s">
        <v>5560</v>
      </c>
    </row>
    <row r="50" spans="1:48" s="974" customFormat="1" ht="216.75" x14ac:dyDescent="0.2">
      <c r="A50" s="1073" t="s">
        <v>4473</v>
      </c>
      <c r="B50" s="993" t="s">
        <v>4474</v>
      </c>
      <c r="C50" s="997" t="s">
        <v>4475</v>
      </c>
      <c r="D50" s="993" t="s">
        <v>4239</v>
      </c>
      <c r="E50" s="998" t="s">
        <v>4476</v>
      </c>
      <c r="F50" s="976" t="s">
        <v>4477</v>
      </c>
      <c r="G50" s="1035" t="s">
        <v>4478</v>
      </c>
      <c r="H50" s="993" t="s">
        <v>4109</v>
      </c>
      <c r="I50" s="999" t="s">
        <v>4479</v>
      </c>
      <c r="J50" s="993" t="s">
        <v>4235</v>
      </c>
      <c r="K50" s="993" t="s">
        <v>4146</v>
      </c>
      <c r="L50" s="1001" t="str">
        <f>VLOOKUP(J50,'[25]2. Anexos'!$B$35:$G$41,(HLOOKUP(K50,'[25]2. Anexos'!$C$35:$G$36,2,0)),0)</f>
        <v>Alto</v>
      </c>
      <c r="M50" s="987" t="s">
        <v>4480</v>
      </c>
      <c r="N50" s="979" t="s">
        <v>4114</v>
      </c>
      <c r="O50" s="979" t="s">
        <v>4115</v>
      </c>
      <c r="P50" s="1074" t="s">
        <v>4131</v>
      </c>
      <c r="Q50" s="993" t="s">
        <v>4146</v>
      </c>
      <c r="R50" s="1001" t="str">
        <f>VLOOKUP(P50,'[25]2. Anexos'!$B$35:$G$41,(HLOOKUP(Q50,'[25]2. Anexos'!$C$35:$G$36,2,0)),0)</f>
        <v>Moderado</v>
      </c>
      <c r="S50" s="1014" t="s">
        <v>4133</v>
      </c>
      <c r="T50" s="987" t="s">
        <v>4480</v>
      </c>
      <c r="U50" s="976" t="s">
        <v>4481</v>
      </c>
      <c r="V50" s="976" t="s">
        <v>4482</v>
      </c>
      <c r="W50" s="995">
        <v>1</v>
      </c>
      <c r="X50" s="986">
        <v>44620</v>
      </c>
      <c r="Y50" s="986">
        <v>44926</v>
      </c>
      <c r="Z50" s="653">
        <v>44658</v>
      </c>
      <c r="AA50" s="654">
        <v>1</v>
      </c>
      <c r="AB50" s="987" t="s">
        <v>4483</v>
      </c>
      <c r="AC50" s="963" t="s">
        <v>4120</v>
      </c>
      <c r="AD50" s="987" t="s">
        <v>4247</v>
      </c>
      <c r="AE50" s="653">
        <v>44753</v>
      </c>
      <c r="AF50" s="654">
        <v>1</v>
      </c>
      <c r="AG50" s="654">
        <v>1</v>
      </c>
      <c r="AH50" s="987" t="s">
        <v>4484</v>
      </c>
      <c r="AI50" s="963" t="s">
        <v>4120</v>
      </c>
      <c r="AJ50" s="987" t="s">
        <v>4249</v>
      </c>
      <c r="AK50" s="653">
        <v>44840</v>
      </c>
      <c r="AL50" s="654">
        <v>1</v>
      </c>
      <c r="AM50" s="654">
        <v>1</v>
      </c>
      <c r="AN50" s="987" t="s">
        <v>4485</v>
      </c>
      <c r="AO50" s="1015" t="s">
        <v>4120</v>
      </c>
      <c r="AP50" s="987" t="s">
        <v>4486</v>
      </c>
      <c r="AQ50" s="653">
        <v>44932</v>
      </c>
      <c r="AR50" s="654">
        <v>1</v>
      </c>
      <c r="AS50" s="654">
        <v>1</v>
      </c>
      <c r="AT50" s="987" t="s">
        <v>5566</v>
      </c>
      <c r="AU50" s="963" t="s">
        <v>4120</v>
      </c>
      <c r="AV50" s="987" t="s">
        <v>5567</v>
      </c>
    </row>
    <row r="51" spans="1:48" s="974" customFormat="1" ht="153" x14ac:dyDescent="0.2">
      <c r="A51" s="1073"/>
      <c r="B51" s="996"/>
      <c r="C51" s="1041"/>
      <c r="D51" s="996"/>
      <c r="E51" s="1043"/>
      <c r="F51" s="997" t="s">
        <v>4487</v>
      </c>
      <c r="G51" s="1042"/>
      <c r="H51" s="996"/>
      <c r="I51" s="1075"/>
      <c r="J51" s="996"/>
      <c r="K51" s="996"/>
      <c r="L51" s="1031"/>
      <c r="M51" s="987" t="s">
        <v>4488</v>
      </c>
      <c r="N51" s="979" t="s">
        <v>4114</v>
      </c>
      <c r="O51" s="979" t="s">
        <v>4115</v>
      </c>
      <c r="P51" s="1076"/>
      <c r="Q51" s="996"/>
      <c r="R51" s="1031"/>
      <c r="S51" s="1077"/>
      <c r="T51" s="987" t="s">
        <v>4488</v>
      </c>
      <c r="U51" s="976" t="s">
        <v>4489</v>
      </c>
      <c r="V51" s="976" t="s">
        <v>4490</v>
      </c>
      <c r="W51" s="995">
        <v>1</v>
      </c>
      <c r="X51" s="986">
        <v>44620</v>
      </c>
      <c r="Y51" s="986">
        <v>44926</v>
      </c>
      <c r="Z51" s="653">
        <v>44658</v>
      </c>
      <c r="AA51" s="654">
        <v>1</v>
      </c>
      <c r="AB51" s="987" t="s">
        <v>4491</v>
      </c>
      <c r="AC51" s="975"/>
      <c r="AD51" s="987" t="s">
        <v>4247</v>
      </c>
      <c r="AE51" s="653">
        <v>44753</v>
      </c>
      <c r="AF51" s="654">
        <v>1</v>
      </c>
      <c r="AG51" s="654">
        <v>1</v>
      </c>
      <c r="AH51" s="987" t="s">
        <v>4492</v>
      </c>
      <c r="AI51" s="975"/>
      <c r="AJ51" s="987" t="s">
        <v>4249</v>
      </c>
      <c r="AK51" s="653">
        <v>44840</v>
      </c>
      <c r="AL51" s="654">
        <v>1</v>
      </c>
      <c r="AM51" s="654">
        <v>1</v>
      </c>
      <c r="AN51" s="987" t="s">
        <v>4493</v>
      </c>
      <c r="AO51" s="1032"/>
      <c r="AP51" s="987" t="s">
        <v>4486</v>
      </c>
      <c r="AQ51" s="653">
        <v>44932</v>
      </c>
      <c r="AR51" s="654">
        <v>1</v>
      </c>
      <c r="AS51" s="654">
        <v>1</v>
      </c>
      <c r="AT51" s="987" t="s">
        <v>5568</v>
      </c>
      <c r="AU51" s="975"/>
      <c r="AV51" s="987" t="s">
        <v>5567</v>
      </c>
    </row>
    <row r="52" spans="1:48" s="974" customFormat="1" ht="102" x14ac:dyDescent="0.2">
      <c r="A52" s="1073"/>
      <c r="B52" s="996"/>
      <c r="C52" s="1041"/>
      <c r="D52" s="1004"/>
      <c r="E52" s="1006"/>
      <c r="F52" s="1005"/>
      <c r="G52" s="1078"/>
      <c r="H52" s="1004"/>
      <c r="I52" s="1007"/>
      <c r="J52" s="1004"/>
      <c r="K52" s="1004"/>
      <c r="L52" s="1009"/>
      <c r="M52" s="987" t="s">
        <v>4494</v>
      </c>
      <c r="N52" s="979" t="s">
        <v>4148</v>
      </c>
      <c r="O52" s="979" t="s">
        <v>4115</v>
      </c>
      <c r="P52" s="1079"/>
      <c r="Q52" s="1004"/>
      <c r="R52" s="1009"/>
      <c r="S52" s="1016"/>
      <c r="T52" s="987" t="s">
        <v>4494</v>
      </c>
      <c r="U52" s="976" t="s">
        <v>4489</v>
      </c>
      <c r="V52" s="976" t="s">
        <v>4495</v>
      </c>
      <c r="W52" s="995">
        <v>1</v>
      </c>
      <c r="X52" s="986">
        <v>44620</v>
      </c>
      <c r="Y52" s="986">
        <v>44926</v>
      </c>
      <c r="Z52" s="653">
        <v>44658</v>
      </c>
      <c r="AA52" s="654">
        <v>1</v>
      </c>
      <c r="AB52" s="987" t="s">
        <v>4496</v>
      </c>
      <c r="AC52" s="990"/>
      <c r="AD52" s="987" t="s">
        <v>4247</v>
      </c>
      <c r="AE52" s="653">
        <v>44753</v>
      </c>
      <c r="AF52" s="654">
        <v>1</v>
      </c>
      <c r="AG52" s="654">
        <v>1</v>
      </c>
      <c r="AH52" s="987" t="s">
        <v>4497</v>
      </c>
      <c r="AI52" s="990"/>
      <c r="AJ52" s="987" t="s">
        <v>4249</v>
      </c>
      <c r="AK52" s="653">
        <v>44840</v>
      </c>
      <c r="AL52" s="654">
        <v>1</v>
      </c>
      <c r="AM52" s="654">
        <v>1</v>
      </c>
      <c r="AN52" s="987" t="s">
        <v>4498</v>
      </c>
      <c r="AO52" s="1018"/>
      <c r="AP52" s="987" t="s">
        <v>4486</v>
      </c>
      <c r="AQ52" s="653">
        <v>44932</v>
      </c>
      <c r="AR52" s="654">
        <v>1</v>
      </c>
      <c r="AS52" s="654">
        <v>1</v>
      </c>
      <c r="AT52" s="987" t="s">
        <v>5569</v>
      </c>
      <c r="AU52" s="990"/>
      <c r="AV52" s="987" t="s">
        <v>5567</v>
      </c>
    </row>
    <row r="53" spans="1:48" s="974" customFormat="1" ht="127.5" x14ac:dyDescent="0.2">
      <c r="A53" s="1073"/>
      <c r="B53" s="1004"/>
      <c r="C53" s="982" t="s">
        <v>4499</v>
      </c>
      <c r="D53" s="976" t="s">
        <v>4239</v>
      </c>
      <c r="E53" s="977" t="s">
        <v>4500</v>
      </c>
      <c r="F53" s="976" t="s">
        <v>4501</v>
      </c>
      <c r="G53" s="984" t="s">
        <v>4502</v>
      </c>
      <c r="H53" s="976" t="s">
        <v>4109</v>
      </c>
      <c r="I53" s="980" t="s">
        <v>4479</v>
      </c>
      <c r="J53" s="976" t="s">
        <v>4111</v>
      </c>
      <c r="K53" s="976" t="s">
        <v>4112</v>
      </c>
      <c r="L53" s="969" t="str">
        <f>VLOOKUP(J53,'[25]2. Anexos'!$B$35:$G$41,(HLOOKUP(K53,'[25]2. Anexos'!$C$35:$G$36,2,0)),0)</f>
        <v>Alto</v>
      </c>
      <c r="M53" s="987" t="s">
        <v>4503</v>
      </c>
      <c r="N53" s="979" t="s">
        <v>4114</v>
      </c>
      <c r="O53" s="979" t="s">
        <v>4115</v>
      </c>
      <c r="P53" s="984" t="s">
        <v>4111</v>
      </c>
      <c r="Q53" s="976" t="s">
        <v>4112</v>
      </c>
      <c r="R53" s="969" t="str">
        <f>VLOOKUP(P53,'[25]2. Anexos'!$B$35:$G$41,(HLOOKUP(Q53,'[25]2. Anexos'!$C$35:$G$36,2,0)),0)</f>
        <v>Alto</v>
      </c>
      <c r="S53" s="983" t="s">
        <v>4133</v>
      </c>
      <c r="T53" s="987" t="s">
        <v>4503</v>
      </c>
      <c r="U53" s="964" t="s">
        <v>4504</v>
      </c>
      <c r="V53" s="976" t="s">
        <v>4505</v>
      </c>
      <c r="W53" s="995">
        <v>1</v>
      </c>
      <c r="X53" s="986">
        <v>44620</v>
      </c>
      <c r="Y53" s="986">
        <v>44926</v>
      </c>
      <c r="Z53" s="653">
        <v>44658</v>
      </c>
      <c r="AA53" s="654">
        <v>0.92</v>
      </c>
      <c r="AB53" s="987" t="s">
        <v>4506</v>
      </c>
      <c r="AC53" s="979" t="s">
        <v>4120</v>
      </c>
      <c r="AD53" s="987" t="s">
        <v>4247</v>
      </c>
      <c r="AE53" s="653">
        <v>44753</v>
      </c>
      <c r="AF53" s="654">
        <v>0.98</v>
      </c>
      <c r="AG53" s="654">
        <v>0.95121951219512191</v>
      </c>
      <c r="AH53" s="987" t="s">
        <v>4507</v>
      </c>
      <c r="AI53" s="979" t="s">
        <v>4120</v>
      </c>
      <c r="AJ53" s="987" t="s">
        <v>4249</v>
      </c>
      <c r="AK53" s="653">
        <v>44840</v>
      </c>
      <c r="AL53" s="659">
        <v>0.96</v>
      </c>
      <c r="AM53" s="654">
        <v>0.95</v>
      </c>
      <c r="AN53" s="987" t="s">
        <v>4508</v>
      </c>
      <c r="AO53" s="979" t="s">
        <v>4120</v>
      </c>
      <c r="AP53" s="987" t="s">
        <v>4486</v>
      </c>
      <c r="AQ53" s="653">
        <v>44932</v>
      </c>
      <c r="AR53" s="654">
        <v>1</v>
      </c>
      <c r="AS53" s="654">
        <v>0.97</v>
      </c>
      <c r="AT53" s="987" t="s">
        <v>5570</v>
      </c>
      <c r="AU53" s="979" t="s">
        <v>4120</v>
      </c>
      <c r="AV53" s="987" t="s">
        <v>5567</v>
      </c>
    </row>
    <row r="54" spans="1:48" s="974" customFormat="1" ht="303.75" customHeight="1" x14ac:dyDescent="0.2">
      <c r="A54" s="993" t="s">
        <v>116</v>
      </c>
      <c r="B54" s="993" t="s">
        <v>4509</v>
      </c>
      <c r="C54" s="964" t="s">
        <v>4510</v>
      </c>
      <c r="D54" s="976" t="s">
        <v>2486</v>
      </c>
      <c r="E54" s="1020" t="s">
        <v>4511</v>
      </c>
      <c r="F54" s="964" t="s">
        <v>4512</v>
      </c>
      <c r="G54" s="978" t="s">
        <v>4513</v>
      </c>
      <c r="H54" s="964" t="s">
        <v>4364</v>
      </c>
      <c r="I54" s="968" t="s">
        <v>4479</v>
      </c>
      <c r="J54" s="964" t="s">
        <v>4235</v>
      </c>
      <c r="K54" s="964" t="s">
        <v>4132</v>
      </c>
      <c r="L54" s="969" t="str">
        <f>VLOOKUP(J54,'[26]2. Anexos'!$B$35:$G$41,(HLOOKUP(K54,'[26]2. Anexos'!$C$35:$G$36,2,0)),0)</f>
        <v>Moderado</v>
      </c>
      <c r="M54" s="964" t="s">
        <v>4514</v>
      </c>
      <c r="N54" s="967" t="s">
        <v>4114</v>
      </c>
      <c r="O54" s="967" t="s">
        <v>4115</v>
      </c>
      <c r="P54" s="967" t="s">
        <v>4111</v>
      </c>
      <c r="Q54" s="967" t="s">
        <v>4132</v>
      </c>
      <c r="R54" s="969" t="str">
        <f>VLOOKUP(P54,'[26]2. Anexos'!$B$35:$G$41,(HLOOKUP(Q54,'[26]2. Anexos'!$C$35:$G$36,2,0)),0)</f>
        <v>Moderado</v>
      </c>
      <c r="S54" s="1080" t="s">
        <v>4133</v>
      </c>
      <c r="T54" s="964" t="s">
        <v>4514</v>
      </c>
      <c r="U54" s="964" t="s">
        <v>4515</v>
      </c>
      <c r="V54" s="976" t="s">
        <v>4516</v>
      </c>
      <c r="W54" s="1022">
        <v>1</v>
      </c>
      <c r="X54" s="973">
        <v>44620</v>
      </c>
      <c r="Y54" s="973">
        <v>44926</v>
      </c>
      <c r="Z54" s="651">
        <v>44651</v>
      </c>
      <c r="AA54" s="650">
        <v>1</v>
      </c>
      <c r="AB54" s="964" t="s">
        <v>4517</v>
      </c>
      <c r="AC54" s="967" t="s">
        <v>4120</v>
      </c>
      <c r="AD54" s="964" t="s">
        <v>4518</v>
      </c>
      <c r="AE54" s="655">
        <v>44742</v>
      </c>
      <c r="AF54" s="654">
        <v>1</v>
      </c>
      <c r="AG54" s="654">
        <v>1</v>
      </c>
      <c r="AH54" s="964" t="s">
        <v>4519</v>
      </c>
      <c r="AI54" s="979" t="s">
        <v>4120</v>
      </c>
      <c r="AJ54" s="964" t="s">
        <v>4520</v>
      </c>
      <c r="AK54" s="655">
        <v>44834</v>
      </c>
      <c r="AL54" s="654">
        <v>1</v>
      </c>
      <c r="AM54" s="654">
        <v>1</v>
      </c>
      <c r="AN54" s="664" t="s">
        <v>4521</v>
      </c>
      <c r="AO54" s="657" t="s">
        <v>4120</v>
      </c>
      <c r="AP54" s="665" t="s">
        <v>4522</v>
      </c>
      <c r="AQ54" s="1081">
        <v>44926</v>
      </c>
      <c r="AR54" s="654">
        <v>1</v>
      </c>
      <c r="AS54" s="654">
        <v>1</v>
      </c>
      <c r="AT54" s="978" t="s">
        <v>5571</v>
      </c>
      <c r="AU54" s="979" t="s">
        <v>4120</v>
      </c>
      <c r="AV54" s="978" t="s">
        <v>5572</v>
      </c>
    </row>
    <row r="55" spans="1:48" s="974" customFormat="1" ht="229.5" x14ac:dyDescent="0.2">
      <c r="A55" s="996"/>
      <c r="B55" s="996"/>
      <c r="C55" s="976" t="s">
        <v>4523</v>
      </c>
      <c r="D55" s="976" t="s">
        <v>2486</v>
      </c>
      <c r="E55" s="966" t="s">
        <v>4524</v>
      </c>
      <c r="F55" s="978" t="s">
        <v>4525</v>
      </c>
      <c r="G55" s="978" t="s">
        <v>4526</v>
      </c>
      <c r="H55" s="976" t="s">
        <v>4109</v>
      </c>
      <c r="I55" s="980" t="s">
        <v>4130</v>
      </c>
      <c r="J55" s="976" t="s">
        <v>4131</v>
      </c>
      <c r="K55" s="976" t="s">
        <v>4112</v>
      </c>
      <c r="L55" s="981" t="str">
        <f>VLOOKUP(J55,'[26]2. Anexos'!$B$35:$G$41,(HLOOKUP(K55,'[26]2. Anexos'!$C$35:$G$36,2,0)),0)</f>
        <v>Alto</v>
      </c>
      <c r="M55" s="976" t="s">
        <v>4527</v>
      </c>
      <c r="N55" s="979" t="s">
        <v>4114</v>
      </c>
      <c r="O55" s="979" t="s">
        <v>4115</v>
      </c>
      <c r="P55" s="976" t="s">
        <v>4111</v>
      </c>
      <c r="Q55" s="976" t="s">
        <v>4146</v>
      </c>
      <c r="R55" s="981" t="str">
        <f>VLOOKUP(P55,'[26]2. Anexos'!$B$35:$G$41,(HLOOKUP(Q55,'[26]2. Anexos'!$C$35:$G$36,2,0)),0)</f>
        <v>Moderado</v>
      </c>
      <c r="S55" s="994" t="s">
        <v>4133</v>
      </c>
      <c r="T55" s="976" t="s">
        <v>4527</v>
      </c>
      <c r="U55" s="976" t="s">
        <v>4528</v>
      </c>
      <c r="V55" s="976" t="s">
        <v>4529</v>
      </c>
      <c r="W55" s="654">
        <v>1</v>
      </c>
      <c r="X55" s="973">
        <v>44620</v>
      </c>
      <c r="Y55" s="973">
        <v>44926</v>
      </c>
      <c r="Z55" s="653">
        <v>44651</v>
      </c>
      <c r="AA55" s="654">
        <v>1</v>
      </c>
      <c r="AB55" s="976" t="s">
        <v>4530</v>
      </c>
      <c r="AC55" s="979" t="s">
        <v>4120</v>
      </c>
      <c r="AD55" s="976" t="s">
        <v>4531</v>
      </c>
      <c r="AE55" s="655">
        <v>44742</v>
      </c>
      <c r="AF55" s="654">
        <v>1</v>
      </c>
      <c r="AG55" s="654">
        <v>1</v>
      </c>
      <c r="AH55" s="976" t="s">
        <v>4532</v>
      </c>
      <c r="AI55" s="979" t="s">
        <v>4120</v>
      </c>
      <c r="AJ55" s="976" t="s">
        <v>4533</v>
      </c>
      <c r="AK55" s="655">
        <v>44834</v>
      </c>
      <c r="AL55" s="654">
        <v>1</v>
      </c>
      <c r="AM55" s="654">
        <v>1</v>
      </c>
      <c r="AN55" s="665" t="s">
        <v>4534</v>
      </c>
      <c r="AO55" s="657" t="s">
        <v>4120</v>
      </c>
      <c r="AP55" s="665" t="s">
        <v>4522</v>
      </c>
      <c r="AQ55" s="1081">
        <v>44926</v>
      </c>
      <c r="AR55" s="654">
        <v>1</v>
      </c>
      <c r="AS55" s="654">
        <v>1</v>
      </c>
      <c r="AT55" s="978" t="s">
        <v>5573</v>
      </c>
      <c r="AU55" s="979" t="s">
        <v>4120</v>
      </c>
      <c r="AV55" s="978" t="s">
        <v>5572</v>
      </c>
    </row>
    <row r="56" spans="1:48" s="974" customFormat="1" ht="178.5" x14ac:dyDescent="0.2">
      <c r="A56" s="996"/>
      <c r="B56" s="996"/>
      <c r="C56" s="1082" t="s">
        <v>5574</v>
      </c>
      <c r="D56" s="997" t="s">
        <v>5457</v>
      </c>
      <c r="E56" s="1083" t="s">
        <v>5575</v>
      </c>
      <c r="F56" s="964" t="s">
        <v>5576</v>
      </c>
      <c r="G56" s="997" t="s">
        <v>5577</v>
      </c>
      <c r="H56" s="1084" t="s">
        <v>4109</v>
      </c>
      <c r="I56" s="1029" t="s">
        <v>5461</v>
      </c>
      <c r="J56" s="963" t="s">
        <v>4178</v>
      </c>
      <c r="K56" s="963" t="s">
        <v>4112</v>
      </c>
      <c r="L56" s="1085" t="str">
        <f>VLOOKUP(J56,'[39]2. Anexos'!$B$35:$G$41,(HLOOKUP(K56,'[39]2. Anexos'!$C$35:$G$36,2,0)),0)</f>
        <v>Alto</v>
      </c>
      <c r="M56" s="964" t="s">
        <v>5578</v>
      </c>
      <c r="N56" s="963" t="s">
        <v>4114</v>
      </c>
      <c r="O56" s="963" t="s">
        <v>4115</v>
      </c>
      <c r="P56" s="963" t="s">
        <v>4111</v>
      </c>
      <c r="Q56" s="963" t="s">
        <v>4112</v>
      </c>
      <c r="R56" s="1001" t="str">
        <f>VLOOKUP(P56,'[40]2. Anexos'!$B$35:$G$41,(HLOOKUP(Q56,'[40]2. Anexos'!$C$35:$G$36,2,0)),0)</f>
        <v>Alto</v>
      </c>
      <c r="S56" s="1002" t="s">
        <v>4133</v>
      </c>
      <c r="T56" s="976" t="s">
        <v>5578</v>
      </c>
      <c r="U56" s="1013" t="s">
        <v>5579</v>
      </c>
      <c r="V56" s="976" t="s">
        <v>5580</v>
      </c>
      <c r="W56" s="1086">
        <v>1</v>
      </c>
      <c r="X56" s="986">
        <v>44835</v>
      </c>
      <c r="Y56" s="986">
        <v>44926</v>
      </c>
      <c r="Z56" s="1081">
        <v>44926</v>
      </c>
      <c r="AA56" s="1003">
        <v>1</v>
      </c>
      <c r="AB56" s="992" t="s">
        <v>5466</v>
      </c>
      <c r="AC56" s="979"/>
      <c r="AD56" s="976"/>
      <c r="AE56" s="1081"/>
      <c r="AF56" s="1003"/>
      <c r="AG56" s="1003"/>
      <c r="AH56" s="992" t="s">
        <v>5466</v>
      </c>
      <c r="AI56" s="979"/>
      <c r="AJ56" s="976"/>
      <c r="AK56" s="1081"/>
      <c r="AL56" s="1003"/>
      <c r="AM56" s="1003"/>
      <c r="AN56" s="992" t="s">
        <v>5466</v>
      </c>
      <c r="AO56" s="979"/>
      <c r="AP56" s="976"/>
      <c r="AQ56" s="1081">
        <v>44926</v>
      </c>
      <c r="AR56" s="654">
        <v>1</v>
      </c>
      <c r="AS56" s="654">
        <v>1</v>
      </c>
      <c r="AT56" s="982" t="s">
        <v>5581</v>
      </c>
      <c r="AU56" s="963" t="s">
        <v>4120</v>
      </c>
      <c r="AV56" s="978" t="s">
        <v>5582</v>
      </c>
    </row>
    <row r="57" spans="1:48" s="974" customFormat="1" ht="178.5" x14ac:dyDescent="0.2">
      <c r="A57" s="1004"/>
      <c r="B57" s="1004"/>
      <c r="C57" s="1082"/>
      <c r="D57" s="1005"/>
      <c r="E57" s="1083"/>
      <c r="F57" s="964" t="s">
        <v>5583</v>
      </c>
      <c r="G57" s="1005"/>
      <c r="H57" s="1087"/>
      <c r="I57" s="1034"/>
      <c r="J57" s="990"/>
      <c r="K57" s="990"/>
      <c r="L57" s="1088"/>
      <c r="M57" s="984" t="s">
        <v>5584</v>
      </c>
      <c r="N57" s="990"/>
      <c r="O57" s="990"/>
      <c r="P57" s="990"/>
      <c r="Q57" s="990"/>
      <c r="R57" s="1009"/>
      <c r="S57" s="1010"/>
      <c r="T57" s="984" t="s">
        <v>5584</v>
      </c>
      <c r="U57" s="964" t="s">
        <v>5579</v>
      </c>
      <c r="V57" s="1050" t="s">
        <v>5585</v>
      </c>
      <c r="W57" s="985">
        <v>1</v>
      </c>
      <c r="X57" s="986">
        <v>44835</v>
      </c>
      <c r="Y57" s="986">
        <v>44926</v>
      </c>
      <c r="Z57" s="1089">
        <v>44926</v>
      </c>
      <c r="AA57" s="1090">
        <v>1</v>
      </c>
      <c r="AB57" s="992" t="s">
        <v>5466</v>
      </c>
      <c r="AC57" s="1091"/>
      <c r="AD57" s="1091"/>
      <c r="AE57" s="1092"/>
      <c r="AF57" s="1092"/>
      <c r="AG57" s="1092"/>
      <c r="AH57" s="992" t="s">
        <v>5466</v>
      </c>
      <c r="AI57" s="1091"/>
      <c r="AJ57" s="1091"/>
      <c r="AK57" s="1092"/>
      <c r="AL57" s="1092"/>
      <c r="AM57" s="1092"/>
      <c r="AN57" s="992" t="s">
        <v>5466</v>
      </c>
      <c r="AO57" s="1091"/>
      <c r="AP57" s="1091"/>
      <c r="AQ57" s="1093">
        <v>44926</v>
      </c>
      <c r="AR57" s="650" t="s">
        <v>2291</v>
      </c>
      <c r="AS57" s="650" t="s">
        <v>2291</v>
      </c>
      <c r="AT57" s="982" t="s">
        <v>5586</v>
      </c>
      <c r="AU57" s="990"/>
      <c r="AV57" s="978" t="s">
        <v>5587</v>
      </c>
    </row>
    <row r="58" spans="1:48" s="974" customFormat="1" ht="122.25" customHeight="1" x14ac:dyDescent="0.2">
      <c r="A58" s="963" t="s">
        <v>4535</v>
      </c>
      <c r="B58" s="963" t="s">
        <v>4536</v>
      </c>
      <c r="C58" s="993" t="s">
        <v>4537</v>
      </c>
      <c r="D58" s="963" t="s">
        <v>2486</v>
      </c>
      <c r="E58" s="963" t="s">
        <v>4538</v>
      </c>
      <c r="F58" s="1035" t="s">
        <v>4539</v>
      </c>
      <c r="G58" s="963" t="s">
        <v>4540</v>
      </c>
      <c r="H58" s="997" t="s">
        <v>4109</v>
      </c>
      <c r="I58" s="1029" t="s">
        <v>4541</v>
      </c>
      <c r="J58" s="963" t="s">
        <v>4235</v>
      </c>
      <c r="K58" s="963" t="s">
        <v>4146</v>
      </c>
      <c r="L58" s="1001" t="str">
        <f>VLOOKUP(J58,'[27]2. Anexos'!$B$35:$G$41,(HLOOKUP(K58,'[27]2. Anexos'!$C$35:$G$36,2,0)),0)</f>
        <v>Alto</v>
      </c>
      <c r="M58" s="978" t="s">
        <v>4542</v>
      </c>
      <c r="N58" s="979" t="s">
        <v>4114</v>
      </c>
      <c r="O58" s="979" t="s">
        <v>4115</v>
      </c>
      <c r="P58" s="963" t="s">
        <v>4111</v>
      </c>
      <c r="Q58" s="963" t="s">
        <v>4146</v>
      </c>
      <c r="R58" s="1001" t="str">
        <f>VLOOKUP(P58,'[27]2. Anexos'!$B$35:$G$41,(HLOOKUP(Q58,'[27]2. Anexos'!$C$35:$G$36,2,0)),0)</f>
        <v>Moderado</v>
      </c>
      <c r="S58" s="1002" t="s">
        <v>4133</v>
      </c>
      <c r="T58" s="978" t="s">
        <v>4542</v>
      </c>
      <c r="U58" s="978" t="s">
        <v>4543</v>
      </c>
      <c r="V58" s="978" t="s">
        <v>4544</v>
      </c>
      <c r="W58" s="979" t="s">
        <v>4545</v>
      </c>
      <c r="X58" s="986">
        <v>44620</v>
      </c>
      <c r="Y58" s="986">
        <v>44926</v>
      </c>
      <c r="Z58" s="655">
        <v>44651</v>
      </c>
      <c r="AA58" s="654">
        <v>0.25</v>
      </c>
      <c r="AB58" s="984" t="s">
        <v>4546</v>
      </c>
      <c r="AC58" s="963" t="s">
        <v>4120</v>
      </c>
      <c r="AD58" s="976" t="s">
        <v>4547</v>
      </c>
      <c r="AE58" s="655">
        <v>44742</v>
      </c>
      <c r="AF58" s="658">
        <v>0.53</v>
      </c>
      <c r="AG58" s="658">
        <v>0.78</v>
      </c>
      <c r="AH58" s="984" t="s">
        <v>4548</v>
      </c>
      <c r="AI58" s="963" t="s">
        <v>4120</v>
      </c>
      <c r="AJ58" s="976" t="s">
        <v>4549</v>
      </c>
      <c r="AK58" s="653">
        <v>44834</v>
      </c>
      <c r="AL58" s="666">
        <v>0.14000000000000001</v>
      </c>
      <c r="AM58" s="658">
        <v>1</v>
      </c>
      <c r="AN58" s="976" t="s">
        <v>4550</v>
      </c>
      <c r="AO58" s="963" t="s">
        <v>4120</v>
      </c>
      <c r="AP58" s="976" t="s">
        <v>4551</v>
      </c>
      <c r="AQ58" s="1081">
        <v>44925</v>
      </c>
      <c r="AR58" s="1003">
        <v>0</v>
      </c>
      <c r="AS58" s="1003">
        <v>1</v>
      </c>
      <c r="AT58" s="976" t="s">
        <v>5588</v>
      </c>
      <c r="AU58" s="963" t="s">
        <v>4120</v>
      </c>
      <c r="AV58" s="976" t="s">
        <v>5589</v>
      </c>
    </row>
    <row r="59" spans="1:48" s="974" customFormat="1" ht="162.75" customHeight="1" x14ac:dyDescent="0.2">
      <c r="A59" s="975"/>
      <c r="B59" s="975"/>
      <c r="C59" s="1004"/>
      <c r="D59" s="990"/>
      <c r="E59" s="990"/>
      <c r="F59" s="1078"/>
      <c r="G59" s="990"/>
      <c r="H59" s="1005"/>
      <c r="I59" s="1034"/>
      <c r="J59" s="990"/>
      <c r="K59" s="990"/>
      <c r="L59" s="1009"/>
      <c r="M59" s="978" t="s">
        <v>4552</v>
      </c>
      <c r="N59" s="979" t="s">
        <v>4114</v>
      </c>
      <c r="O59" s="979" t="s">
        <v>4115</v>
      </c>
      <c r="P59" s="990"/>
      <c r="Q59" s="990"/>
      <c r="R59" s="1009"/>
      <c r="S59" s="1010"/>
      <c r="T59" s="978" t="s">
        <v>4552</v>
      </c>
      <c r="U59" s="978" t="s">
        <v>4553</v>
      </c>
      <c r="V59" s="978" t="s">
        <v>4554</v>
      </c>
      <c r="W59" s="979" t="s">
        <v>4555</v>
      </c>
      <c r="X59" s="986">
        <v>44620</v>
      </c>
      <c r="Y59" s="986">
        <v>44926</v>
      </c>
      <c r="Z59" s="655">
        <v>44651</v>
      </c>
      <c r="AA59" s="654">
        <v>0.25</v>
      </c>
      <c r="AB59" s="976" t="s">
        <v>4556</v>
      </c>
      <c r="AC59" s="990"/>
      <c r="AD59" s="976" t="s">
        <v>4547</v>
      </c>
      <c r="AE59" s="655">
        <v>44742</v>
      </c>
      <c r="AF59" s="658">
        <v>0.25</v>
      </c>
      <c r="AG59" s="658">
        <v>0.5</v>
      </c>
      <c r="AH59" s="984" t="s">
        <v>4557</v>
      </c>
      <c r="AI59" s="990"/>
      <c r="AJ59" s="976" t="s">
        <v>4549</v>
      </c>
      <c r="AK59" s="653">
        <v>44834</v>
      </c>
      <c r="AL59" s="658">
        <v>0.25</v>
      </c>
      <c r="AM59" s="658">
        <v>0.75</v>
      </c>
      <c r="AN59" s="984" t="s">
        <v>4558</v>
      </c>
      <c r="AO59" s="990"/>
      <c r="AP59" s="976" t="s">
        <v>4551</v>
      </c>
      <c r="AQ59" s="1081">
        <v>44925</v>
      </c>
      <c r="AR59" s="1094">
        <v>0.25</v>
      </c>
      <c r="AS59" s="1003">
        <v>1</v>
      </c>
      <c r="AT59" s="984" t="s">
        <v>5590</v>
      </c>
      <c r="AU59" s="990"/>
      <c r="AV59" s="976" t="s">
        <v>5589</v>
      </c>
    </row>
    <row r="60" spans="1:48" s="974" customFormat="1" ht="180.75" customHeight="1" x14ac:dyDescent="0.2">
      <c r="A60" s="975"/>
      <c r="B60" s="975"/>
      <c r="C60" s="993" t="s">
        <v>4537</v>
      </c>
      <c r="D60" s="963" t="s">
        <v>2486</v>
      </c>
      <c r="E60" s="963" t="s">
        <v>4559</v>
      </c>
      <c r="F60" s="997" t="s">
        <v>4560</v>
      </c>
      <c r="G60" s="963" t="s">
        <v>4561</v>
      </c>
      <c r="H60" s="997" t="s">
        <v>4109</v>
      </c>
      <c r="I60" s="1029" t="s">
        <v>4541</v>
      </c>
      <c r="J60" s="963" t="s">
        <v>4131</v>
      </c>
      <c r="K60" s="963" t="s">
        <v>4562</v>
      </c>
      <c r="L60" s="1001" t="str">
        <f>VLOOKUP(J60,'[27]2. Anexos'!$B$35:$G$41,(HLOOKUP(K60,'[27]2. Anexos'!$C$35:$G$36,2,0)),0)</f>
        <v>Moderado</v>
      </c>
      <c r="M60" s="978" t="s">
        <v>4563</v>
      </c>
      <c r="N60" s="979" t="s">
        <v>4114</v>
      </c>
      <c r="O60" s="979" t="s">
        <v>4115</v>
      </c>
      <c r="P60" s="963" t="s">
        <v>4111</v>
      </c>
      <c r="Q60" s="963" t="s">
        <v>4562</v>
      </c>
      <c r="R60" s="1001" t="str">
        <f>VLOOKUP(P60,'[27]2. Anexos'!$B$35:$G$41,(HLOOKUP(Q60,'[27]2. Anexos'!$C$35:$G$36,2,0)),0)</f>
        <v>Bajo</v>
      </c>
      <c r="S60" s="1002" t="s">
        <v>4133</v>
      </c>
      <c r="T60" s="978" t="s">
        <v>4563</v>
      </c>
      <c r="U60" s="978" t="s">
        <v>4553</v>
      </c>
      <c r="V60" s="978" t="s">
        <v>4554</v>
      </c>
      <c r="W60" s="979" t="s">
        <v>4564</v>
      </c>
      <c r="X60" s="986">
        <v>44620</v>
      </c>
      <c r="Y60" s="986">
        <v>44926</v>
      </c>
      <c r="Z60" s="655">
        <v>44651</v>
      </c>
      <c r="AA60" s="654">
        <v>0.25</v>
      </c>
      <c r="AB60" s="976" t="s">
        <v>4565</v>
      </c>
      <c r="AC60" s="963" t="s">
        <v>4120</v>
      </c>
      <c r="AD60" s="976" t="s">
        <v>4547</v>
      </c>
      <c r="AE60" s="655">
        <v>44742</v>
      </c>
      <c r="AF60" s="658">
        <v>0.25</v>
      </c>
      <c r="AG60" s="658">
        <v>0.5</v>
      </c>
      <c r="AH60" s="984" t="s">
        <v>4566</v>
      </c>
      <c r="AI60" s="963" t="s">
        <v>4120</v>
      </c>
      <c r="AJ60" s="976" t="s">
        <v>4549</v>
      </c>
      <c r="AK60" s="653">
        <v>44834</v>
      </c>
      <c r="AL60" s="658">
        <v>0.25</v>
      </c>
      <c r="AM60" s="658">
        <v>0.75</v>
      </c>
      <c r="AN60" s="984" t="s">
        <v>4567</v>
      </c>
      <c r="AO60" s="963" t="s">
        <v>4120</v>
      </c>
      <c r="AP60" s="976" t="s">
        <v>4551</v>
      </c>
      <c r="AQ60" s="1081">
        <v>44925</v>
      </c>
      <c r="AR60" s="1094">
        <v>0.25</v>
      </c>
      <c r="AS60" s="1003">
        <v>1</v>
      </c>
      <c r="AT60" s="984" t="s">
        <v>5591</v>
      </c>
      <c r="AU60" s="963" t="s">
        <v>4120</v>
      </c>
      <c r="AV60" s="976" t="s">
        <v>5589</v>
      </c>
    </row>
    <row r="61" spans="1:48" s="974" customFormat="1" ht="114" customHeight="1" x14ac:dyDescent="0.2">
      <c r="A61" s="975"/>
      <c r="B61" s="975"/>
      <c r="C61" s="1004"/>
      <c r="D61" s="990"/>
      <c r="E61" s="990"/>
      <c r="F61" s="1005"/>
      <c r="G61" s="990"/>
      <c r="H61" s="1005"/>
      <c r="I61" s="1034"/>
      <c r="J61" s="990"/>
      <c r="K61" s="990"/>
      <c r="L61" s="1009"/>
      <c r="M61" s="978" t="s">
        <v>4568</v>
      </c>
      <c r="N61" s="979" t="s">
        <v>4114</v>
      </c>
      <c r="O61" s="979" t="s">
        <v>4115</v>
      </c>
      <c r="P61" s="990"/>
      <c r="Q61" s="990"/>
      <c r="R61" s="1009"/>
      <c r="S61" s="1010"/>
      <c r="T61" s="978" t="s">
        <v>4569</v>
      </c>
      <c r="U61" s="978" t="s">
        <v>4553</v>
      </c>
      <c r="V61" s="978" t="s">
        <v>4570</v>
      </c>
      <c r="W61" s="979" t="s">
        <v>4571</v>
      </c>
      <c r="X61" s="986">
        <v>44620</v>
      </c>
      <c r="Y61" s="986">
        <v>44926</v>
      </c>
      <c r="Z61" s="655">
        <v>44651</v>
      </c>
      <c r="AA61" s="654">
        <v>0.34</v>
      </c>
      <c r="AB61" s="976" t="s">
        <v>4572</v>
      </c>
      <c r="AC61" s="990"/>
      <c r="AD61" s="976" t="s">
        <v>4547</v>
      </c>
      <c r="AE61" s="655">
        <v>44742</v>
      </c>
      <c r="AF61" s="667" t="s">
        <v>4233</v>
      </c>
      <c r="AG61" s="658">
        <v>0.34</v>
      </c>
      <c r="AH61" s="976" t="s">
        <v>4573</v>
      </c>
      <c r="AI61" s="990"/>
      <c r="AJ61" s="976" t="s">
        <v>4549</v>
      </c>
      <c r="AK61" s="653">
        <v>44834</v>
      </c>
      <c r="AL61" s="658" t="s">
        <v>4233</v>
      </c>
      <c r="AM61" s="658">
        <v>0.34</v>
      </c>
      <c r="AN61" s="976" t="s">
        <v>4574</v>
      </c>
      <c r="AO61" s="990"/>
      <c r="AP61" s="976" t="s">
        <v>4551</v>
      </c>
      <c r="AQ61" s="1081">
        <v>44925</v>
      </c>
      <c r="AR61" s="1003">
        <v>0.66</v>
      </c>
      <c r="AS61" s="1003">
        <v>1</v>
      </c>
      <c r="AT61" s="976" t="s">
        <v>5592</v>
      </c>
      <c r="AU61" s="990"/>
      <c r="AV61" s="976" t="s">
        <v>5589</v>
      </c>
    </row>
    <row r="62" spans="1:48" s="974" customFormat="1" ht="140.25" x14ac:dyDescent="0.2">
      <c r="A62" s="975"/>
      <c r="B62" s="975"/>
      <c r="C62" s="993" t="s">
        <v>4537</v>
      </c>
      <c r="D62" s="963" t="s">
        <v>2486</v>
      </c>
      <c r="E62" s="963" t="s">
        <v>4575</v>
      </c>
      <c r="F62" s="997" t="s">
        <v>4576</v>
      </c>
      <c r="G62" s="963" t="s">
        <v>4577</v>
      </c>
      <c r="H62" s="997" t="s">
        <v>4109</v>
      </c>
      <c r="I62" s="1029" t="s">
        <v>4541</v>
      </c>
      <c r="J62" s="963" t="s">
        <v>4131</v>
      </c>
      <c r="K62" s="963" t="s">
        <v>4146</v>
      </c>
      <c r="L62" s="1001" t="str">
        <f>VLOOKUP(J62,'[27]2. Anexos'!$B$35:$G$41,(HLOOKUP(K62,'[27]2. Anexos'!$C$35:$G$36,2,0)),0)</f>
        <v>Moderado</v>
      </c>
      <c r="M62" s="978" t="s">
        <v>4578</v>
      </c>
      <c r="N62" s="979" t="s">
        <v>4114</v>
      </c>
      <c r="O62" s="979" t="s">
        <v>4115</v>
      </c>
      <c r="P62" s="963" t="s">
        <v>4178</v>
      </c>
      <c r="Q62" s="963" t="s">
        <v>4146</v>
      </c>
      <c r="R62" s="1001" t="str">
        <f>VLOOKUP(P62,'[27]2. Anexos'!$B$35:$G$41,(HLOOKUP(Q62,'[27]2. Anexos'!$C$35:$G$36,2,0)),0)</f>
        <v>Moderado</v>
      </c>
      <c r="S62" s="1002" t="s">
        <v>4133</v>
      </c>
      <c r="T62" s="978" t="s">
        <v>4578</v>
      </c>
      <c r="U62" s="978" t="s">
        <v>4543</v>
      </c>
      <c r="V62" s="978" t="s">
        <v>4579</v>
      </c>
      <c r="W62" s="979" t="s">
        <v>4545</v>
      </c>
      <c r="X62" s="986">
        <v>44620</v>
      </c>
      <c r="Y62" s="986">
        <v>44926</v>
      </c>
      <c r="Z62" s="655">
        <v>44651</v>
      </c>
      <c r="AA62" s="654">
        <v>0.25</v>
      </c>
      <c r="AB62" s="976" t="s">
        <v>4580</v>
      </c>
      <c r="AC62" s="963" t="s">
        <v>4120</v>
      </c>
      <c r="AD62" s="976" t="s">
        <v>4547</v>
      </c>
      <c r="AE62" s="655">
        <v>44742</v>
      </c>
      <c r="AF62" s="658">
        <v>0.53</v>
      </c>
      <c r="AG62" s="658">
        <v>0.78</v>
      </c>
      <c r="AH62" s="984" t="s">
        <v>4581</v>
      </c>
      <c r="AI62" s="963" t="s">
        <v>4120</v>
      </c>
      <c r="AJ62" s="976" t="s">
        <v>4549</v>
      </c>
      <c r="AK62" s="653">
        <v>44834</v>
      </c>
      <c r="AL62" s="666">
        <v>0.14000000000000001</v>
      </c>
      <c r="AM62" s="658">
        <v>1</v>
      </c>
      <c r="AN62" s="976" t="s">
        <v>4582</v>
      </c>
      <c r="AO62" s="963" t="s">
        <v>4120</v>
      </c>
      <c r="AP62" s="976" t="s">
        <v>4551</v>
      </c>
      <c r="AQ62" s="1081">
        <v>44925</v>
      </c>
      <c r="AR62" s="1003">
        <v>0</v>
      </c>
      <c r="AS62" s="1003">
        <v>1</v>
      </c>
      <c r="AT62" s="976" t="s">
        <v>5588</v>
      </c>
      <c r="AU62" s="963" t="s">
        <v>4120</v>
      </c>
      <c r="AV62" s="976" t="s">
        <v>5589</v>
      </c>
    </row>
    <row r="63" spans="1:48" s="974" customFormat="1" ht="150.75" customHeight="1" x14ac:dyDescent="0.2">
      <c r="A63" s="975"/>
      <c r="B63" s="975"/>
      <c r="C63" s="996"/>
      <c r="D63" s="975"/>
      <c r="E63" s="975"/>
      <c r="F63" s="1041"/>
      <c r="G63" s="975"/>
      <c r="H63" s="1041"/>
      <c r="I63" s="1030"/>
      <c r="J63" s="975"/>
      <c r="K63" s="975"/>
      <c r="L63" s="1031"/>
      <c r="M63" s="978" t="s">
        <v>4583</v>
      </c>
      <c r="N63" s="979" t="s">
        <v>4114</v>
      </c>
      <c r="O63" s="979" t="s">
        <v>4115</v>
      </c>
      <c r="P63" s="975"/>
      <c r="Q63" s="975"/>
      <c r="R63" s="1031"/>
      <c r="S63" s="1033"/>
      <c r="T63" s="978" t="s">
        <v>4583</v>
      </c>
      <c r="U63" s="978" t="s">
        <v>4553</v>
      </c>
      <c r="V63" s="978" t="s">
        <v>4584</v>
      </c>
      <c r="W63" s="979" t="s">
        <v>4585</v>
      </c>
      <c r="X63" s="986">
        <v>44620</v>
      </c>
      <c r="Y63" s="986">
        <v>44926</v>
      </c>
      <c r="Z63" s="655">
        <v>44651</v>
      </c>
      <c r="AA63" s="654">
        <v>0.25</v>
      </c>
      <c r="AB63" s="984" t="s">
        <v>4586</v>
      </c>
      <c r="AC63" s="975"/>
      <c r="AD63" s="976" t="s">
        <v>4547</v>
      </c>
      <c r="AE63" s="655">
        <v>44742</v>
      </c>
      <c r="AF63" s="658">
        <v>0.25</v>
      </c>
      <c r="AG63" s="658">
        <v>0.5</v>
      </c>
      <c r="AH63" s="984" t="s">
        <v>4587</v>
      </c>
      <c r="AI63" s="975"/>
      <c r="AJ63" s="976" t="s">
        <v>4549</v>
      </c>
      <c r="AK63" s="653">
        <v>44834</v>
      </c>
      <c r="AL63" s="658">
        <v>0.25</v>
      </c>
      <c r="AM63" s="658">
        <v>0.75</v>
      </c>
      <c r="AN63" s="984" t="s">
        <v>4588</v>
      </c>
      <c r="AO63" s="975"/>
      <c r="AP63" s="976" t="s">
        <v>4551</v>
      </c>
      <c r="AQ63" s="1081">
        <v>44925</v>
      </c>
      <c r="AR63" s="1094">
        <v>0.25</v>
      </c>
      <c r="AS63" s="1003">
        <v>1</v>
      </c>
      <c r="AT63" s="984" t="s">
        <v>5593</v>
      </c>
      <c r="AU63" s="975"/>
      <c r="AV63" s="976" t="s">
        <v>5589</v>
      </c>
    </row>
    <row r="64" spans="1:48" ht="113.25" customHeight="1" x14ac:dyDescent="0.2">
      <c r="A64" s="975"/>
      <c r="B64" s="975"/>
      <c r="C64" s="1004"/>
      <c r="D64" s="990"/>
      <c r="E64" s="990"/>
      <c r="F64" s="1005"/>
      <c r="G64" s="990"/>
      <c r="H64" s="1005"/>
      <c r="I64" s="1034"/>
      <c r="J64" s="990"/>
      <c r="K64" s="990"/>
      <c r="L64" s="1009"/>
      <c r="M64" s="978" t="s">
        <v>4589</v>
      </c>
      <c r="N64" s="979" t="s">
        <v>4114</v>
      </c>
      <c r="O64" s="979" t="s">
        <v>4115</v>
      </c>
      <c r="P64" s="990"/>
      <c r="Q64" s="990"/>
      <c r="R64" s="1009"/>
      <c r="S64" s="1010"/>
      <c r="T64" s="978" t="s">
        <v>4589</v>
      </c>
      <c r="U64" s="978" t="s">
        <v>4590</v>
      </c>
      <c r="V64" s="978" t="s">
        <v>4591</v>
      </c>
      <c r="W64" s="979" t="s">
        <v>4592</v>
      </c>
      <c r="X64" s="986">
        <v>44620</v>
      </c>
      <c r="Y64" s="986">
        <v>44926</v>
      </c>
      <c r="Z64" s="655">
        <v>44651</v>
      </c>
      <c r="AA64" s="654" t="s">
        <v>4233</v>
      </c>
      <c r="AB64" s="984" t="s">
        <v>4593</v>
      </c>
      <c r="AC64" s="990"/>
      <c r="AD64" s="976" t="s">
        <v>4547</v>
      </c>
      <c r="AE64" s="655">
        <v>44742</v>
      </c>
      <c r="AF64" s="658">
        <v>0.5</v>
      </c>
      <c r="AG64" s="658">
        <v>0.5</v>
      </c>
      <c r="AH64" s="984" t="s">
        <v>4594</v>
      </c>
      <c r="AI64" s="990"/>
      <c r="AJ64" s="976" t="s">
        <v>4549</v>
      </c>
      <c r="AK64" s="653">
        <v>44834</v>
      </c>
      <c r="AL64" s="658" t="s">
        <v>4233</v>
      </c>
      <c r="AM64" s="658">
        <v>0.5</v>
      </c>
      <c r="AN64" s="984" t="s">
        <v>4595</v>
      </c>
      <c r="AO64" s="990"/>
      <c r="AP64" s="976" t="s">
        <v>4551</v>
      </c>
      <c r="AQ64" s="1081">
        <v>44925</v>
      </c>
      <c r="AR64" s="1003">
        <v>0.5</v>
      </c>
      <c r="AS64" s="1003">
        <v>1</v>
      </c>
      <c r="AT64" s="984" t="s">
        <v>5594</v>
      </c>
      <c r="AU64" s="990"/>
      <c r="AV64" s="976" t="s">
        <v>5589</v>
      </c>
    </row>
    <row r="65" spans="1:48" ht="150" customHeight="1" x14ac:dyDescent="0.2">
      <c r="A65" s="975"/>
      <c r="B65" s="975"/>
      <c r="C65" s="993" t="s">
        <v>4537</v>
      </c>
      <c r="D65" s="963" t="s">
        <v>2486</v>
      </c>
      <c r="E65" s="963" t="s">
        <v>4596</v>
      </c>
      <c r="F65" s="997" t="s">
        <v>4597</v>
      </c>
      <c r="G65" s="963" t="s">
        <v>4598</v>
      </c>
      <c r="H65" s="997" t="s">
        <v>4109</v>
      </c>
      <c r="I65" s="1029" t="s">
        <v>4541</v>
      </c>
      <c r="J65" s="963" t="s">
        <v>4111</v>
      </c>
      <c r="K65" s="963" t="s">
        <v>4132</v>
      </c>
      <c r="L65" s="1001" t="str">
        <f>VLOOKUP(J65,'[27]2. Anexos'!$B$35:$G$41,(HLOOKUP(K65,'[27]2. Anexos'!$C$35:$G$36,2,0)),0)</f>
        <v>Moderado</v>
      </c>
      <c r="M65" s="978" t="s">
        <v>4599</v>
      </c>
      <c r="N65" s="979" t="s">
        <v>4114</v>
      </c>
      <c r="O65" s="979" t="s">
        <v>4115</v>
      </c>
      <c r="P65" s="963" t="s">
        <v>4178</v>
      </c>
      <c r="Q65" s="963" t="s">
        <v>4146</v>
      </c>
      <c r="R65" s="1001" t="str">
        <f>VLOOKUP(P65,'[27]2. Anexos'!$B$35:$G$41,(HLOOKUP(Q65,'[27]2. Anexos'!$C$35:$G$36,2,0)),0)</f>
        <v>Moderado</v>
      </c>
      <c r="S65" s="1002" t="s">
        <v>4133</v>
      </c>
      <c r="T65" s="978" t="s">
        <v>4599</v>
      </c>
      <c r="U65" s="978" t="s">
        <v>4553</v>
      </c>
      <c r="V65" s="978" t="s">
        <v>4584</v>
      </c>
      <c r="W65" s="979" t="s">
        <v>4585</v>
      </c>
      <c r="X65" s="986">
        <v>44620</v>
      </c>
      <c r="Y65" s="986">
        <v>44926</v>
      </c>
      <c r="Z65" s="655">
        <v>44651</v>
      </c>
      <c r="AA65" s="654">
        <v>0.25</v>
      </c>
      <c r="AB65" s="984" t="s">
        <v>4600</v>
      </c>
      <c r="AC65" s="963" t="s">
        <v>4120</v>
      </c>
      <c r="AD65" s="976" t="s">
        <v>4547</v>
      </c>
      <c r="AE65" s="655">
        <v>44742</v>
      </c>
      <c r="AF65" s="658">
        <v>0.25</v>
      </c>
      <c r="AG65" s="658">
        <v>0.5</v>
      </c>
      <c r="AH65" s="984" t="s">
        <v>4601</v>
      </c>
      <c r="AI65" s="963" t="s">
        <v>4120</v>
      </c>
      <c r="AJ65" s="976" t="s">
        <v>4549</v>
      </c>
      <c r="AK65" s="653">
        <v>44834</v>
      </c>
      <c r="AL65" s="658">
        <v>0.25</v>
      </c>
      <c r="AM65" s="658">
        <v>0.75</v>
      </c>
      <c r="AN65" s="984" t="s">
        <v>4602</v>
      </c>
      <c r="AO65" s="963" t="s">
        <v>4120</v>
      </c>
      <c r="AP65" s="976" t="s">
        <v>4551</v>
      </c>
      <c r="AQ65" s="1081">
        <v>44925</v>
      </c>
      <c r="AR65" s="1094">
        <v>0.25</v>
      </c>
      <c r="AS65" s="1003">
        <v>1</v>
      </c>
      <c r="AT65" s="984" t="s">
        <v>5595</v>
      </c>
      <c r="AU65" s="963" t="s">
        <v>4120</v>
      </c>
      <c r="AV65" s="976" t="s">
        <v>5596</v>
      </c>
    </row>
    <row r="66" spans="1:48" ht="140.25" customHeight="1" x14ac:dyDescent="0.2">
      <c r="A66" s="975"/>
      <c r="B66" s="975"/>
      <c r="C66" s="996"/>
      <c r="D66" s="975"/>
      <c r="E66" s="975"/>
      <c r="F66" s="1041"/>
      <c r="G66" s="975"/>
      <c r="H66" s="1041"/>
      <c r="I66" s="1030"/>
      <c r="J66" s="975"/>
      <c r="K66" s="975"/>
      <c r="L66" s="1031"/>
      <c r="M66" s="978" t="s">
        <v>4603</v>
      </c>
      <c r="N66" s="979" t="s">
        <v>4114</v>
      </c>
      <c r="O66" s="979" t="s">
        <v>4115</v>
      </c>
      <c r="P66" s="975"/>
      <c r="Q66" s="975"/>
      <c r="R66" s="1031"/>
      <c r="S66" s="1033"/>
      <c r="T66" s="978" t="s">
        <v>4603</v>
      </c>
      <c r="U66" s="978" t="s">
        <v>4604</v>
      </c>
      <c r="V66" s="978" t="s">
        <v>4605</v>
      </c>
      <c r="W66" s="979" t="s">
        <v>4592</v>
      </c>
      <c r="X66" s="986">
        <v>44620</v>
      </c>
      <c r="Y66" s="986">
        <v>44926</v>
      </c>
      <c r="Z66" s="655">
        <v>44651</v>
      </c>
      <c r="AA66" s="654" t="s">
        <v>4233</v>
      </c>
      <c r="AB66" s="984" t="s">
        <v>4606</v>
      </c>
      <c r="AC66" s="975"/>
      <c r="AD66" s="976" t="s">
        <v>4547</v>
      </c>
      <c r="AE66" s="655">
        <v>44742</v>
      </c>
      <c r="AF66" s="658">
        <v>0.25</v>
      </c>
      <c r="AG66" s="658">
        <v>0.5</v>
      </c>
      <c r="AH66" s="984" t="s">
        <v>4607</v>
      </c>
      <c r="AI66" s="975"/>
      <c r="AJ66" s="976" t="s">
        <v>4549</v>
      </c>
      <c r="AK66" s="653">
        <v>44834</v>
      </c>
      <c r="AL66" s="658" t="s">
        <v>4233</v>
      </c>
      <c r="AM66" s="658">
        <v>0.5</v>
      </c>
      <c r="AN66" s="984" t="s">
        <v>4608</v>
      </c>
      <c r="AO66" s="975"/>
      <c r="AP66" s="976" t="s">
        <v>4551</v>
      </c>
      <c r="AQ66" s="1081">
        <v>44925</v>
      </c>
      <c r="AR66" s="1003">
        <v>0.5</v>
      </c>
      <c r="AS66" s="1003">
        <v>1</v>
      </c>
      <c r="AT66" s="984" t="s">
        <v>5597</v>
      </c>
      <c r="AU66" s="975"/>
      <c r="AV66" s="976" t="s">
        <v>5589</v>
      </c>
    </row>
    <row r="67" spans="1:48" ht="130.5" customHeight="1" x14ac:dyDescent="0.2">
      <c r="A67" s="975"/>
      <c r="B67" s="975"/>
      <c r="C67" s="1004"/>
      <c r="D67" s="990"/>
      <c r="E67" s="990"/>
      <c r="F67" s="1005"/>
      <c r="G67" s="990"/>
      <c r="H67" s="1005"/>
      <c r="I67" s="1034"/>
      <c r="J67" s="990"/>
      <c r="K67" s="990"/>
      <c r="L67" s="1009"/>
      <c r="M67" s="978" t="s">
        <v>4609</v>
      </c>
      <c r="N67" s="979" t="s">
        <v>4114</v>
      </c>
      <c r="O67" s="979" t="s">
        <v>4115</v>
      </c>
      <c r="P67" s="990"/>
      <c r="Q67" s="990"/>
      <c r="R67" s="1009"/>
      <c r="S67" s="1010"/>
      <c r="T67" s="978" t="s">
        <v>4609</v>
      </c>
      <c r="U67" s="978" t="s">
        <v>4543</v>
      </c>
      <c r="V67" s="978" t="s">
        <v>4610</v>
      </c>
      <c r="W67" s="979" t="s">
        <v>4545</v>
      </c>
      <c r="X67" s="986">
        <v>44620</v>
      </c>
      <c r="Y67" s="986">
        <v>44926</v>
      </c>
      <c r="Z67" s="655">
        <v>44651</v>
      </c>
      <c r="AA67" s="654">
        <v>0.28199999999999997</v>
      </c>
      <c r="AB67" s="984" t="s">
        <v>4611</v>
      </c>
      <c r="AC67" s="990"/>
      <c r="AD67" s="976" t="s">
        <v>4547</v>
      </c>
      <c r="AE67" s="655">
        <v>44742</v>
      </c>
      <c r="AF67" s="658">
        <v>0.66</v>
      </c>
      <c r="AG67" s="658">
        <v>0.94</v>
      </c>
      <c r="AH67" s="984" t="s">
        <v>4612</v>
      </c>
      <c r="AI67" s="990"/>
      <c r="AJ67" s="976" t="s">
        <v>4549</v>
      </c>
      <c r="AK67" s="653">
        <v>44834</v>
      </c>
      <c r="AL67" s="666">
        <v>0.14000000000000001</v>
      </c>
      <c r="AM67" s="658">
        <v>1</v>
      </c>
      <c r="AN67" s="976" t="s">
        <v>4613</v>
      </c>
      <c r="AO67" s="990"/>
      <c r="AP67" s="976" t="s">
        <v>4551</v>
      </c>
      <c r="AQ67" s="1081">
        <v>44925</v>
      </c>
      <c r="AR67" s="1003">
        <v>0</v>
      </c>
      <c r="AS67" s="1003">
        <v>1</v>
      </c>
      <c r="AT67" s="976" t="s">
        <v>5588</v>
      </c>
      <c r="AU67" s="990"/>
      <c r="AV67" s="976" t="s">
        <v>5589</v>
      </c>
    </row>
    <row r="68" spans="1:48" ht="137.25" customHeight="1" x14ac:dyDescent="0.2">
      <c r="A68" s="975"/>
      <c r="B68" s="975"/>
      <c r="C68" s="993" t="s">
        <v>4537</v>
      </c>
      <c r="D68" s="963" t="s">
        <v>2486</v>
      </c>
      <c r="E68" s="963" t="s">
        <v>4614</v>
      </c>
      <c r="F68" s="997" t="s">
        <v>4615</v>
      </c>
      <c r="G68" s="963" t="s">
        <v>4616</v>
      </c>
      <c r="H68" s="997" t="s">
        <v>4109</v>
      </c>
      <c r="I68" s="1029" t="s">
        <v>4541</v>
      </c>
      <c r="J68" s="963" t="s">
        <v>4131</v>
      </c>
      <c r="K68" s="963" t="s">
        <v>4146</v>
      </c>
      <c r="L68" s="1001" t="str">
        <f>VLOOKUP(J68,'[27]2. Anexos'!$B$35:$G$41,(HLOOKUP(K68,'[27]2. Anexos'!$C$35:$G$36,2,0)),0)</f>
        <v>Moderado</v>
      </c>
      <c r="M68" s="978" t="s">
        <v>4617</v>
      </c>
      <c r="N68" s="979" t="s">
        <v>4114</v>
      </c>
      <c r="O68" s="979" t="s">
        <v>4115</v>
      </c>
      <c r="P68" s="963" t="s">
        <v>4111</v>
      </c>
      <c r="Q68" s="963" t="s">
        <v>4146</v>
      </c>
      <c r="R68" s="1001" t="str">
        <f>VLOOKUP(P68,'[27]2. Anexos'!$B$35:$G$41,(HLOOKUP(Q68,'[27]2. Anexos'!$C$35:$G$36,2,0)),0)</f>
        <v>Moderado</v>
      </c>
      <c r="S68" s="1002" t="s">
        <v>4133</v>
      </c>
      <c r="T68" s="978" t="s">
        <v>4618</v>
      </c>
      <c r="U68" s="978" t="s">
        <v>4553</v>
      </c>
      <c r="V68" s="978" t="s">
        <v>4584</v>
      </c>
      <c r="W68" s="979" t="s">
        <v>4585</v>
      </c>
      <c r="X68" s="986">
        <v>44620</v>
      </c>
      <c r="Y68" s="986">
        <v>44926</v>
      </c>
      <c r="Z68" s="655">
        <v>44651</v>
      </c>
      <c r="AA68" s="654">
        <v>0.25</v>
      </c>
      <c r="AB68" s="984" t="s">
        <v>4619</v>
      </c>
      <c r="AC68" s="963" t="s">
        <v>4120</v>
      </c>
      <c r="AD68" s="976" t="s">
        <v>4547</v>
      </c>
      <c r="AE68" s="655">
        <v>44742</v>
      </c>
      <c r="AF68" s="658">
        <v>0.25</v>
      </c>
      <c r="AG68" s="658">
        <v>0.5</v>
      </c>
      <c r="AH68" s="984" t="s">
        <v>4620</v>
      </c>
      <c r="AI68" s="963" t="s">
        <v>4120</v>
      </c>
      <c r="AJ68" s="976" t="s">
        <v>4549</v>
      </c>
      <c r="AK68" s="653">
        <v>44834</v>
      </c>
      <c r="AL68" s="658">
        <v>0.25</v>
      </c>
      <c r="AM68" s="658">
        <v>0.75</v>
      </c>
      <c r="AN68" s="984" t="s">
        <v>4621</v>
      </c>
      <c r="AO68" s="963" t="s">
        <v>4120</v>
      </c>
      <c r="AP68" s="976" t="s">
        <v>4551</v>
      </c>
      <c r="AQ68" s="1081">
        <v>44925</v>
      </c>
      <c r="AR68" s="1094">
        <v>0.25</v>
      </c>
      <c r="AS68" s="1003">
        <v>1</v>
      </c>
      <c r="AT68" s="984" t="s">
        <v>5598</v>
      </c>
      <c r="AU68" s="963" t="s">
        <v>4120</v>
      </c>
      <c r="AV68" s="976" t="s">
        <v>5589</v>
      </c>
    </row>
    <row r="69" spans="1:48" ht="113.25" customHeight="1" x14ac:dyDescent="0.2">
      <c r="A69" s="975"/>
      <c r="B69" s="975"/>
      <c r="C69" s="1004"/>
      <c r="D69" s="990"/>
      <c r="E69" s="990"/>
      <c r="F69" s="1005"/>
      <c r="G69" s="990"/>
      <c r="H69" s="1005"/>
      <c r="I69" s="1034"/>
      <c r="J69" s="990"/>
      <c r="K69" s="990"/>
      <c r="L69" s="1009"/>
      <c r="M69" s="978" t="s">
        <v>4622</v>
      </c>
      <c r="N69" s="979" t="s">
        <v>4114</v>
      </c>
      <c r="O69" s="979" t="s">
        <v>4115</v>
      </c>
      <c r="P69" s="990"/>
      <c r="Q69" s="990"/>
      <c r="R69" s="1009"/>
      <c r="S69" s="1010"/>
      <c r="T69" s="978" t="s">
        <v>4622</v>
      </c>
      <c r="U69" s="978" t="s">
        <v>4623</v>
      </c>
      <c r="V69" s="978" t="s">
        <v>4624</v>
      </c>
      <c r="W69" s="979" t="s">
        <v>4592</v>
      </c>
      <c r="X69" s="986">
        <v>44620</v>
      </c>
      <c r="Y69" s="986">
        <v>44926</v>
      </c>
      <c r="Z69" s="655">
        <v>44651</v>
      </c>
      <c r="AA69" s="654" t="s">
        <v>4233</v>
      </c>
      <c r="AB69" s="984" t="s">
        <v>4625</v>
      </c>
      <c r="AC69" s="990"/>
      <c r="AD69" s="976" t="s">
        <v>4547</v>
      </c>
      <c r="AE69" s="655">
        <v>44742</v>
      </c>
      <c r="AF69" s="658">
        <v>0.5</v>
      </c>
      <c r="AG69" s="658">
        <v>0.5</v>
      </c>
      <c r="AH69" s="984" t="s">
        <v>4626</v>
      </c>
      <c r="AI69" s="990"/>
      <c r="AJ69" s="976" t="s">
        <v>4549</v>
      </c>
      <c r="AK69" s="653">
        <v>44834</v>
      </c>
      <c r="AL69" s="658" t="s">
        <v>4233</v>
      </c>
      <c r="AM69" s="658">
        <v>0.5</v>
      </c>
      <c r="AN69" s="984" t="s">
        <v>4627</v>
      </c>
      <c r="AO69" s="990"/>
      <c r="AP69" s="976" t="s">
        <v>4551</v>
      </c>
      <c r="AQ69" s="1081">
        <v>44925</v>
      </c>
      <c r="AR69" s="1003">
        <v>0.5</v>
      </c>
      <c r="AS69" s="1003">
        <v>1</v>
      </c>
      <c r="AT69" s="984" t="s">
        <v>5599</v>
      </c>
      <c r="AU69" s="990"/>
      <c r="AV69" s="976" t="s">
        <v>5589</v>
      </c>
    </row>
    <row r="70" spans="1:48" ht="139.5" customHeight="1" x14ac:dyDescent="0.2">
      <c r="A70" s="975"/>
      <c r="B70" s="975"/>
      <c r="C70" s="993" t="s">
        <v>4537</v>
      </c>
      <c r="D70" s="963" t="s">
        <v>2486</v>
      </c>
      <c r="E70" s="963" t="s">
        <v>4628</v>
      </c>
      <c r="F70" s="997" t="s">
        <v>4629</v>
      </c>
      <c r="G70" s="963" t="s">
        <v>4630</v>
      </c>
      <c r="H70" s="997" t="s">
        <v>4109</v>
      </c>
      <c r="I70" s="1029" t="s">
        <v>4541</v>
      </c>
      <c r="J70" s="963" t="s">
        <v>4131</v>
      </c>
      <c r="K70" s="963" t="s">
        <v>4562</v>
      </c>
      <c r="L70" s="1001" t="str">
        <f>VLOOKUP(J70,'[27]2. Anexos'!$B$35:$G$41,(HLOOKUP(K70,'[27]2. Anexos'!$C$35:$G$36,2,0)),0)</f>
        <v>Moderado</v>
      </c>
      <c r="M70" s="978" t="s">
        <v>4631</v>
      </c>
      <c r="N70" s="979" t="s">
        <v>4114</v>
      </c>
      <c r="O70" s="979" t="s">
        <v>4115</v>
      </c>
      <c r="P70" s="963" t="s">
        <v>4111</v>
      </c>
      <c r="Q70" s="963" t="s">
        <v>4562</v>
      </c>
      <c r="R70" s="1001" t="str">
        <f>VLOOKUP(P70,'[27]2. Anexos'!$B$35:$G$41,(HLOOKUP(Q70,'[27]2. Anexos'!$C$35:$G$36,2,0)),0)</f>
        <v>Bajo</v>
      </c>
      <c r="S70" s="1002" t="s">
        <v>4133</v>
      </c>
      <c r="T70" s="978" t="s">
        <v>4631</v>
      </c>
      <c r="U70" s="978" t="s">
        <v>4543</v>
      </c>
      <c r="V70" s="978" t="s">
        <v>4632</v>
      </c>
      <c r="W70" s="979" t="s">
        <v>4545</v>
      </c>
      <c r="X70" s="986">
        <v>44620</v>
      </c>
      <c r="Y70" s="986">
        <v>44926</v>
      </c>
      <c r="Z70" s="655">
        <v>44651</v>
      </c>
      <c r="AA70" s="654">
        <v>0.25</v>
      </c>
      <c r="AB70" s="965" t="s">
        <v>4633</v>
      </c>
      <c r="AC70" s="963" t="s">
        <v>4120</v>
      </c>
      <c r="AD70" s="976" t="s">
        <v>4547</v>
      </c>
      <c r="AE70" s="655">
        <v>44742</v>
      </c>
      <c r="AF70" s="658">
        <v>0.53</v>
      </c>
      <c r="AG70" s="658">
        <v>0.78</v>
      </c>
      <c r="AH70" s="984" t="s">
        <v>4634</v>
      </c>
      <c r="AI70" s="963" t="s">
        <v>4120</v>
      </c>
      <c r="AJ70" s="976" t="s">
        <v>4549</v>
      </c>
      <c r="AK70" s="653">
        <v>44834</v>
      </c>
      <c r="AL70" s="666">
        <v>0.14000000000000001</v>
      </c>
      <c r="AM70" s="658">
        <v>1</v>
      </c>
      <c r="AN70" s="976" t="s">
        <v>4635</v>
      </c>
      <c r="AO70" s="963" t="s">
        <v>4120</v>
      </c>
      <c r="AP70" s="976" t="s">
        <v>4551</v>
      </c>
      <c r="AQ70" s="1081">
        <v>44925</v>
      </c>
      <c r="AR70" s="1003">
        <v>0</v>
      </c>
      <c r="AS70" s="1003">
        <v>1</v>
      </c>
      <c r="AT70" s="976" t="s">
        <v>5588</v>
      </c>
      <c r="AU70" s="963" t="s">
        <v>4120</v>
      </c>
      <c r="AV70" s="976" t="s">
        <v>5589</v>
      </c>
    </row>
    <row r="71" spans="1:48" ht="127.5" x14ac:dyDescent="0.2">
      <c r="A71" s="975"/>
      <c r="B71" s="975"/>
      <c r="C71" s="996"/>
      <c r="D71" s="975"/>
      <c r="E71" s="975"/>
      <c r="F71" s="1041"/>
      <c r="G71" s="975"/>
      <c r="H71" s="1041"/>
      <c r="I71" s="1030"/>
      <c r="J71" s="975"/>
      <c r="K71" s="975"/>
      <c r="L71" s="1031"/>
      <c r="M71" s="982" t="s">
        <v>4636</v>
      </c>
      <c r="N71" s="979" t="s">
        <v>4114</v>
      </c>
      <c r="O71" s="979" t="s">
        <v>4115</v>
      </c>
      <c r="P71" s="975"/>
      <c r="Q71" s="975"/>
      <c r="R71" s="1031"/>
      <c r="S71" s="1033"/>
      <c r="T71" s="982" t="s">
        <v>4636</v>
      </c>
      <c r="U71" s="982" t="s">
        <v>4637</v>
      </c>
      <c r="V71" s="982" t="s">
        <v>4638</v>
      </c>
      <c r="W71" s="967" t="s">
        <v>4639</v>
      </c>
      <c r="X71" s="986">
        <v>44620</v>
      </c>
      <c r="Y71" s="986">
        <v>44926</v>
      </c>
      <c r="Z71" s="655">
        <v>44651</v>
      </c>
      <c r="AA71" s="654" t="s">
        <v>4233</v>
      </c>
      <c r="AB71" s="965" t="s">
        <v>4640</v>
      </c>
      <c r="AC71" s="975"/>
      <c r="AD71" s="976" t="s">
        <v>4547</v>
      </c>
      <c r="AE71" s="655">
        <v>44742</v>
      </c>
      <c r="AF71" s="658">
        <v>0.43</v>
      </c>
      <c r="AG71" s="658">
        <v>0.43</v>
      </c>
      <c r="AH71" s="965" t="s">
        <v>4641</v>
      </c>
      <c r="AI71" s="975"/>
      <c r="AJ71" s="976" t="s">
        <v>4549</v>
      </c>
      <c r="AK71" s="653">
        <v>44834</v>
      </c>
      <c r="AL71" s="658" t="s">
        <v>4233</v>
      </c>
      <c r="AM71" s="658">
        <v>0.43</v>
      </c>
      <c r="AN71" s="965" t="s">
        <v>4642</v>
      </c>
      <c r="AO71" s="975"/>
      <c r="AP71" s="976" t="s">
        <v>4551</v>
      </c>
      <c r="AQ71" s="1081">
        <v>44925</v>
      </c>
      <c r="AR71" s="1003">
        <v>0.56999999999999995</v>
      </c>
      <c r="AS71" s="1003">
        <v>1</v>
      </c>
      <c r="AT71" s="976" t="s">
        <v>5600</v>
      </c>
      <c r="AU71" s="975"/>
      <c r="AV71" s="976" t="s">
        <v>5589</v>
      </c>
    </row>
    <row r="72" spans="1:48" ht="127.5" x14ac:dyDescent="0.2">
      <c r="A72" s="990"/>
      <c r="B72" s="990"/>
      <c r="C72" s="1004"/>
      <c r="D72" s="990"/>
      <c r="E72" s="990"/>
      <c r="F72" s="1005"/>
      <c r="G72" s="990"/>
      <c r="H72" s="1005"/>
      <c r="I72" s="1034"/>
      <c r="J72" s="990"/>
      <c r="K72" s="990"/>
      <c r="L72" s="1009"/>
      <c r="M72" s="978" t="s">
        <v>4643</v>
      </c>
      <c r="N72" s="979" t="s">
        <v>4114</v>
      </c>
      <c r="O72" s="979" t="s">
        <v>4115</v>
      </c>
      <c r="P72" s="990"/>
      <c r="Q72" s="990"/>
      <c r="R72" s="1009"/>
      <c r="S72" s="1010"/>
      <c r="T72" s="978" t="s">
        <v>4643</v>
      </c>
      <c r="U72" s="978" t="s">
        <v>4553</v>
      </c>
      <c r="V72" s="978" t="s">
        <v>4584</v>
      </c>
      <c r="W72" s="979" t="s">
        <v>4644</v>
      </c>
      <c r="X72" s="986">
        <v>44620</v>
      </c>
      <c r="Y72" s="986">
        <v>44926</v>
      </c>
      <c r="Z72" s="655">
        <v>44651</v>
      </c>
      <c r="AA72" s="654">
        <v>0.25</v>
      </c>
      <c r="AB72" s="984" t="s">
        <v>4645</v>
      </c>
      <c r="AC72" s="990"/>
      <c r="AD72" s="976" t="s">
        <v>4547</v>
      </c>
      <c r="AE72" s="655">
        <v>44742</v>
      </c>
      <c r="AF72" s="658">
        <v>0.25</v>
      </c>
      <c r="AG72" s="658">
        <v>0.5</v>
      </c>
      <c r="AH72" s="984" t="s">
        <v>4646</v>
      </c>
      <c r="AI72" s="990"/>
      <c r="AJ72" s="976" t="s">
        <v>4549</v>
      </c>
      <c r="AK72" s="653">
        <v>44834</v>
      </c>
      <c r="AL72" s="658">
        <v>0.25</v>
      </c>
      <c r="AM72" s="658">
        <v>0.75</v>
      </c>
      <c r="AN72" s="984" t="s">
        <v>4647</v>
      </c>
      <c r="AO72" s="990"/>
      <c r="AP72" s="976" t="s">
        <v>4551</v>
      </c>
      <c r="AQ72" s="1081">
        <v>44925</v>
      </c>
      <c r="AR72" s="1094">
        <v>0.25</v>
      </c>
      <c r="AS72" s="1003">
        <v>1</v>
      </c>
      <c r="AT72" s="984" t="s">
        <v>5601</v>
      </c>
      <c r="AU72" s="990"/>
      <c r="AV72" s="976" t="s">
        <v>5589</v>
      </c>
    </row>
    <row r="73" spans="1:48" s="974" customFormat="1" ht="255" x14ac:dyDescent="0.2">
      <c r="A73" s="993" t="s">
        <v>1267</v>
      </c>
      <c r="B73" s="993" t="s">
        <v>4648</v>
      </c>
      <c r="C73" s="993" t="s">
        <v>4649</v>
      </c>
      <c r="D73" s="963" t="s">
        <v>4239</v>
      </c>
      <c r="E73" s="998" t="s">
        <v>4650</v>
      </c>
      <c r="F73" s="984" t="s">
        <v>4651</v>
      </c>
      <c r="G73" s="1095" t="s">
        <v>4652</v>
      </c>
      <c r="H73" s="1074" t="s">
        <v>4129</v>
      </c>
      <c r="I73" s="1096" t="s">
        <v>4130</v>
      </c>
      <c r="J73" s="963" t="s">
        <v>4131</v>
      </c>
      <c r="K73" s="963" t="s">
        <v>4146</v>
      </c>
      <c r="L73" s="1001" t="str">
        <f>VLOOKUP(J73,'[41]2. Anexos'!$B$35:$G$41,(HLOOKUP(K73,'[41]2. Anexos'!$C$35:$G$36,2,0)),0)</f>
        <v>Moderado</v>
      </c>
      <c r="M73" s="1097" t="s">
        <v>4653</v>
      </c>
      <c r="N73" s="979" t="s">
        <v>4114</v>
      </c>
      <c r="O73" s="979" t="s">
        <v>4115</v>
      </c>
      <c r="P73" s="1074" t="s">
        <v>4178</v>
      </c>
      <c r="Q73" s="1074" t="s">
        <v>4146</v>
      </c>
      <c r="R73" s="1001" t="str">
        <f>VLOOKUP(P73,'[41]2. Anexos'!$B$35:$G$41,(HLOOKUP(Q73,'[41]2. Anexos'!$C$35:$G$36,2,0)),0)</f>
        <v>Moderado</v>
      </c>
      <c r="S73" s="1002" t="s">
        <v>4133</v>
      </c>
      <c r="T73" s="1097" t="s">
        <v>4653</v>
      </c>
      <c r="U73" s="1097" t="s">
        <v>4654</v>
      </c>
      <c r="V73" s="1097" t="s">
        <v>4655</v>
      </c>
      <c r="W73" s="1098">
        <v>0.3</v>
      </c>
      <c r="X73" s="986">
        <v>44620</v>
      </c>
      <c r="Y73" s="1099">
        <v>44926</v>
      </c>
      <c r="Z73" s="653">
        <v>44658</v>
      </c>
      <c r="AA73" s="658">
        <v>0</v>
      </c>
      <c r="AB73" s="668" t="s">
        <v>4656</v>
      </c>
      <c r="AC73" s="1015" t="s">
        <v>4120</v>
      </c>
      <c r="AD73" s="976" t="s">
        <v>4274</v>
      </c>
      <c r="AE73" s="669">
        <v>44750</v>
      </c>
      <c r="AF73" s="661">
        <v>0</v>
      </c>
      <c r="AG73" s="661">
        <v>0</v>
      </c>
      <c r="AH73" s="987" t="s">
        <v>4657</v>
      </c>
      <c r="AI73" s="1100" t="s">
        <v>4120</v>
      </c>
      <c r="AJ73" s="987" t="s">
        <v>4658</v>
      </c>
      <c r="AK73" s="669">
        <v>44840</v>
      </c>
      <c r="AL73" s="670">
        <v>0</v>
      </c>
      <c r="AM73" s="670">
        <v>0</v>
      </c>
      <c r="AN73" s="987" t="s">
        <v>4659</v>
      </c>
      <c r="AO73" s="1015" t="s">
        <v>4120</v>
      </c>
      <c r="AP73" s="987" t="s">
        <v>4660</v>
      </c>
      <c r="AQ73" s="669">
        <v>44938</v>
      </c>
      <c r="AR73" s="661">
        <v>0.4</v>
      </c>
      <c r="AS73" s="661">
        <v>0.4</v>
      </c>
      <c r="AT73" s="987" t="s">
        <v>5602</v>
      </c>
      <c r="AU73" s="963" t="s">
        <v>4120</v>
      </c>
      <c r="AV73" s="987" t="s">
        <v>5603</v>
      </c>
    </row>
    <row r="74" spans="1:48" s="974" customFormat="1" ht="344.25" x14ac:dyDescent="0.2">
      <c r="A74" s="996"/>
      <c r="B74" s="996"/>
      <c r="C74" s="996"/>
      <c r="D74" s="975"/>
      <c r="E74" s="1043"/>
      <c r="F74" s="984" t="s">
        <v>4661</v>
      </c>
      <c r="G74" s="1101"/>
      <c r="H74" s="1076"/>
      <c r="I74" s="1102"/>
      <c r="J74" s="975"/>
      <c r="K74" s="975"/>
      <c r="L74" s="1031"/>
      <c r="M74" s="1097" t="s">
        <v>4662</v>
      </c>
      <c r="N74" s="979" t="s">
        <v>4114</v>
      </c>
      <c r="O74" s="979" t="s">
        <v>4115</v>
      </c>
      <c r="P74" s="1076"/>
      <c r="Q74" s="1076"/>
      <c r="R74" s="1031"/>
      <c r="S74" s="1033"/>
      <c r="T74" s="1097" t="s">
        <v>4662</v>
      </c>
      <c r="U74" s="1097" t="s">
        <v>4663</v>
      </c>
      <c r="V74" s="1097" t="s">
        <v>4664</v>
      </c>
      <c r="W74" s="1103">
        <v>1</v>
      </c>
      <c r="X74" s="986">
        <v>44620</v>
      </c>
      <c r="Y74" s="1099">
        <v>44926</v>
      </c>
      <c r="Z74" s="653">
        <v>44658</v>
      </c>
      <c r="AA74" s="658">
        <v>0.5</v>
      </c>
      <c r="AB74" s="671" t="s">
        <v>4665</v>
      </c>
      <c r="AC74" s="1032"/>
      <c r="AD74" s="976" t="s">
        <v>4666</v>
      </c>
      <c r="AE74" s="669">
        <v>44750</v>
      </c>
      <c r="AF74" s="661">
        <v>0</v>
      </c>
      <c r="AG74" s="661">
        <v>0.5</v>
      </c>
      <c r="AH74" s="987" t="s">
        <v>4667</v>
      </c>
      <c r="AI74" s="1104"/>
      <c r="AJ74" s="987" t="s">
        <v>4658</v>
      </c>
      <c r="AK74" s="669">
        <v>44840</v>
      </c>
      <c r="AL74" s="670">
        <v>0</v>
      </c>
      <c r="AM74" s="670">
        <v>0.5</v>
      </c>
      <c r="AN74" s="987" t="s">
        <v>4668</v>
      </c>
      <c r="AO74" s="1032"/>
      <c r="AP74" s="987" t="s">
        <v>4669</v>
      </c>
      <c r="AQ74" s="669">
        <v>44938</v>
      </c>
      <c r="AR74" s="661">
        <v>0.5</v>
      </c>
      <c r="AS74" s="661">
        <v>1</v>
      </c>
      <c r="AT74" s="987" t="s">
        <v>5604</v>
      </c>
      <c r="AU74" s="975"/>
      <c r="AV74" s="987" t="s">
        <v>5605</v>
      </c>
    </row>
    <row r="75" spans="1:48" s="974" customFormat="1" ht="165.75" x14ac:dyDescent="0.2">
      <c r="A75" s="996"/>
      <c r="B75" s="996"/>
      <c r="C75" s="996"/>
      <c r="D75" s="975"/>
      <c r="E75" s="1043"/>
      <c r="F75" s="984" t="s">
        <v>4670</v>
      </c>
      <c r="G75" s="1101"/>
      <c r="H75" s="1076"/>
      <c r="I75" s="1102"/>
      <c r="J75" s="975"/>
      <c r="K75" s="975"/>
      <c r="L75" s="1031"/>
      <c r="M75" s="1105" t="s">
        <v>4671</v>
      </c>
      <c r="N75" s="979" t="s">
        <v>4114</v>
      </c>
      <c r="O75" s="979" t="s">
        <v>4115</v>
      </c>
      <c r="P75" s="1076"/>
      <c r="Q75" s="1076"/>
      <c r="R75" s="1031"/>
      <c r="S75" s="1033"/>
      <c r="T75" s="1105" t="s">
        <v>4671</v>
      </c>
      <c r="U75" s="1105" t="s">
        <v>4672</v>
      </c>
      <c r="V75" s="1105" t="s">
        <v>4673</v>
      </c>
      <c r="W75" s="1106">
        <v>1</v>
      </c>
      <c r="X75" s="986">
        <v>44620</v>
      </c>
      <c r="Y75" s="1107">
        <v>44926</v>
      </c>
      <c r="Z75" s="653">
        <v>44658</v>
      </c>
      <c r="AA75" s="658">
        <v>0.25</v>
      </c>
      <c r="AB75" s="671" t="s">
        <v>4674</v>
      </c>
      <c r="AC75" s="1032"/>
      <c r="AD75" s="976" t="s">
        <v>4274</v>
      </c>
      <c r="AE75" s="669">
        <v>44750</v>
      </c>
      <c r="AF75" s="661">
        <v>0.25</v>
      </c>
      <c r="AG75" s="661">
        <v>0.5</v>
      </c>
      <c r="AH75" s="987" t="s">
        <v>4675</v>
      </c>
      <c r="AI75" s="1104"/>
      <c r="AJ75" s="987" t="s">
        <v>4676</v>
      </c>
      <c r="AK75" s="669">
        <v>44840</v>
      </c>
      <c r="AL75" s="670">
        <v>0.5</v>
      </c>
      <c r="AM75" s="670">
        <v>1</v>
      </c>
      <c r="AN75" s="987" t="s">
        <v>4677</v>
      </c>
      <c r="AO75" s="1032"/>
      <c r="AP75" s="987" t="s">
        <v>4678</v>
      </c>
      <c r="AQ75" s="669">
        <v>44938</v>
      </c>
      <c r="AR75" s="661">
        <v>0</v>
      </c>
      <c r="AS75" s="661">
        <v>1</v>
      </c>
      <c r="AT75" s="987" t="s">
        <v>5606</v>
      </c>
      <c r="AU75" s="975"/>
      <c r="AV75" s="987" t="s">
        <v>5605</v>
      </c>
    </row>
    <row r="76" spans="1:48" s="974" customFormat="1" ht="191.25" x14ac:dyDescent="0.2">
      <c r="A76" s="996"/>
      <c r="B76" s="996"/>
      <c r="C76" s="996"/>
      <c r="D76" s="975"/>
      <c r="E76" s="1043"/>
      <c r="F76" s="984" t="s">
        <v>4679</v>
      </c>
      <c r="G76" s="1101"/>
      <c r="H76" s="1076"/>
      <c r="I76" s="1102"/>
      <c r="J76" s="975"/>
      <c r="K76" s="975"/>
      <c r="L76" s="1031"/>
      <c r="M76" s="1040" t="s">
        <v>4680</v>
      </c>
      <c r="N76" s="979" t="s">
        <v>4114</v>
      </c>
      <c r="O76" s="979" t="s">
        <v>4115</v>
      </c>
      <c r="P76" s="1076"/>
      <c r="Q76" s="1076"/>
      <c r="R76" s="1031"/>
      <c r="S76" s="1033"/>
      <c r="T76" s="1040" t="s">
        <v>4680</v>
      </c>
      <c r="U76" s="1040" t="s">
        <v>4654</v>
      </c>
      <c r="V76" s="1052" t="s">
        <v>4681</v>
      </c>
      <c r="W76" s="1108">
        <v>1</v>
      </c>
      <c r="X76" s="986">
        <v>44620</v>
      </c>
      <c r="Y76" s="1039">
        <v>44926</v>
      </c>
      <c r="Z76" s="653">
        <v>44658</v>
      </c>
      <c r="AA76" s="658">
        <v>0.5</v>
      </c>
      <c r="AB76" s="671" t="s">
        <v>4682</v>
      </c>
      <c r="AC76" s="1032"/>
      <c r="AD76" s="976" t="s">
        <v>4274</v>
      </c>
      <c r="AE76" s="669">
        <v>44750</v>
      </c>
      <c r="AF76" s="661">
        <v>0</v>
      </c>
      <c r="AG76" s="661">
        <v>0.5</v>
      </c>
      <c r="AH76" s="987" t="s">
        <v>4683</v>
      </c>
      <c r="AI76" s="1104"/>
      <c r="AJ76" s="987" t="s">
        <v>4658</v>
      </c>
      <c r="AK76" s="669">
        <v>44840</v>
      </c>
      <c r="AL76" s="670">
        <v>0</v>
      </c>
      <c r="AM76" s="670">
        <v>0.5</v>
      </c>
      <c r="AN76" s="987" t="s">
        <v>4684</v>
      </c>
      <c r="AO76" s="1032"/>
      <c r="AP76" s="987" t="s">
        <v>4685</v>
      </c>
      <c r="AQ76" s="669">
        <v>44938</v>
      </c>
      <c r="AR76" s="661">
        <v>0.5</v>
      </c>
      <c r="AS76" s="661">
        <v>1</v>
      </c>
      <c r="AT76" s="987" t="s">
        <v>5607</v>
      </c>
      <c r="AU76" s="975"/>
      <c r="AV76" s="987" t="s">
        <v>5605</v>
      </c>
    </row>
    <row r="77" spans="1:48" s="974" customFormat="1" ht="242.25" x14ac:dyDescent="0.2">
      <c r="A77" s="1004"/>
      <c r="B77" s="1004"/>
      <c r="C77" s="1004"/>
      <c r="D77" s="990"/>
      <c r="E77" s="1006"/>
      <c r="F77" s="984" t="s">
        <v>4686</v>
      </c>
      <c r="G77" s="1109"/>
      <c r="H77" s="1079"/>
      <c r="I77" s="1110"/>
      <c r="J77" s="990"/>
      <c r="K77" s="990"/>
      <c r="L77" s="1009"/>
      <c r="M77" s="1105" t="s">
        <v>4687</v>
      </c>
      <c r="N77" s="979" t="s">
        <v>4114</v>
      </c>
      <c r="O77" s="979" t="s">
        <v>4115</v>
      </c>
      <c r="P77" s="1079"/>
      <c r="Q77" s="1079"/>
      <c r="R77" s="1009"/>
      <c r="S77" s="1010"/>
      <c r="T77" s="1105" t="s">
        <v>4687</v>
      </c>
      <c r="U77" s="1105" t="s">
        <v>4654</v>
      </c>
      <c r="V77" s="1105" t="s">
        <v>4688</v>
      </c>
      <c r="W77" s="1106">
        <v>1</v>
      </c>
      <c r="X77" s="986">
        <v>44620</v>
      </c>
      <c r="Y77" s="1107">
        <v>44926</v>
      </c>
      <c r="Z77" s="653">
        <v>44658</v>
      </c>
      <c r="AA77" s="658">
        <v>0.5</v>
      </c>
      <c r="AB77" s="672" t="s">
        <v>4689</v>
      </c>
      <c r="AC77" s="1018"/>
      <c r="AD77" s="976" t="s">
        <v>4690</v>
      </c>
      <c r="AE77" s="669">
        <v>44750</v>
      </c>
      <c r="AF77" s="661">
        <v>0.25</v>
      </c>
      <c r="AG77" s="661">
        <v>0.75</v>
      </c>
      <c r="AH77" s="987" t="s">
        <v>4691</v>
      </c>
      <c r="AI77" s="1111"/>
      <c r="AJ77" s="987" t="s">
        <v>4658</v>
      </c>
      <c r="AK77" s="669">
        <v>44840</v>
      </c>
      <c r="AL77" s="670">
        <v>0</v>
      </c>
      <c r="AM77" s="670">
        <v>0.75</v>
      </c>
      <c r="AN77" s="987" t="s">
        <v>4692</v>
      </c>
      <c r="AO77" s="1018"/>
      <c r="AP77" s="987" t="s">
        <v>4693</v>
      </c>
      <c r="AQ77" s="669">
        <v>44938</v>
      </c>
      <c r="AR77" s="661">
        <v>0.25</v>
      </c>
      <c r="AS77" s="661">
        <v>1</v>
      </c>
      <c r="AT77" s="987" t="s">
        <v>5608</v>
      </c>
      <c r="AU77" s="990"/>
      <c r="AV77" s="987" t="s">
        <v>5605</v>
      </c>
    </row>
    <row r="78" spans="1:48" s="974" customFormat="1" ht="127.5" x14ac:dyDescent="0.2">
      <c r="A78" s="993" t="s">
        <v>4694</v>
      </c>
      <c r="B78" s="993" t="s">
        <v>4695</v>
      </c>
      <c r="C78" s="1112" t="s">
        <v>4696</v>
      </c>
      <c r="D78" s="963" t="s">
        <v>4160</v>
      </c>
      <c r="E78" s="1113" t="s">
        <v>4697</v>
      </c>
      <c r="F78" s="1114" t="s">
        <v>4698</v>
      </c>
      <c r="G78" s="1115" t="s">
        <v>4699</v>
      </c>
      <c r="H78" s="1073" t="s">
        <v>4109</v>
      </c>
      <c r="I78" s="1116" t="s">
        <v>4130</v>
      </c>
      <c r="J78" s="1073" t="s">
        <v>4111</v>
      </c>
      <c r="K78" s="1073" t="s">
        <v>4132</v>
      </c>
      <c r="L78" s="1117" t="s">
        <v>4700</v>
      </c>
      <c r="M78" s="1114" t="s">
        <v>4701</v>
      </c>
      <c r="N78" s="967" t="s">
        <v>4114</v>
      </c>
      <c r="O78" s="967" t="s">
        <v>4115</v>
      </c>
      <c r="P78" s="1073" t="s">
        <v>4111</v>
      </c>
      <c r="Q78" s="1073" t="s">
        <v>4132</v>
      </c>
      <c r="R78" s="1117" t="s">
        <v>4700</v>
      </c>
      <c r="S78" s="1002" t="s">
        <v>4133</v>
      </c>
      <c r="T78" s="1114" t="s">
        <v>4701</v>
      </c>
      <c r="U78" s="673" t="s">
        <v>4702</v>
      </c>
      <c r="V78" s="1118" t="s">
        <v>4703</v>
      </c>
      <c r="W78" s="1022">
        <v>1</v>
      </c>
      <c r="X78" s="973">
        <v>44620</v>
      </c>
      <c r="Y78" s="973">
        <v>44926</v>
      </c>
      <c r="Z78" s="649">
        <v>44671</v>
      </c>
      <c r="AA78" s="652">
        <v>1</v>
      </c>
      <c r="AB78" s="674" t="s">
        <v>4704</v>
      </c>
      <c r="AC78" s="963" t="s">
        <v>4120</v>
      </c>
      <c r="AD78" s="964" t="s">
        <v>4705</v>
      </c>
      <c r="AE78" s="649">
        <v>44760</v>
      </c>
      <c r="AF78" s="652">
        <v>1</v>
      </c>
      <c r="AG78" s="652">
        <v>1</v>
      </c>
      <c r="AH78" s="675" t="s">
        <v>4706</v>
      </c>
      <c r="AI78" s="963" t="s">
        <v>4120</v>
      </c>
      <c r="AJ78" s="1119" t="s">
        <v>4707</v>
      </c>
      <c r="AK78" s="649">
        <v>44844</v>
      </c>
      <c r="AL78" s="652">
        <v>1</v>
      </c>
      <c r="AM78" s="652">
        <v>1</v>
      </c>
      <c r="AN78" s="674" t="s">
        <v>4708</v>
      </c>
      <c r="AO78" s="967" t="s">
        <v>4120</v>
      </c>
      <c r="AP78" s="1119" t="s">
        <v>4709</v>
      </c>
      <c r="AQ78" s="649">
        <v>44938</v>
      </c>
      <c r="AR78" s="652">
        <v>1</v>
      </c>
      <c r="AS78" s="652">
        <v>1</v>
      </c>
      <c r="AT78" s="674" t="s">
        <v>5609</v>
      </c>
      <c r="AU78" s="963" t="s">
        <v>4120</v>
      </c>
      <c r="AV78" s="987" t="s">
        <v>5605</v>
      </c>
    </row>
    <row r="79" spans="1:48" s="974" customFormat="1" ht="173.25" customHeight="1" x14ac:dyDescent="0.2">
      <c r="A79" s="996"/>
      <c r="B79" s="996"/>
      <c r="C79" s="1112"/>
      <c r="D79" s="975"/>
      <c r="E79" s="1113"/>
      <c r="F79" s="1114" t="s">
        <v>4710</v>
      </c>
      <c r="G79" s="1115"/>
      <c r="H79" s="1073"/>
      <c r="I79" s="1116"/>
      <c r="J79" s="1073"/>
      <c r="K79" s="1073"/>
      <c r="L79" s="1117"/>
      <c r="M79" s="1114" t="s">
        <v>4711</v>
      </c>
      <c r="N79" s="967" t="s">
        <v>4114</v>
      </c>
      <c r="O79" s="967" t="s">
        <v>4115</v>
      </c>
      <c r="P79" s="1073"/>
      <c r="Q79" s="1073"/>
      <c r="R79" s="1117"/>
      <c r="S79" s="1033"/>
      <c r="T79" s="1114" t="s">
        <v>4711</v>
      </c>
      <c r="U79" s="673" t="s">
        <v>4712</v>
      </c>
      <c r="V79" s="1114" t="s">
        <v>4713</v>
      </c>
      <c r="W79" s="1022">
        <v>1</v>
      </c>
      <c r="X79" s="973">
        <v>44620</v>
      </c>
      <c r="Y79" s="973">
        <v>44926</v>
      </c>
      <c r="Z79" s="649">
        <v>44671</v>
      </c>
      <c r="AA79" s="652">
        <v>1</v>
      </c>
      <c r="AB79" s="675" t="s">
        <v>4714</v>
      </c>
      <c r="AC79" s="975"/>
      <c r="AD79" s="964" t="s">
        <v>4705</v>
      </c>
      <c r="AE79" s="649">
        <v>44760</v>
      </c>
      <c r="AF79" s="652">
        <v>1</v>
      </c>
      <c r="AG79" s="652">
        <v>1</v>
      </c>
      <c r="AH79" s="676" t="s">
        <v>4715</v>
      </c>
      <c r="AI79" s="975"/>
      <c r="AJ79" s="964" t="s">
        <v>4716</v>
      </c>
      <c r="AK79" s="649">
        <v>44844</v>
      </c>
      <c r="AL79" s="652">
        <v>1</v>
      </c>
      <c r="AM79" s="652">
        <v>1</v>
      </c>
      <c r="AN79" s="677" t="s">
        <v>4717</v>
      </c>
      <c r="AO79" s="967" t="s">
        <v>4120</v>
      </c>
      <c r="AP79" s="964" t="s">
        <v>4718</v>
      </c>
      <c r="AQ79" s="649">
        <v>44938</v>
      </c>
      <c r="AR79" s="652">
        <v>1</v>
      </c>
      <c r="AS79" s="652">
        <v>1</v>
      </c>
      <c r="AT79" s="677" t="s">
        <v>5610</v>
      </c>
      <c r="AU79" s="975"/>
      <c r="AV79" s="987" t="s">
        <v>5605</v>
      </c>
    </row>
    <row r="80" spans="1:48" s="974" customFormat="1" ht="153" x14ac:dyDescent="0.2">
      <c r="A80" s="996"/>
      <c r="B80" s="996"/>
      <c r="C80" s="1112"/>
      <c r="D80" s="990"/>
      <c r="E80" s="1113"/>
      <c r="F80" s="1120" t="s">
        <v>4719</v>
      </c>
      <c r="G80" s="1115"/>
      <c r="H80" s="1073"/>
      <c r="I80" s="1116"/>
      <c r="J80" s="1073"/>
      <c r="K80" s="1073"/>
      <c r="L80" s="1117"/>
      <c r="M80" s="1121" t="s">
        <v>4720</v>
      </c>
      <c r="N80" s="967" t="s">
        <v>4114</v>
      </c>
      <c r="O80" s="967" t="s">
        <v>4115</v>
      </c>
      <c r="P80" s="1073"/>
      <c r="Q80" s="1073"/>
      <c r="R80" s="1117"/>
      <c r="S80" s="1010"/>
      <c r="T80" s="1121" t="s">
        <v>4720</v>
      </c>
      <c r="U80" s="673" t="s">
        <v>4702</v>
      </c>
      <c r="V80" s="1121" t="s">
        <v>4721</v>
      </c>
      <c r="W80" s="1022">
        <v>1</v>
      </c>
      <c r="X80" s="973">
        <v>44620</v>
      </c>
      <c r="Y80" s="973">
        <v>44926</v>
      </c>
      <c r="Z80" s="649">
        <v>44671</v>
      </c>
      <c r="AA80" s="652">
        <v>0.25</v>
      </c>
      <c r="AB80" s="674" t="s">
        <v>4722</v>
      </c>
      <c r="AC80" s="990"/>
      <c r="AD80" s="964" t="s">
        <v>4705</v>
      </c>
      <c r="AE80" s="649">
        <v>44760</v>
      </c>
      <c r="AF80" s="652">
        <v>0.25</v>
      </c>
      <c r="AG80" s="652">
        <v>0.5</v>
      </c>
      <c r="AH80" s="675" t="s">
        <v>4723</v>
      </c>
      <c r="AI80" s="990"/>
      <c r="AJ80" s="964" t="s">
        <v>4716</v>
      </c>
      <c r="AK80" s="649">
        <v>44844</v>
      </c>
      <c r="AL80" s="652">
        <v>0.5</v>
      </c>
      <c r="AM80" s="652">
        <v>1</v>
      </c>
      <c r="AN80" s="674" t="s">
        <v>4724</v>
      </c>
      <c r="AO80" s="967" t="s">
        <v>4120</v>
      </c>
      <c r="AP80" s="964" t="s">
        <v>4718</v>
      </c>
      <c r="AQ80" s="649">
        <v>44938</v>
      </c>
      <c r="AR80" s="652">
        <v>1</v>
      </c>
      <c r="AS80" s="652">
        <v>1</v>
      </c>
      <c r="AT80" s="965" t="s">
        <v>5611</v>
      </c>
      <c r="AU80" s="990"/>
      <c r="AV80" s="987" t="s">
        <v>5605</v>
      </c>
    </row>
    <row r="81" spans="1:48" s="974" customFormat="1" ht="204" x14ac:dyDescent="0.2">
      <c r="A81" s="1004"/>
      <c r="B81" s="1004"/>
      <c r="C81" s="965" t="s">
        <v>4725</v>
      </c>
      <c r="D81" s="979" t="s">
        <v>4160</v>
      </c>
      <c r="E81" s="967" t="s">
        <v>4726</v>
      </c>
      <c r="F81" s="976" t="s">
        <v>4727</v>
      </c>
      <c r="G81" s="976" t="s">
        <v>4728</v>
      </c>
      <c r="H81" s="964" t="s">
        <v>4109</v>
      </c>
      <c r="I81" s="968" t="s">
        <v>4130</v>
      </c>
      <c r="J81" s="964" t="s">
        <v>4111</v>
      </c>
      <c r="K81" s="964" t="s">
        <v>4132</v>
      </c>
      <c r="L81" s="1122" t="s">
        <v>4700</v>
      </c>
      <c r="M81" s="976" t="s">
        <v>4729</v>
      </c>
      <c r="N81" s="979" t="s">
        <v>4114</v>
      </c>
      <c r="O81" s="967" t="s">
        <v>4115</v>
      </c>
      <c r="P81" s="964" t="s">
        <v>4178</v>
      </c>
      <c r="Q81" s="964" t="s">
        <v>4132</v>
      </c>
      <c r="R81" s="969" t="str">
        <f>VLOOKUP(P81,'[28]2. Anexos'!$B$35:$G$41,(HLOOKUP(Q81,'[28]2. Anexos'!$C$35:$G$36,2,0)),0)</f>
        <v>Bajo</v>
      </c>
      <c r="S81" s="1080" t="s">
        <v>4133</v>
      </c>
      <c r="T81" s="976" t="s">
        <v>4729</v>
      </c>
      <c r="U81" s="678" t="s">
        <v>4730</v>
      </c>
      <c r="V81" s="976" t="s">
        <v>4731</v>
      </c>
      <c r="W81" s="1055">
        <v>1</v>
      </c>
      <c r="X81" s="973">
        <v>44620</v>
      </c>
      <c r="Y81" s="973">
        <v>44926</v>
      </c>
      <c r="Z81" s="649">
        <v>44671</v>
      </c>
      <c r="AA81" s="652">
        <v>0.25</v>
      </c>
      <c r="AB81" s="964" t="s">
        <v>4732</v>
      </c>
      <c r="AC81" s="967" t="s">
        <v>4120</v>
      </c>
      <c r="AD81" s="964" t="s">
        <v>4705</v>
      </c>
      <c r="AE81" s="679">
        <v>44760</v>
      </c>
      <c r="AF81" s="680">
        <v>0.25</v>
      </c>
      <c r="AG81" s="680">
        <v>0.5</v>
      </c>
      <c r="AH81" s="965" t="s">
        <v>4733</v>
      </c>
      <c r="AI81" s="989" t="s">
        <v>4120</v>
      </c>
      <c r="AJ81" s="1119" t="s">
        <v>4734</v>
      </c>
      <c r="AK81" s="649">
        <v>44844</v>
      </c>
      <c r="AL81" s="680">
        <v>0.25</v>
      </c>
      <c r="AM81" s="680">
        <v>0.75</v>
      </c>
      <c r="AN81" s="965" t="s">
        <v>4735</v>
      </c>
      <c r="AO81" s="967" t="s">
        <v>4120</v>
      </c>
      <c r="AP81" s="964" t="s">
        <v>4718</v>
      </c>
      <c r="AQ81" s="649">
        <v>44938</v>
      </c>
      <c r="AR81" s="652">
        <v>0.25</v>
      </c>
      <c r="AS81" s="652">
        <v>1</v>
      </c>
      <c r="AT81" s="965" t="s">
        <v>5612</v>
      </c>
      <c r="AU81" s="967" t="s">
        <v>4120</v>
      </c>
      <c r="AV81" s="987" t="s">
        <v>5605</v>
      </c>
    </row>
    <row r="82" spans="1:48" s="974" customFormat="1" ht="293.25" x14ac:dyDescent="0.2">
      <c r="A82" s="963" t="s">
        <v>4736</v>
      </c>
      <c r="B82" s="993" t="s">
        <v>4737</v>
      </c>
      <c r="C82" s="976" t="s">
        <v>4738</v>
      </c>
      <c r="D82" s="979" t="s">
        <v>4160</v>
      </c>
      <c r="E82" s="988" t="s">
        <v>4739</v>
      </c>
      <c r="F82" s="976" t="s">
        <v>4740</v>
      </c>
      <c r="G82" s="976" t="s">
        <v>4741</v>
      </c>
      <c r="H82" s="976" t="s">
        <v>4109</v>
      </c>
      <c r="I82" s="980" t="s">
        <v>4110</v>
      </c>
      <c r="J82" s="976" t="s">
        <v>4131</v>
      </c>
      <c r="K82" s="976" t="s">
        <v>4146</v>
      </c>
      <c r="L82" s="969" t="str">
        <f>VLOOKUP(J82,'[29]2. Anexos'!$B$35:$G$41,(HLOOKUP(K82,'[29]2. Anexos'!$C$35:$G$36,2,0)),0)</f>
        <v>Moderado</v>
      </c>
      <c r="M82" s="976" t="s">
        <v>4742</v>
      </c>
      <c r="N82" s="979" t="s">
        <v>4114</v>
      </c>
      <c r="O82" s="979" t="s">
        <v>4115</v>
      </c>
      <c r="P82" s="976" t="s">
        <v>4111</v>
      </c>
      <c r="Q82" s="976" t="s">
        <v>4146</v>
      </c>
      <c r="R82" s="969" t="str">
        <f>VLOOKUP(P82,'[29]2. Anexos'!$B$35:$G$41,(HLOOKUP(Q82,'[29]2. Anexos'!$C$35:$G$36,2,0)),0)</f>
        <v>Moderado</v>
      </c>
      <c r="S82" s="994" t="s">
        <v>4133</v>
      </c>
      <c r="T82" s="976" t="s">
        <v>4742</v>
      </c>
      <c r="U82" s="979" t="s">
        <v>4743</v>
      </c>
      <c r="V82" s="976" t="s">
        <v>4744</v>
      </c>
      <c r="W82" s="995" t="s">
        <v>4745</v>
      </c>
      <c r="X82" s="986">
        <v>44620</v>
      </c>
      <c r="Y82" s="986">
        <v>44926</v>
      </c>
      <c r="Z82" s="653">
        <v>44655</v>
      </c>
      <c r="AA82" s="654">
        <v>0.25</v>
      </c>
      <c r="AB82" s="976" t="s">
        <v>4746</v>
      </c>
      <c r="AC82" s="979" t="s">
        <v>4120</v>
      </c>
      <c r="AD82" s="976" t="s">
        <v>4747</v>
      </c>
      <c r="AE82" s="653">
        <v>44755</v>
      </c>
      <c r="AF82" s="654">
        <v>0.25</v>
      </c>
      <c r="AG82" s="654">
        <v>0.5</v>
      </c>
      <c r="AH82" s="976" t="s">
        <v>4748</v>
      </c>
      <c r="AI82" s="979" t="s">
        <v>4120</v>
      </c>
      <c r="AJ82" s="976" t="s">
        <v>4749</v>
      </c>
      <c r="AK82" s="655">
        <v>44839</v>
      </c>
      <c r="AL82" s="654">
        <v>0.25</v>
      </c>
      <c r="AM82" s="654">
        <v>0.75</v>
      </c>
      <c r="AN82" s="976" t="s">
        <v>4750</v>
      </c>
      <c r="AO82" s="979" t="s">
        <v>4120</v>
      </c>
      <c r="AP82" s="978" t="s">
        <v>4751</v>
      </c>
      <c r="AQ82" s="1081">
        <v>44567</v>
      </c>
      <c r="AR82" s="1003">
        <v>0.25</v>
      </c>
      <c r="AS82" s="1003">
        <v>1</v>
      </c>
      <c r="AT82" s="976" t="s">
        <v>5613</v>
      </c>
      <c r="AU82" s="979" t="s">
        <v>4120</v>
      </c>
      <c r="AV82" s="976" t="s">
        <v>5614</v>
      </c>
    </row>
    <row r="83" spans="1:48" s="974" customFormat="1" ht="255" x14ac:dyDescent="0.2">
      <c r="A83" s="990"/>
      <c r="B83" s="1004"/>
      <c r="C83" s="976" t="s">
        <v>4752</v>
      </c>
      <c r="D83" s="979" t="s">
        <v>4160</v>
      </c>
      <c r="E83" s="988" t="s">
        <v>4753</v>
      </c>
      <c r="F83" s="976" t="s">
        <v>4754</v>
      </c>
      <c r="G83" s="976" t="s">
        <v>4755</v>
      </c>
      <c r="H83" s="976" t="s">
        <v>4109</v>
      </c>
      <c r="I83" s="980" t="s">
        <v>4110</v>
      </c>
      <c r="J83" s="976" t="s">
        <v>4111</v>
      </c>
      <c r="K83" s="976" t="s">
        <v>4132</v>
      </c>
      <c r="L83" s="969" t="str">
        <f>VLOOKUP(J83,'[29]2. Anexos'!$B$35:$G$41,(HLOOKUP(K83,'[29]2. Anexos'!$C$35:$G$36,2,0)),0)</f>
        <v>Moderado</v>
      </c>
      <c r="M83" s="976" t="s">
        <v>4756</v>
      </c>
      <c r="N83" s="979" t="s">
        <v>4114</v>
      </c>
      <c r="O83" s="979" t="s">
        <v>4115</v>
      </c>
      <c r="P83" s="976" t="s">
        <v>4111</v>
      </c>
      <c r="Q83" s="976" t="s">
        <v>4132</v>
      </c>
      <c r="R83" s="969" t="str">
        <f>VLOOKUP(P83,'[29]2. Anexos'!$B$35:$G$41,(HLOOKUP(Q83,'[29]2. Anexos'!$C$35:$G$36,2,0)),0)</f>
        <v>Moderado</v>
      </c>
      <c r="S83" s="994" t="s">
        <v>4133</v>
      </c>
      <c r="T83" s="976" t="s">
        <v>4757</v>
      </c>
      <c r="U83" s="979" t="s">
        <v>4758</v>
      </c>
      <c r="V83" s="976" t="s">
        <v>4759</v>
      </c>
      <c r="W83" s="979" t="s">
        <v>4760</v>
      </c>
      <c r="X83" s="986">
        <v>44620</v>
      </c>
      <c r="Y83" s="986">
        <v>44926</v>
      </c>
      <c r="Z83" s="653">
        <v>44655</v>
      </c>
      <c r="AA83" s="654">
        <v>0.25</v>
      </c>
      <c r="AB83" s="976" t="s">
        <v>4761</v>
      </c>
      <c r="AC83" s="979" t="s">
        <v>4120</v>
      </c>
      <c r="AD83" s="976" t="s">
        <v>4747</v>
      </c>
      <c r="AE83" s="653">
        <v>44755</v>
      </c>
      <c r="AF83" s="654">
        <v>0.25</v>
      </c>
      <c r="AG83" s="654">
        <v>0.5</v>
      </c>
      <c r="AH83" s="976" t="s">
        <v>4762</v>
      </c>
      <c r="AI83" s="979" t="s">
        <v>4120</v>
      </c>
      <c r="AJ83" s="976" t="s">
        <v>4749</v>
      </c>
      <c r="AK83" s="655">
        <v>44839</v>
      </c>
      <c r="AL83" s="654">
        <v>0.25</v>
      </c>
      <c r="AM83" s="654">
        <v>0.75</v>
      </c>
      <c r="AN83" s="976" t="s">
        <v>4763</v>
      </c>
      <c r="AO83" s="979" t="s">
        <v>4120</v>
      </c>
      <c r="AP83" s="978" t="s">
        <v>4751</v>
      </c>
      <c r="AQ83" s="1081">
        <v>44567</v>
      </c>
      <c r="AR83" s="1003">
        <v>0.25</v>
      </c>
      <c r="AS83" s="1003">
        <v>1</v>
      </c>
      <c r="AT83" s="976" t="s">
        <v>5615</v>
      </c>
      <c r="AU83" s="979" t="s">
        <v>4120</v>
      </c>
      <c r="AV83" s="976" t="s">
        <v>5614</v>
      </c>
    </row>
    <row r="84" spans="1:48" s="974" customFormat="1" ht="293.25" x14ac:dyDescent="0.2">
      <c r="A84" s="993" t="s">
        <v>4011</v>
      </c>
      <c r="B84" s="993" t="s">
        <v>4764</v>
      </c>
      <c r="C84" s="993" t="s">
        <v>4765</v>
      </c>
      <c r="D84" s="963" t="s">
        <v>2486</v>
      </c>
      <c r="E84" s="998" t="s">
        <v>4766</v>
      </c>
      <c r="F84" s="993" t="s">
        <v>4767</v>
      </c>
      <c r="G84" s="997" t="s">
        <v>4768</v>
      </c>
      <c r="H84" s="963" t="s">
        <v>4129</v>
      </c>
      <c r="I84" s="999" t="s">
        <v>4130</v>
      </c>
      <c r="J84" s="993" t="s">
        <v>4131</v>
      </c>
      <c r="K84" s="993" t="s">
        <v>4146</v>
      </c>
      <c r="L84" s="1001" t="str">
        <f>VLOOKUP(J84,'[30]2. Anexos'!$B$35:$G$41,(HLOOKUP(K84,'[30]2. Anexos'!$C$35:$G$36,2,0)),0)</f>
        <v>Moderado</v>
      </c>
      <c r="M84" s="976" t="s">
        <v>4769</v>
      </c>
      <c r="N84" s="979" t="s">
        <v>4114</v>
      </c>
      <c r="O84" s="979" t="s">
        <v>4115</v>
      </c>
      <c r="P84" s="963" t="s">
        <v>4111</v>
      </c>
      <c r="Q84" s="963" t="s">
        <v>4146</v>
      </c>
      <c r="R84" s="1001" t="str">
        <f>VLOOKUP(P84,'[30]2. Anexos'!$B$35:$G$41,(HLOOKUP(Q84,'[30]2. Anexos'!$C$35:$G$36,2,0)),0)</f>
        <v>Moderado</v>
      </c>
      <c r="S84" s="1002" t="s">
        <v>4133</v>
      </c>
      <c r="T84" s="976" t="s">
        <v>4769</v>
      </c>
      <c r="U84" s="976" t="s">
        <v>4770</v>
      </c>
      <c r="V84" s="976" t="s">
        <v>4771</v>
      </c>
      <c r="W84" s="995">
        <v>1</v>
      </c>
      <c r="X84" s="986">
        <v>44593</v>
      </c>
      <c r="Y84" s="986">
        <v>44926</v>
      </c>
      <c r="Z84" s="653">
        <v>44658</v>
      </c>
      <c r="AA84" s="658">
        <v>1.01</v>
      </c>
      <c r="AB84" s="976" t="s">
        <v>4772</v>
      </c>
      <c r="AC84" s="963" t="s">
        <v>4120</v>
      </c>
      <c r="AD84" s="976" t="s">
        <v>4773</v>
      </c>
      <c r="AE84" s="653">
        <v>44754</v>
      </c>
      <c r="AF84" s="658">
        <v>0</v>
      </c>
      <c r="AG84" s="658">
        <v>0.98</v>
      </c>
      <c r="AH84" s="976" t="s">
        <v>4774</v>
      </c>
      <c r="AI84" s="963" t="s">
        <v>4120</v>
      </c>
      <c r="AJ84" s="976" t="s">
        <v>4775</v>
      </c>
      <c r="AK84" s="653">
        <v>44846</v>
      </c>
      <c r="AL84" s="658">
        <v>1.1111111111111112</v>
      </c>
      <c r="AM84" s="658">
        <v>1</v>
      </c>
      <c r="AN84" s="656" t="s">
        <v>4776</v>
      </c>
      <c r="AO84" s="821" t="s">
        <v>4120</v>
      </c>
      <c r="AP84" s="656" t="s">
        <v>4777</v>
      </c>
      <c r="AQ84" s="653">
        <v>44942</v>
      </c>
      <c r="AR84" s="658">
        <v>1</v>
      </c>
      <c r="AS84" s="658">
        <v>1</v>
      </c>
      <c r="AT84" s="976" t="s">
        <v>5616</v>
      </c>
      <c r="AU84" s="963" t="s">
        <v>4120</v>
      </c>
      <c r="AV84" s="976" t="s">
        <v>5617</v>
      </c>
    </row>
    <row r="85" spans="1:48" s="974" customFormat="1" ht="127.5" x14ac:dyDescent="0.2">
      <c r="A85" s="1004"/>
      <c r="B85" s="1004"/>
      <c r="C85" s="1004"/>
      <c r="D85" s="990"/>
      <c r="E85" s="1006"/>
      <c r="F85" s="1004"/>
      <c r="G85" s="1005"/>
      <c r="H85" s="990"/>
      <c r="I85" s="1007"/>
      <c r="J85" s="1004"/>
      <c r="K85" s="1004"/>
      <c r="L85" s="1009"/>
      <c r="M85" s="976" t="s">
        <v>4778</v>
      </c>
      <c r="N85" s="979" t="s">
        <v>4114</v>
      </c>
      <c r="O85" s="979" t="s">
        <v>4115</v>
      </c>
      <c r="P85" s="990"/>
      <c r="Q85" s="990"/>
      <c r="R85" s="1009"/>
      <c r="S85" s="1010"/>
      <c r="T85" s="976" t="s">
        <v>4778</v>
      </c>
      <c r="U85" s="976" t="s">
        <v>4779</v>
      </c>
      <c r="V85" s="976" t="s">
        <v>4780</v>
      </c>
      <c r="W85" s="995">
        <v>1</v>
      </c>
      <c r="X85" s="986">
        <v>44593</v>
      </c>
      <c r="Y85" s="986">
        <v>44620</v>
      </c>
      <c r="Z85" s="653">
        <v>44658</v>
      </c>
      <c r="AA85" s="658">
        <v>1</v>
      </c>
      <c r="AB85" s="976" t="s">
        <v>4781</v>
      </c>
      <c r="AC85" s="990"/>
      <c r="AD85" s="976" t="s">
        <v>4782</v>
      </c>
      <c r="AE85" s="653">
        <v>44754</v>
      </c>
      <c r="AF85" s="658">
        <v>0</v>
      </c>
      <c r="AG85" s="658">
        <v>1</v>
      </c>
      <c r="AH85" s="976" t="s">
        <v>4783</v>
      </c>
      <c r="AI85" s="990"/>
      <c r="AJ85" s="976" t="s">
        <v>4775</v>
      </c>
      <c r="AK85" s="653">
        <v>44846</v>
      </c>
      <c r="AL85" s="658">
        <v>0</v>
      </c>
      <c r="AM85" s="658">
        <v>1</v>
      </c>
      <c r="AN85" s="656" t="s">
        <v>4784</v>
      </c>
      <c r="AO85" s="822"/>
      <c r="AP85" s="656" t="s">
        <v>4777</v>
      </c>
      <c r="AQ85" s="653">
        <v>44942</v>
      </c>
      <c r="AR85" s="658">
        <v>0</v>
      </c>
      <c r="AS85" s="658">
        <v>1</v>
      </c>
      <c r="AT85" s="976" t="s">
        <v>5618</v>
      </c>
      <c r="AU85" s="990"/>
      <c r="AV85" s="976" t="s">
        <v>5619</v>
      </c>
    </row>
    <row r="86" spans="1:48" s="974" customFormat="1" ht="229.5" x14ac:dyDescent="0.2">
      <c r="A86" s="976" t="s">
        <v>39</v>
      </c>
      <c r="B86" s="976" t="s">
        <v>4785</v>
      </c>
      <c r="C86" s="984" t="s">
        <v>4786</v>
      </c>
      <c r="D86" s="976" t="s">
        <v>2903</v>
      </c>
      <c r="E86" s="977" t="s">
        <v>4787</v>
      </c>
      <c r="F86" s="976" t="s">
        <v>4788</v>
      </c>
      <c r="G86" s="976" t="s">
        <v>4789</v>
      </c>
      <c r="H86" s="976" t="s">
        <v>4129</v>
      </c>
      <c r="I86" s="980" t="s">
        <v>4130</v>
      </c>
      <c r="J86" s="976" t="s">
        <v>4111</v>
      </c>
      <c r="K86" s="976" t="s">
        <v>4146</v>
      </c>
      <c r="L86" s="969" t="str">
        <f>VLOOKUP(J86,'[31]2. Anexos'!$B$35:$G$41,(HLOOKUP(K86,'[31]2. Anexos'!$C$35:$G$36,2,0)),0)</f>
        <v>Moderado</v>
      </c>
      <c r="M86" s="656" t="s">
        <v>4790</v>
      </c>
      <c r="N86" s="979" t="s">
        <v>4114</v>
      </c>
      <c r="O86" s="979" t="s">
        <v>4115</v>
      </c>
      <c r="P86" s="976" t="s">
        <v>4111</v>
      </c>
      <c r="Q86" s="976" t="s">
        <v>4146</v>
      </c>
      <c r="R86" s="969" t="str">
        <f>VLOOKUP(P86,'[31]2. Anexos'!$B$35:$G$41,(HLOOKUP(Q86,'[31]2. Anexos'!$C$35:$G$36,2,0)),0)</f>
        <v>Moderado</v>
      </c>
      <c r="S86" s="994" t="s">
        <v>4133</v>
      </c>
      <c r="T86" s="656" t="s">
        <v>4790</v>
      </c>
      <c r="U86" s="681" t="s">
        <v>4791</v>
      </c>
      <c r="V86" s="976" t="s">
        <v>4792</v>
      </c>
      <c r="W86" s="979">
        <v>10</v>
      </c>
      <c r="X86" s="682">
        <v>44621</v>
      </c>
      <c r="Y86" s="682">
        <v>44926</v>
      </c>
      <c r="Z86" s="653">
        <v>44658</v>
      </c>
      <c r="AA86" s="654">
        <v>0.1</v>
      </c>
      <c r="AB86" s="656" t="s">
        <v>4793</v>
      </c>
      <c r="AC86" s="979" t="s">
        <v>4120</v>
      </c>
      <c r="AD86" s="656" t="s">
        <v>4794</v>
      </c>
      <c r="AE86" s="683">
        <v>44752</v>
      </c>
      <c r="AF86" s="654">
        <v>0.3</v>
      </c>
      <c r="AG86" s="654">
        <v>0.4</v>
      </c>
      <c r="AH86" s="656" t="s">
        <v>4795</v>
      </c>
      <c r="AI86" s="979" t="s">
        <v>4120</v>
      </c>
      <c r="AJ86" s="656" t="s">
        <v>4796</v>
      </c>
      <c r="AK86" s="653">
        <v>44841</v>
      </c>
      <c r="AL86" s="659">
        <v>0.3</v>
      </c>
      <c r="AM86" s="659">
        <v>0.7</v>
      </c>
      <c r="AN86" s="656" t="s">
        <v>4797</v>
      </c>
      <c r="AO86" s="979" t="s">
        <v>4120</v>
      </c>
      <c r="AP86" s="656" t="s">
        <v>4798</v>
      </c>
      <c r="AQ86" s="653">
        <v>44918</v>
      </c>
      <c r="AR86" s="654">
        <v>0.3</v>
      </c>
      <c r="AS86" s="654">
        <v>1</v>
      </c>
      <c r="AT86" s="656" t="s">
        <v>5620</v>
      </c>
      <c r="AU86" s="979" t="s">
        <v>4120</v>
      </c>
      <c r="AV86" s="656" t="s">
        <v>5621</v>
      </c>
    </row>
    <row r="87" spans="1:48" s="974" customFormat="1" ht="229.5" x14ac:dyDescent="0.2">
      <c r="A87" s="993" t="s">
        <v>4799</v>
      </c>
      <c r="B87" s="993" t="s">
        <v>4800</v>
      </c>
      <c r="C87" s="984" t="s">
        <v>4801</v>
      </c>
      <c r="D87" s="979" t="s">
        <v>4239</v>
      </c>
      <c r="E87" s="976" t="s">
        <v>4802</v>
      </c>
      <c r="F87" s="976" t="s">
        <v>4803</v>
      </c>
      <c r="G87" s="979" t="s">
        <v>4804</v>
      </c>
      <c r="H87" s="976" t="s">
        <v>4129</v>
      </c>
      <c r="I87" s="980" t="s">
        <v>4145</v>
      </c>
      <c r="J87" s="976" t="s">
        <v>4235</v>
      </c>
      <c r="K87" s="976" t="s">
        <v>4146</v>
      </c>
      <c r="L87" s="969" t="str">
        <f>VLOOKUP(J87,'[32]2. Anexos'!$B$35:$G$41,(HLOOKUP(K87,'[32]2. Anexos'!$C$35:$G$36,2,0)),0)</f>
        <v>Alto</v>
      </c>
      <c r="M87" s="1040" t="s">
        <v>4805</v>
      </c>
      <c r="N87" s="979" t="s">
        <v>4114</v>
      </c>
      <c r="O87" s="979" t="s">
        <v>4115</v>
      </c>
      <c r="P87" s="976" t="s">
        <v>4131</v>
      </c>
      <c r="Q87" s="976" t="s">
        <v>4146</v>
      </c>
      <c r="R87" s="969" t="str">
        <f>VLOOKUP(P87,'[32]2. Anexos'!$B$35:$G$41,(HLOOKUP(Q87,'[32]2. Anexos'!$C$35:$G$36,2,0)),0)</f>
        <v>Moderado</v>
      </c>
      <c r="S87" s="994" t="s">
        <v>4133</v>
      </c>
      <c r="T87" s="1040" t="s">
        <v>4805</v>
      </c>
      <c r="U87" s="976" t="s">
        <v>4806</v>
      </c>
      <c r="V87" s="976" t="s">
        <v>4807</v>
      </c>
      <c r="W87" s="1055" t="s">
        <v>4808</v>
      </c>
      <c r="X87" s="986">
        <v>44620</v>
      </c>
      <c r="Y87" s="986">
        <v>44926</v>
      </c>
      <c r="Z87" s="653">
        <v>44651</v>
      </c>
      <c r="AA87" s="654">
        <f>+(5/5)*1</f>
        <v>1</v>
      </c>
      <c r="AB87" s="1123" t="s">
        <v>4809</v>
      </c>
      <c r="AC87" s="979" t="s">
        <v>4120</v>
      </c>
      <c r="AD87" s="987" t="s">
        <v>4810</v>
      </c>
      <c r="AE87" s="655">
        <v>44742</v>
      </c>
      <c r="AF87" s="654">
        <v>1</v>
      </c>
      <c r="AG87" s="654">
        <v>1</v>
      </c>
      <c r="AH87" s="1124" t="s">
        <v>4811</v>
      </c>
      <c r="AI87" s="979" t="s">
        <v>4120</v>
      </c>
      <c r="AJ87" s="976" t="s">
        <v>4225</v>
      </c>
      <c r="AK87" s="653">
        <v>44834</v>
      </c>
      <c r="AL87" s="658">
        <v>1</v>
      </c>
      <c r="AM87" s="658">
        <v>1</v>
      </c>
      <c r="AN87" s="684" t="s">
        <v>4812</v>
      </c>
      <c r="AO87" s="657" t="s">
        <v>4120</v>
      </c>
      <c r="AP87" s="656" t="s">
        <v>4551</v>
      </c>
      <c r="AQ87" s="1081">
        <v>44925</v>
      </c>
      <c r="AR87" s="1003">
        <v>1</v>
      </c>
      <c r="AS87" s="1003">
        <v>1</v>
      </c>
      <c r="AT87" s="1125" t="s">
        <v>5622</v>
      </c>
      <c r="AU87" s="979" t="s">
        <v>4120</v>
      </c>
      <c r="AV87" s="976" t="s">
        <v>5623</v>
      </c>
    </row>
    <row r="88" spans="1:48" s="974" customFormat="1" ht="229.5" x14ac:dyDescent="0.2">
      <c r="A88" s="996"/>
      <c r="B88" s="996"/>
      <c r="C88" s="1035" t="s">
        <v>4813</v>
      </c>
      <c r="D88" s="1035" t="s">
        <v>4239</v>
      </c>
      <c r="E88" s="1035" t="s">
        <v>4814</v>
      </c>
      <c r="F88" s="997" t="s">
        <v>4815</v>
      </c>
      <c r="G88" s="963" t="s">
        <v>4816</v>
      </c>
      <c r="H88" s="1035" t="s">
        <v>4129</v>
      </c>
      <c r="I88" s="1036" t="s">
        <v>4145</v>
      </c>
      <c r="J88" s="997" t="s">
        <v>4111</v>
      </c>
      <c r="K88" s="997" t="s">
        <v>4112</v>
      </c>
      <c r="L88" s="1001" t="str">
        <f>VLOOKUP(J88,'[32]2. Anexos'!$B$35:$G$41,(HLOOKUP(K88,'[32]2. Anexos'!$C$35:$G$36,2,0)),0)</f>
        <v>Alto</v>
      </c>
      <c r="M88" s="1040" t="s">
        <v>4817</v>
      </c>
      <c r="N88" s="1126" t="s">
        <v>4114</v>
      </c>
      <c r="O88" s="1126" t="s">
        <v>4115</v>
      </c>
      <c r="P88" s="1015" t="s">
        <v>4178</v>
      </c>
      <c r="Q88" s="1015" t="s">
        <v>4112</v>
      </c>
      <c r="R88" s="1001" t="str">
        <f>VLOOKUP(P88,'[32]2. Anexos'!$B$35:$G$41,(HLOOKUP(Q88,'[32]2. Anexos'!$C$35:$G$36,2,0)),0)</f>
        <v>Alto</v>
      </c>
      <c r="S88" s="1002" t="s">
        <v>4133</v>
      </c>
      <c r="T88" s="1040" t="s">
        <v>4817</v>
      </c>
      <c r="U88" s="976" t="s">
        <v>4818</v>
      </c>
      <c r="V88" s="976" t="s">
        <v>4819</v>
      </c>
      <c r="W88" s="654">
        <v>1</v>
      </c>
      <c r="X88" s="986">
        <v>44620</v>
      </c>
      <c r="Y88" s="986">
        <v>44926</v>
      </c>
      <c r="Z88" s="653">
        <v>44651</v>
      </c>
      <c r="AA88" s="654">
        <v>1</v>
      </c>
      <c r="AB88" s="1124" t="s">
        <v>4820</v>
      </c>
      <c r="AC88" s="963" t="s">
        <v>4120</v>
      </c>
      <c r="AD88" s="976" t="s">
        <v>4810</v>
      </c>
      <c r="AE88" s="655">
        <v>44742</v>
      </c>
      <c r="AF88" s="654">
        <v>1</v>
      </c>
      <c r="AG88" s="654">
        <v>1</v>
      </c>
      <c r="AH88" s="1124" t="s">
        <v>4821</v>
      </c>
      <c r="AI88" s="963" t="s">
        <v>4120</v>
      </c>
      <c r="AJ88" s="976" t="s">
        <v>4225</v>
      </c>
      <c r="AK88" s="653">
        <v>44834</v>
      </c>
      <c r="AL88" s="658">
        <v>1</v>
      </c>
      <c r="AM88" s="658">
        <v>1</v>
      </c>
      <c r="AN88" s="684" t="s">
        <v>4822</v>
      </c>
      <c r="AO88" s="821" t="s">
        <v>4120</v>
      </c>
      <c r="AP88" s="656" t="s">
        <v>4551</v>
      </c>
      <c r="AQ88" s="1081">
        <v>44925</v>
      </c>
      <c r="AR88" s="1003">
        <v>1</v>
      </c>
      <c r="AS88" s="1003">
        <v>1</v>
      </c>
      <c r="AT88" s="1125" t="s">
        <v>5624</v>
      </c>
      <c r="AU88" s="963" t="s">
        <v>4120</v>
      </c>
      <c r="AV88" s="976" t="s">
        <v>5625</v>
      </c>
    </row>
    <row r="89" spans="1:48" s="974" customFormat="1" ht="127.5" x14ac:dyDescent="0.2">
      <c r="A89" s="996"/>
      <c r="B89" s="996"/>
      <c r="C89" s="1042"/>
      <c r="D89" s="1042"/>
      <c r="E89" s="1042"/>
      <c r="F89" s="1041"/>
      <c r="G89" s="975"/>
      <c r="H89" s="1042"/>
      <c r="I89" s="1044"/>
      <c r="J89" s="1041"/>
      <c r="K89" s="1041"/>
      <c r="L89" s="1031"/>
      <c r="M89" s="1040" t="s">
        <v>4823</v>
      </c>
      <c r="N89" s="1126" t="s">
        <v>4114</v>
      </c>
      <c r="O89" s="1126" t="s">
        <v>4115</v>
      </c>
      <c r="P89" s="1032"/>
      <c r="Q89" s="1032"/>
      <c r="R89" s="1031"/>
      <c r="S89" s="1033"/>
      <c r="T89" s="1040" t="s">
        <v>4824</v>
      </c>
      <c r="U89" s="976" t="s">
        <v>4818</v>
      </c>
      <c r="V89" s="976" t="s">
        <v>4825</v>
      </c>
      <c r="W89" s="654">
        <v>1</v>
      </c>
      <c r="X89" s="986">
        <v>44620</v>
      </c>
      <c r="Y89" s="986">
        <v>44926</v>
      </c>
      <c r="Z89" s="653">
        <v>44651</v>
      </c>
      <c r="AA89" s="654">
        <v>0</v>
      </c>
      <c r="AB89" s="976" t="s">
        <v>4826</v>
      </c>
      <c r="AC89" s="975"/>
      <c r="AD89" s="976" t="s">
        <v>4827</v>
      </c>
      <c r="AE89" s="655">
        <v>44742</v>
      </c>
      <c r="AF89" s="654">
        <v>1</v>
      </c>
      <c r="AG89" s="654">
        <v>1</v>
      </c>
      <c r="AH89" s="1124" t="s">
        <v>4828</v>
      </c>
      <c r="AI89" s="975"/>
      <c r="AJ89" s="976" t="s">
        <v>4225</v>
      </c>
      <c r="AK89" s="653">
        <v>44834</v>
      </c>
      <c r="AL89" s="658">
        <v>1</v>
      </c>
      <c r="AM89" s="658">
        <v>1</v>
      </c>
      <c r="AN89" s="684" t="s">
        <v>4829</v>
      </c>
      <c r="AO89" s="823"/>
      <c r="AP89" s="656" t="s">
        <v>4551</v>
      </c>
      <c r="AQ89" s="1081">
        <v>44925</v>
      </c>
      <c r="AR89" s="1003">
        <v>1</v>
      </c>
      <c r="AS89" s="1003">
        <v>1</v>
      </c>
      <c r="AT89" s="1125" t="s">
        <v>5626</v>
      </c>
      <c r="AU89" s="975"/>
      <c r="AV89" s="976" t="s">
        <v>5623</v>
      </c>
    </row>
    <row r="90" spans="1:48" s="974" customFormat="1" ht="114.75" x14ac:dyDescent="0.2">
      <c r="A90" s="1004"/>
      <c r="B90" s="1004"/>
      <c r="C90" s="1078"/>
      <c r="D90" s="1078"/>
      <c r="E90" s="1078"/>
      <c r="F90" s="1005"/>
      <c r="G90" s="990"/>
      <c r="H90" s="1078"/>
      <c r="I90" s="1047"/>
      <c r="J90" s="1005"/>
      <c r="K90" s="1005"/>
      <c r="L90" s="1031"/>
      <c r="M90" s="1040" t="s">
        <v>4830</v>
      </c>
      <c r="N90" s="965" t="s">
        <v>4114</v>
      </c>
      <c r="O90" s="965" t="s">
        <v>4115</v>
      </c>
      <c r="P90" s="1018"/>
      <c r="Q90" s="1018"/>
      <c r="R90" s="1009"/>
      <c r="S90" s="1010"/>
      <c r="T90" s="1040" t="s">
        <v>4830</v>
      </c>
      <c r="U90" s="976" t="s">
        <v>4818</v>
      </c>
      <c r="V90" s="976" t="s">
        <v>4831</v>
      </c>
      <c r="W90" s="995">
        <v>1</v>
      </c>
      <c r="X90" s="986">
        <v>44620</v>
      </c>
      <c r="Y90" s="986">
        <v>44926</v>
      </c>
      <c r="Z90" s="653">
        <v>44651</v>
      </c>
      <c r="AA90" s="654">
        <v>1</v>
      </c>
      <c r="AB90" s="976" t="s">
        <v>4832</v>
      </c>
      <c r="AC90" s="990"/>
      <c r="AD90" s="976" t="s">
        <v>4810</v>
      </c>
      <c r="AE90" s="655">
        <v>44742</v>
      </c>
      <c r="AF90" s="654">
        <v>1</v>
      </c>
      <c r="AG90" s="654">
        <v>1</v>
      </c>
      <c r="AH90" s="1124" t="s">
        <v>4833</v>
      </c>
      <c r="AI90" s="990"/>
      <c r="AJ90" s="976" t="s">
        <v>4225</v>
      </c>
      <c r="AK90" s="653">
        <v>44834</v>
      </c>
      <c r="AL90" s="658">
        <v>1</v>
      </c>
      <c r="AM90" s="658">
        <v>1</v>
      </c>
      <c r="AN90" s="684" t="s">
        <v>4834</v>
      </c>
      <c r="AO90" s="822"/>
      <c r="AP90" s="656" t="s">
        <v>4551</v>
      </c>
      <c r="AQ90" s="1081">
        <v>44925</v>
      </c>
      <c r="AR90" s="1003">
        <v>1</v>
      </c>
      <c r="AS90" s="1003">
        <v>1</v>
      </c>
      <c r="AT90" s="1125" t="s">
        <v>5627</v>
      </c>
      <c r="AU90" s="990"/>
      <c r="AV90" s="976" t="s">
        <v>5623</v>
      </c>
    </row>
    <row r="91" spans="1:48" s="974" customFormat="1" x14ac:dyDescent="0.2">
      <c r="A91" s="988"/>
      <c r="B91" s="988"/>
      <c r="C91" s="988"/>
      <c r="D91" s="988"/>
      <c r="E91" s="988"/>
      <c r="F91" s="976"/>
      <c r="G91" s="976"/>
      <c r="H91" s="976"/>
      <c r="I91" s="980"/>
      <c r="J91" s="976"/>
      <c r="K91" s="976"/>
      <c r="L91" s="969" t="e">
        <f>VLOOKUP(J91,'[42]2. Anexos'!$B$35:$G$41,(HLOOKUP(K91,'[42]2. Anexos'!$C$35:$G$36,2,0)),0)</f>
        <v>#N/A</v>
      </c>
      <c r="M91" s="976"/>
      <c r="N91" s="979"/>
      <c r="O91" s="979"/>
      <c r="P91" s="976"/>
      <c r="Q91" s="976"/>
      <c r="R91" s="969" t="e">
        <f>VLOOKUP(P91,'[42]2. Anexos'!$B$35:$G$41,(HLOOKUP(Q91,'[42]2. Anexos'!$C$35:$G$36,2,0)),0)</f>
        <v>#N/A</v>
      </c>
      <c r="S91" s="994"/>
      <c r="T91" s="976"/>
      <c r="U91" s="976"/>
      <c r="V91" s="984"/>
      <c r="W91" s="984"/>
      <c r="X91" s="979"/>
      <c r="Y91" s="979"/>
      <c r="Z91" s="653"/>
      <c r="AA91" s="658"/>
      <c r="AB91" s="976"/>
      <c r="AC91" s="979"/>
      <c r="AD91" s="976"/>
      <c r="AE91" s="653"/>
      <c r="AF91" s="658"/>
      <c r="AG91" s="658"/>
      <c r="AH91" s="976"/>
      <c r="AI91" s="979"/>
      <c r="AJ91" s="976"/>
      <c r="AK91" s="653"/>
      <c r="AL91" s="658"/>
      <c r="AM91" s="658"/>
      <c r="AN91" s="976"/>
      <c r="AO91" s="979"/>
      <c r="AP91" s="976"/>
      <c r="AQ91" s="653"/>
      <c r="AR91" s="658"/>
      <c r="AS91" s="658"/>
      <c r="AT91" s="976"/>
      <c r="AU91" s="979"/>
      <c r="AV91" s="976"/>
    </row>
    <row r="92" spans="1:48" x14ac:dyDescent="0.2">
      <c r="F92" s="974"/>
      <c r="G92" s="974"/>
    </row>
  </sheetData>
  <sheetProtection formatCells="0" formatColumns="0" formatRows="0" insertColumns="0" insertRows="0" insertHyperlinks="0" deleteColumns="0" deleteRows="0" sort="0" autoFilter="0" pivotTables="0"/>
  <mergeCells count="424">
    <mergeCell ref="AO88:AO90"/>
    <mergeCell ref="AU88:AU90"/>
    <mergeCell ref="P88:P90"/>
    <mergeCell ref="Q88:Q90"/>
    <mergeCell ref="R88:R90"/>
    <mergeCell ref="S88:S90"/>
    <mergeCell ref="AC88:AC90"/>
    <mergeCell ref="AI88:AI90"/>
    <mergeCell ref="G88:G90"/>
    <mergeCell ref="H88:H90"/>
    <mergeCell ref="I88:I90"/>
    <mergeCell ref="J88:J90"/>
    <mergeCell ref="K88:K90"/>
    <mergeCell ref="L88:L90"/>
    <mergeCell ref="AC84:AC85"/>
    <mergeCell ref="AI84:AI85"/>
    <mergeCell ref="AO84:AO85"/>
    <mergeCell ref="AU84:AU85"/>
    <mergeCell ref="A87:A90"/>
    <mergeCell ref="B87:B90"/>
    <mergeCell ref="C88:C90"/>
    <mergeCell ref="D88:D90"/>
    <mergeCell ref="E88:E90"/>
    <mergeCell ref="F88:F90"/>
    <mergeCell ref="K84:K85"/>
    <mergeCell ref="L84:L85"/>
    <mergeCell ref="P84:P85"/>
    <mergeCell ref="Q84:Q85"/>
    <mergeCell ref="R84:R85"/>
    <mergeCell ref="S84:S85"/>
    <mergeCell ref="E84:E85"/>
    <mergeCell ref="F84:F85"/>
    <mergeCell ref="G84:G85"/>
    <mergeCell ref="H84:H85"/>
    <mergeCell ref="I84:I85"/>
    <mergeCell ref="J84:J85"/>
    <mergeCell ref="A82:A83"/>
    <mergeCell ref="B82:B83"/>
    <mergeCell ref="A84:A85"/>
    <mergeCell ref="B84:B85"/>
    <mergeCell ref="C84:C85"/>
    <mergeCell ref="D84:D85"/>
    <mergeCell ref="Q78:Q80"/>
    <mergeCell ref="R78:R80"/>
    <mergeCell ref="S78:S80"/>
    <mergeCell ref="AC78:AC80"/>
    <mergeCell ref="AI78:AI80"/>
    <mergeCell ref="AU78:AU80"/>
    <mergeCell ref="H78:H80"/>
    <mergeCell ref="I78:I80"/>
    <mergeCell ref="J78:J80"/>
    <mergeCell ref="K78:K80"/>
    <mergeCell ref="L78:L80"/>
    <mergeCell ref="P78:P80"/>
    <mergeCell ref="A78:A81"/>
    <mergeCell ref="B78:B81"/>
    <mergeCell ref="C78:C80"/>
    <mergeCell ref="D78:D80"/>
    <mergeCell ref="E78:E80"/>
    <mergeCell ref="G78:G80"/>
    <mergeCell ref="R73:R77"/>
    <mergeCell ref="S73:S77"/>
    <mergeCell ref="AC73:AC77"/>
    <mergeCell ref="AI73:AI77"/>
    <mergeCell ref="AO73:AO77"/>
    <mergeCell ref="AU73:AU77"/>
    <mergeCell ref="I73:I77"/>
    <mergeCell ref="J73:J77"/>
    <mergeCell ref="K73:K77"/>
    <mergeCell ref="L73:L77"/>
    <mergeCell ref="P73:P77"/>
    <mergeCell ref="Q73:Q77"/>
    <mergeCell ref="AI70:AI72"/>
    <mergeCell ref="AO70:AO72"/>
    <mergeCell ref="AU70:AU72"/>
    <mergeCell ref="A73:A77"/>
    <mergeCell ref="B73:B77"/>
    <mergeCell ref="C73:C77"/>
    <mergeCell ref="D73:D77"/>
    <mergeCell ref="E73:E77"/>
    <mergeCell ref="G73:G77"/>
    <mergeCell ref="H73:H77"/>
    <mergeCell ref="L70:L72"/>
    <mergeCell ref="P70:P72"/>
    <mergeCell ref="Q70:Q72"/>
    <mergeCell ref="R70:R72"/>
    <mergeCell ref="S70:S72"/>
    <mergeCell ref="AC70:AC72"/>
    <mergeCell ref="AU68:AU69"/>
    <mergeCell ref="C70:C72"/>
    <mergeCell ref="D70:D72"/>
    <mergeCell ref="E70:E72"/>
    <mergeCell ref="F70:F72"/>
    <mergeCell ref="G70:G72"/>
    <mergeCell ref="H70:H72"/>
    <mergeCell ref="I70:I72"/>
    <mergeCell ref="J70:J72"/>
    <mergeCell ref="K70:K72"/>
    <mergeCell ref="Q68:Q69"/>
    <mergeCell ref="R68:R69"/>
    <mergeCell ref="S68:S69"/>
    <mergeCell ref="AC68:AC69"/>
    <mergeCell ref="AI68:AI69"/>
    <mergeCell ref="AO68:AO69"/>
    <mergeCell ref="H68:H69"/>
    <mergeCell ref="I68:I69"/>
    <mergeCell ref="J68:J69"/>
    <mergeCell ref="K68:K69"/>
    <mergeCell ref="L68:L69"/>
    <mergeCell ref="P68:P69"/>
    <mergeCell ref="S65:S67"/>
    <mergeCell ref="AC65:AC67"/>
    <mergeCell ref="AI65:AI67"/>
    <mergeCell ref="AO65:AO67"/>
    <mergeCell ref="AU65:AU67"/>
    <mergeCell ref="C68:C69"/>
    <mergeCell ref="D68:D69"/>
    <mergeCell ref="E68:E69"/>
    <mergeCell ref="F68:F69"/>
    <mergeCell ref="G68:G69"/>
    <mergeCell ref="J65:J67"/>
    <mergeCell ref="K65:K67"/>
    <mergeCell ref="L65:L67"/>
    <mergeCell ref="P65:P67"/>
    <mergeCell ref="Q65:Q67"/>
    <mergeCell ref="R65:R67"/>
    <mergeCell ref="AI62:AI64"/>
    <mergeCell ref="AO62:AO64"/>
    <mergeCell ref="AU62:AU64"/>
    <mergeCell ref="C65:C67"/>
    <mergeCell ref="D65:D67"/>
    <mergeCell ref="E65:E67"/>
    <mergeCell ref="F65:F67"/>
    <mergeCell ref="G65:G67"/>
    <mergeCell ref="H65:H67"/>
    <mergeCell ref="I65:I67"/>
    <mergeCell ref="L62:L64"/>
    <mergeCell ref="P62:P64"/>
    <mergeCell ref="Q62:Q64"/>
    <mergeCell ref="R62:R64"/>
    <mergeCell ref="S62:S64"/>
    <mergeCell ref="AC62:AC64"/>
    <mergeCell ref="AU60:AU61"/>
    <mergeCell ref="C62:C64"/>
    <mergeCell ref="D62:D64"/>
    <mergeCell ref="E62:E64"/>
    <mergeCell ref="F62:F64"/>
    <mergeCell ref="G62:G64"/>
    <mergeCell ref="H62:H64"/>
    <mergeCell ref="I62:I64"/>
    <mergeCell ref="J62:J64"/>
    <mergeCell ref="K62:K64"/>
    <mergeCell ref="Q60:Q61"/>
    <mergeCell ref="R60:R61"/>
    <mergeCell ref="S60:S61"/>
    <mergeCell ref="AC60:AC61"/>
    <mergeCell ref="AI60:AI61"/>
    <mergeCell ref="AO60:AO61"/>
    <mergeCell ref="H60:H61"/>
    <mergeCell ref="I60:I61"/>
    <mergeCell ref="J60:J61"/>
    <mergeCell ref="K60:K61"/>
    <mergeCell ref="L60:L61"/>
    <mergeCell ref="P60:P61"/>
    <mergeCell ref="S58:S59"/>
    <mergeCell ref="AC58:AC59"/>
    <mergeCell ref="AI58:AI59"/>
    <mergeCell ref="AO58:AO59"/>
    <mergeCell ref="AU58:AU59"/>
    <mergeCell ref="C60:C61"/>
    <mergeCell ref="D60:D61"/>
    <mergeCell ref="E60:E61"/>
    <mergeCell ref="F60:F61"/>
    <mergeCell ref="G60:G61"/>
    <mergeCell ref="J58:J59"/>
    <mergeCell ref="K58:K59"/>
    <mergeCell ref="L58:L59"/>
    <mergeCell ref="P58:P59"/>
    <mergeCell ref="Q58:Q59"/>
    <mergeCell ref="R58:R59"/>
    <mergeCell ref="AU56:AU57"/>
    <mergeCell ref="A58:A72"/>
    <mergeCell ref="B58:B72"/>
    <mergeCell ref="C58:C59"/>
    <mergeCell ref="D58:D59"/>
    <mergeCell ref="E58:E59"/>
    <mergeCell ref="F58:F59"/>
    <mergeCell ref="G58:G59"/>
    <mergeCell ref="H58:H59"/>
    <mergeCell ref="I58:I59"/>
    <mergeCell ref="N56:N57"/>
    <mergeCell ref="O56:O57"/>
    <mergeCell ref="P56:P57"/>
    <mergeCell ref="Q56:Q57"/>
    <mergeCell ref="R56:R57"/>
    <mergeCell ref="S56:S57"/>
    <mergeCell ref="G56:G57"/>
    <mergeCell ref="H56:H57"/>
    <mergeCell ref="I56:I57"/>
    <mergeCell ref="J56:J57"/>
    <mergeCell ref="K56:K57"/>
    <mergeCell ref="L56:L57"/>
    <mergeCell ref="AC50:AC52"/>
    <mergeCell ref="AI50:AI52"/>
    <mergeCell ref="AO50:AO52"/>
    <mergeCell ref="AU50:AU52"/>
    <mergeCell ref="F51:F52"/>
    <mergeCell ref="A54:A57"/>
    <mergeCell ref="B54:B57"/>
    <mergeCell ref="C56:C57"/>
    <mergeCell ref="D56:D57"/>
    <mergeCell ref="E56:E57"/>
    <mergeCell ref="K50:K52"/>
    <mergeCell ref="L50:L52"/>
    <mergeCell ref="P50:P52"/>
    <mergeCell ref="Q50:Q52"/>
    <mergeCell ref="R50:R52"/>
    <mergeCell ref="S50:S52"/>
    <mergeCell ref="AU48:AU49"/>
    <mergeCell ref="A50:A53"/>
    <mergeCell ref="B50:B53"/>
    <mergeCell ref="C50:C52"/>
    <mergeCell ref="D50:D52"/>
    <mergeCell ref="E50:E52"/>
    <mergeCell ref="G50:G52"/>
    <mergeCell ref="H50:H52"/>
    <mergeCell ref="I50:I52"/>
    <mergeCell ref="J50:J52"/>
    <mergeCell ref="Q48:Q49"/>
    <mergeCell ref="R48:R49"/>
    <mergeCell ref="S48:S49"/>
    <mergeCell ref="AB48:AB49"/>
    <mergeCell ref="AH48:AH49"/>
    <mergeCell ref="AN48:AN49"/>
    <mergeCell ref="H48:H49"/>
    <mergeCell ref="I48:I49"/>
    <mergeCell ref="J48:J49"/>
    <mergeCell ref="K48:K49"/>
    <mergeCell ref="L48:L49"/>
    <mergeCell ref="P48:P49"/>
    <mergeCell ref="S42:S44"/>
    <mergeCell ref="AB42:AB44"/>
    <mergeCell ref="AH42:AH44"/>
    <mergeCell ref="AN42:AN44"/>
    <mergeCell ref="A45:A49"/>
    <mergeCell ref="B45:B49"/>
    <mergeCell ref="C48:C49"/>
    <mergeCell ref="D48:D49"/>
    <mergeCell ref="E48:E49"/>
    <mergeCell ref="G48:G49"/>
    <mergeCell ref="J42:J44"/>
    <mergeCell ref="K42:K44"/>
    <mergeCell ref="L42:L44"/>
    <mergeCell ref="P42:P44"/>
    <mergeCell ref="Q42:Q44"/>
    <mergeCell ref="R42:R44"/>
    <mergeCell ref="AC40:AC41"/>
    <mergeCell ref="AI40:AI41"/>
    <mergeCell ref="AO40:AO41"/>
    <mergeCell ref="AU40:AU41"/>
    <mergeCell ref="C42:C44"/>
    <mergeCell ref="D42:D44"/>
    <mergeCell ref="E42:E44"/>
    <mergeCell ref="G42:G44"/>
    <mergeCell ref="H42:H44"/>
    <mergeCell ref="I42:I44"/>
    <mergeCell ref="K40:K41"/>
    <mergeCell ref="L40:L41"/>
    <mergeCell ref="P40:P41"/>
    <mergeCell ref="Q40:Q41"/>
    <mergeCell ref="R40:R41"/>
    <mergeCell ref="S40:S41"/>
    <mergeCell ref="AU38:AU39"/>
    <mergeCell ref="A40:A44"/>
    <mergeCell ref="B40:B44"/>
    <mergeCell ref="C40:C41"/>
    <mergeCell ref="D40:D41"/>
    <mergeCell ref="E40:E41"/>
    <mergeCell ref="G40:G41"/>
    <mergeCell ref="H40:H41"/>
    <mergeCell ref="I40:I41"/>
    <mergeCell ref="J40:J41"/>
    <mergeCell ref="Q38:Q39"/>
    <mergeCell ref="R38:R39"/>
    <mergeCell ref="S38:S39"/>
    <mergeCell ref="AC38:AC39"/>
    <mergeCell ref="AI38:AI39"/>
    <mergeCell ref="AO38:AO39"/>
    <mergeCell ref="H38:H39"/>
    <mergeCell ref="I38:I39"/>
    <mergeCell ref="J38:J39"/>
    <mergeCell ref="K38:K39"/>
    <mergeCell ref="L38:L39"/>
    <mergeCell ref="P38:P39"/>
    <mergeCell ref="AI29:AI32"/>
    <mergeCell ref="AO29:AO32"/>
    <mergeCell ref="AU29:AU32"/>
    <mergeCell ref="A35:A39"/>
    <mergeCell ref="B35:B39"/>
    <mergeCell ref="C38:C39"/>
    <mergeCell ref="D38:D39"/>
    <mergeCell ref="E38:E39"/>
    <mergeCell ref="F38:F39"/>
    <mergeCell ref="G38:G39"/>
    <mergeCell ref="L29:L32"/>
    <mergeCell ref="P29:P32"/>
    <mergeCell ref="Q29:Q32"/>
    <mergeCell ref="R29:R32"/>
    <mergeCell ref="S29:S32"/>
    <mergeCell ref="AC29:AC32"/>
    <mergeCell ref="F29:F32"/>
    <mergeCell ref="G29:G32"/>
    <mergeCell ref="H29:H32"/>
    <mergeCell ref="I29:I32"/>
    <mergeCell ref="J29:J32"/>
    <mergeCell ref="K29:K32"/>
    <mergeCell ref="P26:P28"/>
    <mergeCell ref="Q26:Q28"/>
    <mergeCell ref="R26:R28"/>
    <mergeCell ref="S26:S28"/>
    <mergeCell ref="AU26:AU28"/>
    <mergeCell ref="A29:A34"/>
    <mergeCell ref="B29:B34"/>
    <mergeCell ref="C29:C32"/>
    <mergeCell ref="D29:D32"/>
    <mergeCell ref="E29:E32"/>
    <mergeCell ref="AU24:AU25"/>
    <mergeCell ref="C26:C28"/>
    <mergeCell ref="D26:D28"/>
    <mergeCell ref="E26:E28"/>
    <mergeCell ref="G26:G28"/>
    <mergeCell ref="H26:H28"/>
    <mergeCell ref="I26:I28"/>
    <mergeCell ref="J26:J28"/>
    <mergeCell ref="K26:K28"/>
    <mergeCell ref="L26:L28"/>
    <mergeCell ref="Q24:Q25"/>
    <mergeCell ref="R24:R25"/>
    <mergeCell ref="S24:S25"/>
    <mergeCell ref="AC24:AC25"/>
    <mergeCell ref="AI24:AI25"/>
    <mergeCell ref="AO24:AO25"/>
    <mergeCell ref="H24:H25"/>
    <mergeCell ref="I24:I25"/>
    <mergeCell ref="J24:J25"/>
    <mergeCell ref="K24:K25"/>
    <mergeCell ref="L24:L25"/>
    <mergeCell ref="P24:P25"/>
    <mergeCell ref="A23:A28"/>
    <mergeCell ref="B23:B28"/>
    <mergeCell ref="C24:C25"/>
    <mergeCell ref="D24:D25"/>
    <mergeCell ref="E24:E25"/>
    <mergeCell ref="G24:G25"/>
    <mergeCell ref="S19:S20"/>
    <mergeCell ref="AC19:AC20"/>
    <mergeCell ref="AI19:AI20"/>
    <mergeCell ref="AO19:AO20"/>
    <mergeCell ref="AU19:AU20"/>
    <mergeCell ref="A21:A22"/>
    <mergeCell ref="B21:B22"/>
    <mergeCell ref="J19:J20"/>
    <mergeCell ref="K19:K20"/>
    <mergeCell ref="L19:L20"/>
    <mergeCell ref="P19:P20"/>
    <mergeCell ref="Q19:Q20"/>
    <mergeCell ref="R19:R20"/>
    <mergeCell ref="AU16:AU17"/>
    <mergeCell ref="A19:A20"/>
    <mergeCell ref="B19:B20"/>
    <mergeCell ref="C19:C20"/>
    <mergeCell ref="D19:D20"/>
    <mergeCell ref="E19:E20"/>
    <mergeCell ref="F19:F20"/>
    <mergeCell ref="G19:G20"/>
    <mergeCell ref="H19:H20"/>
    <mergeCell ref="I19:I20"/>
    <mergeCell ref="Q16:Q17"/>
    <mergeCell ref="R16:R17"/>
    <mergeCell ref="S16:S17"/>
    <mergeCell ref="AC16:AC17"/>
    <mergeCell ref="AI16:AI17"/>
    <mergeCell ref="AO16:AO17"/>
    <mergeCell ref="H16:H17"/>
    <mergeCell ref="I16:I17"/>
    <mergeCell ref="J16:J17"/>
    <mergeCell ref="K16:K17"/>
    <mergeCell ref="L16:L17"/>
    <mergeCell ref="P16:P17"/>
    <mergeCell ref="AK9:AP9"/>
    <mergeCell ref="AQ9:AV9"/>
    <mergeCell ref="A11:A14"/>
    <mergeCell ref="B11:B14"/>
    <mergeCell ref="A15:A17"/>
    <mergeCell ref="B15:B17"/>
    <mergeCell ref="C16:C17"/>
    <mergeCell ref="D16:D17"/>
    <mergeCell ref="E16:E17"/>
    <mergeCell ref="G16:G17"/>
    <mergeCell ref="O9:O10"/>
    <mergeCell ref="P9:R9"/>
    <mergeCell ref="S9:S10"/>
    <mergeCell ref="T9:Y9"/>
    <mergeCell ref="Z9:AD9"/>
    <mergeCell ref="AE9:AJ9"/>
    <mergeCell ref="G9:G10"/>
    <mergeCell ref="H9:H10"/>
    <mergeCell ref="I9:I10"/>
    <mergeCell ref="J9:L9"/>
    <mergeCell ref="M9:M10"/>
    <mergeCell ref="N9:N10"/>
    <mergeCell ref="A9:A10"/>
    <mergeCell ref="B9:B10"/>
    <mergeCell ref="C9:C10"/>
    <mergeCell ref="D9:D10"/>
    <mergeCell ref="E9:E10"/>
    <mergeCell ref="F9:F10"/>
    <mergeCell ref="A1:B4"/>
    <mergeCell ref="C1:AT4"/>
    <mergeCell ref="A5:AU5"/>
    <mergeCell ref="A6:B6"/>
    <mergeCell ref="A8:L8"/>
    <mergeCell ref="M8:Y8"/>
    <mergeCell ref="Z8:AV8"/>
  </mergeCells>
  <conditionalFormatting sqref="L91">
    <cfRule type="containsText" dxfId="236" priority="234" operator="containsText" text="Bajo">
      <formula>NOT(ISERROR(SEARCH("Bajo",L91)))</formula>
    </cfRule>
    <cfRule type="containsText" dxfId="235" priority="235" operator="containsText" text="Moderado">
      <formula>NOT(ISERROR(SEARCH("Moderado",L91)))</formula>
    </cfRule>
    <cfRule type="containsText" dxfId="234" priority="236" operator="containsText" text="Alto">
      <formula>NOT(ISERROR(SEARCH("Alto",L91)))</formula>
    </cfRule>
    <cfRule type="containsText" dxfId="233" priority="237" operator="containsText" text="Extremo">
      <formula>NOT(ISERROR(SEARCH("Extremo",L91)))</formula>
    </cfRule>
  </conditionalFormatting>
  <conditionalFormatting sqref="R91">
    <cfRule type="containsText" dxfId="232" priority="230" operator="containsText" text="Bajo">
      <formula>NOT(ISERROR(SEARCH("Bajo",R91)))</formula>
    </cfRule>
    <cfRule type="containsText" dxfId="231" priority="231" operator="containsText" text="Moderado">
      <formula>NOT(ISERROR(SEARCH("Moderado",R91)))</formula>
    </cfRule>
    <cfRule type="containsText" dxfId="230" priority="232" operator="containsText" text="Alto">
      <formula>NOT(ISERROR(SEARCH("Alto",R91)))</formula>
    </cfRule>
    <cfRule type="containsText" dxfId="229" priority="233" operator="containsText" text="Extremo">
      <formula>NOT(ISERROR(SEARCH("Extremo",R91)))</formula>
    </cfRule>
  </conditionalFormatting>
  <conditionalFormatting sqref="L54">
    <cfRule type="containsText" dxfId="228" priority="226" operator="containsText" text="Bajo">
      <formula>NOT(ISERROR(SEARCH("Bajo",L54)))</formula>
    </cfRule>
    <cfRule type="containsText" dxfId="227" priority="227" operator="containsText" text="Moderado">
      <formula>NOT(ISERROR(SEARCH("Moderado",L54)))</formula>
    </cfRule>
    <cfRule type="containsText" dxfId="226" priority="228" operator="containsText" text="Alto">
      <formula>NOT(ISERROR(SEARCH("Alto",L54)))</formula>
    </cfRule>
    <cfRule type="containsText" dxfId="225" priority="229" operator="containsText" text="Extremo">
      <formula>NOT(ISERROR(SEARCH("Extremo",L54)))</formula>
    </cfRule>
  </conditionalFormatting>
  <conditionalFormatting sqref="R54">
    <cfRule type="containsText" dxfId="224" priority="222" operator="containsText" text="Bajo">
      <formula>NOT(ISERROR(SEARCH("Bajo",R54)))</formula>
    </cfRule>
    <cfRule type="containsText" dxfId="223" priority="223" operator="containsText" text="Moderado">
      <formula>NOT(ISERROR(SEARCH("Moderado",R54)))</formula>
    </cfRule>
    <cfRule type="containsText" dxfId="222" priority="224" operator="containsText" text="Alto">
      <formula>NOT(ISERROR(SEARCH("Alto",R54)))</formula>
    </cfRule>
    <cfRule type="containsText" dxfId="221" priority="225" operator="containsText" text="Extremo">
      <formula>NOT(ISERROR(SEARCH("Extremo",R54)))</formula>
    </cfRule>
  </conditionalFormatting>
  <conditionalFormatting sqref="L55">
    <cfRule type="containsText" dxfId="220" priority="218" operator="containsText" text="Bajo">
      <formula>NOT(ISERROR(SEARCH("Bajo",L55)))</formula>
    </cfRule>
    <cfRule type="containsText" dxfId="219" priority="219" operator="containsText" text="Moderado">
      <formula>NOT(ISERROR(SEARCH("Moderado",L55)))</formula>
    </cfRule>
    <cfRule type="containsText" dxfId="218" priority="220" operator="containsText" text="Alto">
      <formula>NOT(ISERROR(SEARCH("Alto",L55)))</formula>
    </cfRule>
    <cfRule type="containsText" dxfId="217" priority="221" operator="containsText" text="Extremo">
      <formula>NOT(ISERROR(SEARCH("Extremo",L55)))</formula>
    </cfRule>
  </conditionalFormatting>
  <conditionalFormatting sqref="R55">
    <cfRule type="containsText" dxfId="216" priority="214" operator="containsText" text="Bajo">
      <formula>NOT(ISERROR(SEARCH("Bajo",R55)))</formula>
    </cfRule>
    <cfRule type="containsText" dxfId="215" priority="215" operator="containsText" text="Moderado">
      <formula>NOT(ISERROR(SEARCH("Moderado",R55)))</formula>
    </cfRule>
    <cfRule type="containsText" dxfId="214" priority="216" operator="containsText" text="Alto">
      <formula>NOT(ISERROR(SEARCH("Alto",R55)))</formula>
    </cfRule>
    <cfRule type="containsText" dxfId="213" priority="217" operator="containsText" text="Extremo">
      <formula>NOT(ISERROR(SEARCH("Extremo",R55)))</formula>
    </cfRule>
  </conditionalFormatting>
  <conditionalFormatting sqref="R35 L35:L38 R38">
    <cfRule type="containsText" dxfId="212" priority="210" operator="containsText" text="Bajo">
      <formula>NOT(ISERROR(SEARCH("Bajo",L35)))</formula>
    </cfRule>
    <cfRule type="containsText" dxfId="211" priority="211" operator="containsText" text="Moderado">
      <formula>NOT(ISERROR(SEARCH("Moderado",L35)))</formula>
    </cfRule>
    <cfRule type="containsText" dxfId="210" priority="212" operator="containsText" text="Alto">
      <formula>NOT(ISERROR(SEARCH("Alto",L35)))</formula>
    </cfRule>
    <cfRule type="containsText" dxfId="209" priority="213" operator="containsText" text="Extremo">
      <formula>NOT(ISERROR(SEARCH("Extremo",L35)))</formula>
    </cfRule>
  </conditionalFormatting>
  <conditionalFormatting sqref="K37">
    <cfRule type="duplicateValues" dxfId="208" priority="209"/>
  </conditionalFormatting>
  <conditionalFormatting sqref="P35:Q35">
    <cfRule type="duplicateValues" dxfId="207" priority="208"/>
  </conditionalFormatting>
  <conditionalFormatting sqref="R36:R37">
    <cfRule type="containsText" dxfId="206" priority="204" operator="containsText" text="Bajo">
      <formula>NOT(ISERROR(SEARCH("Bajo",R36)))</formula>
    </cfRule>
    <cfRule type="containsText" dxfId="205" priority="205" operator="containsText" text="Moderado">
      <formula>NOT(ISERROR(SEARCH("Moderado",R36)))</formula>
    </cfRule>
    <cfRule type="containsText" dxfId="204" priority="206" operator="containsText" text="Alto">
      <formula>NOT(ISERROR(SEARCH("Alto",R36)))</formula>
    </cfRule>
    <cfRule type="containsText" dxfId="203" priority="207" operator="containsText" text="Extremo">
      <formula>NOT(ISERROR(SEARCH("Extremo",R36)))</formula>
    </cfRule>
  </conditionalFormatting>
  <conditionalFormatting sqref="L82:L83">
    <cfRule type="containsText" dxfId="202" priority="200" operator="containsText" text="Bajo">
      <formula>NOT(ISERROR(SEARCH("Bajo",L82)))</formula>
    </cfRule>
    <cfRule type="containsText" dxfId="201" priority="201" operator="containsText" text="Moderado">
      <formula>NOT(ISERROR(SEARCH("Moderado",L82)))</formula>
    </cfRule>
    <cfRule type="containsText" dxfId="200" priority="202" operator="containsText" text="Alto">
      <formula>NOT(ISERROR(SEARCH("Alto",L82)))</formula>
    </cfRule>
    <cfRule type="containsText" dxfId="199" priority="203" operator="containsText" text="Extremo">
      <formula>NOT(ISERROR(SEARCH("Extremo",L82)))</formula>
    </cfRule>
  </conditionalFormatting>
  <conditionalFormatting sqref="R82:R83">
    <cfRule type="containsText" dxfId="198" priority="196" operator="containsText" text="Bajo">
      <formula>NOT(ISERROR(SEARCH("Bajo",R82)))</formula>
    </cfRule>
    <cfRule type="containsText" dxfId="197" priority="197" operator="containsText" text="Moderado">
      <formula>NOT(ISERROR(SEARCH("Moderado",R82)))</formula>
    </cfRule>
    <cfRule type="containsText" dxfId="196" priority="198" operator="containsText" text="Alto">
      <formula>NOT(ISERROR(SEARCH("Alto",R82)))</formula>
    </cfRule>
    <cfRule type="containsText" dxfId="195" priority="199" operator="containsText" text="Extremo">
      <formula>NOT(ISERROR(SEARCH("Extremo",R82)))</formula>
    </cfRule>
  </conditionalFormatting>
  <conditionalFormatting sqref="P83:Q83">
    <cfRule type="duplicateValues" dxfId="194" priority="195"/>
  </conditionalFormatting>
  <conditionalFormatting sqref="L18">
    <cfRule type="containsText" dxfId="193" priority="191" operator="containsText" text="Bajo">
      <formula>NOT(ISERROR(SEARCH("Bajo",L18)))</formula>
    </cfRule>
    <cfRule type="containsText" dxfId="192" priority="192" operator="containsText" text="Moderado">
      <formula>NOT(ISERROR(SEARCH("Moderado",L18)))</formula>
    </cfRule>
    <cfRule type="containsText" dxfId="191" priority="193" operator="containsText" text="Alto">
      <formula>NOT(ISERROR(SEARCH("Alto",L18)))</formula>
    </cfRule>
    <cfRule type="containsText" dxfId="190" priority="194" operator="containsText" text="Extremo">
      <formula>NOT(ISERROR(SEARCH("Extremo",L18)))</formula>
    </cfRule>
  </conditionalFormatting>
  <conditionalFormatting sqref="R18">
    <cfRule type="containsText" dxfId="189" priority="187" operator="containsText" text="Bajo">
      <formula>NOT(ISERROR(SEARCH("Bajo",R18)))</formula>
    </cfRule>
    <cfRule type="containsText" dxfId="188" priority="188" operator="containsText" text="Moderado">
      <formula>NOT(ISERROR(SEARCH("Moderado",R18)))</formula>
    </cfRule>
    <cfRule type="containsText" dxfId="187" priority="189" operator="containsText" text="Alto">
      <formula>NOT(ISERROR(SEARCH("Alto",R18)))</formula>
    </cfRule>
    <cfRule type="containsText" dxfId="186" priority="190" operator="containsText" text="Extremo">
      <formula>NOT(ISERROR(SEARCH("Extremo",R18)))</formula>
    </cfRule>
  </conditionalFormatting>
  <conditionalFormatting sqref="L15:L16">
    <cfRule type="containsText" dxfId="185" priority="183" operator="containsText" text="Bajo">
      <formula>NOT(ISERROR(SEARCH("Bajo",L15)))</formula>
    </cfRule>
    <cfRule type="containsText" dxfId="184" priority="184" operator="containsText" text="Moderado">
      <formula>NOT(ISERROR(SEARCH("Moderado",L15)))</formula>
    </cfRule>
    <cfRule type="containsText" dxfId="183" priority="185" operator="containsText" text="Alto">
      <formula>NOT(ISERROR(SEARCH("Alto",L15)))</formula>
    </cfRule>
    <cfRule type="containsText" dxfId="182" priority="186" operator="containsText" text="Extremo">
      <formula>NOT(ISERROR(SEARCH("Extremo",L15)))</formula>
    </cfRule>
  </conditionalFormatting>
  <conditionalFormatting sqref="R15:R16">
    <cfRule type="containsText" dxfId="181" priority="179" operator="containsText" text="Bajo">
      <formula>NOT(ISERROR(SEARCH("Bajo",R15)))</formula>
    </cfRule>
    <cfRule type="containsText" dxfId="180" priority="180" operator="containsText" text="Moderado">
      <formula>NOT(ISERROR(SEARCH("Moderado",R15)))</formula>
    </cfRule>
    <cfRule type="containsText" dxfId="179" priority="181" operator="containsText" text="Alto">
      <formula>NOT(ISERROR(SEARCH("Alto",R15)))</formula>
    </cfRule>
    <cfRule type="containsText" dxfId="178" priority="182" operator="containsText" text="Extremo">
      <formula>NOT(ISERROR(SEARCH("Extremo",R15)))</formula>
    </cfRule>
  </conditionalFormatting>
  <conditionalFormatting sqref="P16:Q16">
    <cfRule type="duplicateValues" dxfId="177" priority="178"/>
  </conditionalFormatting>
  <conditionalFormatting sqref="L73 R73">
    <cfRule type="containsText" dxfId="176" priority="174" operator="containsText" text="Bajo">
      <formula>NOT(ISERROR(SEARCH("Bajo",L73)))</formula>
    </cfRule>
    <cfRule type="containsText" dxfId="175" priority="175" operator="containsText" text="Moderado">
      <formula>NOT(ISERROR(SEARCH("Moderado",L73)))</formula>
    </cfRule>
    <cfRule type="containsText" dxfId="174" priority="176" operator="containsText" text="Alto">
      <formula>NOT(ISERROR(SEARCH("Alto",L73)))</formula>
    </cfRule>
    <cfRule type="containsText" dxfId="173" priority="177" operator="containsText" text="Extremo">
      <formula>NOT(ISERROR(SEARCH("Extremo",L73)))</formula>
    </cfRule>
  </conditionalFormatting>
  <conditionalFormatting sqref="P73:Q73">
    <cfRule type="duplicateValues" dxfId="172" priority="173"/>
  </conditionalFormatting>
  <conditionalFormatting sqref="L78:L80">
    <cfRule type="containsText" dxfId="171" priority="169" operator="containsText" text="Bajo">
      <formula>NOT(ISERROR(SEARCH("Bajo",L78)))</formula>
    </cfRule>
    <cfRule type="containsText" dxfId="170" priority="170" operator="containsText" text="Moderado">
      <formula>NOT(ISERROR(SEARCH("Moderado",L78)))</formula>
    </cfRule>
    <cfRule type="containsText" dxfId="169" priority="171" operator="containsText" text="Alto">
      <formula>NOT(ISERROR(SEARCH("Alto",L78)))</formula>
    </cfRule>
    <cfRule type="containsText" dxfId="168" priority="172" operator="containsText" text="Extremo">
      <formula>NOT(ISERROR(SEARCH("Extremo",L78)))</formula>
    </cfRule>
  </conditionalFormatting>
  <conditionalFormatting sqref="L81">
    <cfRule type="containsText" dxfId="167" priority="165" operator="containsText" text="Bajo">
      <formula>NOT(ISERROR(SEARCH("Bajo",L81)))</formula>
    </cfRule>
    <cfRule type="containsText" dxfId="166" priority="166" operator="containsText" text="Moderado">
      <formula>NOT(ISERROR(SEARCH("Moderado",L81)))</formula>
    </cfRule>
    <cfRule type="containsText" dxfId="165" priority="167" operator="containsText" text="Alto">
      <formula>NOT(ISERROR(SEARCH("Alto",L81)))</formula>
    </cfRule>
    <cfRule type="containsText" dxfId="164" priority="168" operator="containsText" text="Extremo">
      <formula>NOT(ISERROR(SEARCH("Extremo",L81)))</formula>
    </cfRule>
  </conditionalFormatting>
  <conditionalFormatting sqref="R78:R80">
    <cfRule type="containsText" dxfId="163" priority="161" operator="containsText" text="Bajo">
      <formula>NOT(ISERROR(SEARCH("Bajo",R78)))</formula>
    </cfRule>
    <cfRule type="containsText" dxfId="162" priority="162" operator="containsText" text="Moderado">
      <formula>NOT(ISERROR(SEARCH("Moderado",R78)))</formula>
    </cfRule>
    <cfRule type="containsText" dxfId="161" priority="163" operator="containsText" text="Alto">
      <formula>NOT(ISERROR(SEARCH("Alto",R78)))</formula>
    </cfRule>
    <cfRule type="containsText" dxfId="160" priority="164" operator="containsText" text="Extremo">
      <formula>NOT(ISERROR(SEARCH("Extremo",R78)))</formula>
    </cfRule>
  </conditionalFormatting>
  <conditionalFormatting sqref="R81">
    <cfRule type="containsText" dxfId="159" priority="157" operator="containsText" text="Bajo">
      <formula>NOT(ISERROR(SEARCH("Bajo",R81)))</formula>
    </cfRule>
    <cfRule type="containsText" dxfId="158" priority="158" operator="containsText" text="Moderado">
      <formula>NOT(ISERROR(SEARCH("Moderado",R81)))</formula>
    </cfRule>
    <cfRule type="containsText" dxfId="157" priority="159" operator="containsText" text="Alto">
      <formula>NOT(ISERROR(SEARCH("Alto",R81)))</formula>
    </cfRule>
    <cfRule type="containsText" dxfId="156" priority="160" operator="containsText" text="Extremo">
      <formula>NOT(ISERROR(SEARCH("Extremo",R81)))</formula>
    </cfRule>
  </conditionalFormatting>
  <conditionalFormatting sqref="L86 R86">
    <cfRule type="containsText" dxfId="155" priority="153" operator="containsText" text="Bajo">
      <formula>NOT(ISERROR(SEARCH("Bajo",L86)))</formula>
    </cfRule>
    <cfRule type="containsText" dxfId="154" priority="154" operator="containsText" text="Moderado">
      <formula>NOT(ISERROR(SEARCH("Moderado",L86)))</formula>
    </cfRule>
    <cfRule type="containsText" dxfId="153" priority="155" operator="containsText" text="Alto">
      <formula>NOT(ISERROR(SEARCH("Alto",L86)))</formula>
    </cfRule>
    <cfRule type="containsText" dxfId="152" priority="156" operator="containsText" text="Extremo">
      <formula>NOT(ISERROR(SEARCH("Extremo",L86)))</formula>
    </cfRule>
  </conditionalFormatting>
  <conditionalFormatting sqref="P86:Q86">
    <cfRule type="duplicateValues" dxfId="151" priority="152"/>
  </conditionalFormatting>
  <conditionalFormatting sqref="L19">
    <cfRule type="containsText" dxfId="150" priority="148" operator="containsText" text="Bajo">
      <formula>NOT(ISERROR(SEARCH("Bajo",L19)))</formula>
    </cfRule>
    <cfRule type="containsText" dxfId="149" priority="149" operator="containsText" text="Moderado">
      <formula>NOT(ISERROR(SEARCH("Moderado",L19)))</formula>
    </cfRule>
    <cfRule type="containsText" dxfId="148" priority="150" operator="containsText" text="Alto">
      <formula>NOT(ISERROR(SEARCH("Alto",L19)))</formula>
    </cfRule>
    <cfRule type="containsText" dxfId="147" priority="151" operator="containsText" text="Extremo">
      <formula>NOT(ISERROR(SEARCH("Extremo",L19)))</formula>
    </cfRule>
  </conditionalFormatting>
  <conditionalFormatting sqref="R19">
    <cfRule type="containsText" dxfId="146" priority="144" operator="containsText" text="Bajo">
      <formula>NOT(ISERROR(SEARCH("Bajo",R19)))</formula>
    </cfRule>
    <cfRule type="containsText" dxfId="145" priority="145" operator="containsText" text="Moderado">
      <formula>NOT(ISERROR(SEARCH("Moderado",R19)))</formula>
    </cfRule>
    <cfRule type="containsText" dxfId="144" priority="146" operator="containsText" text="Alto">
      <formula>NOT(ISERROR(SEARCH("Alto",R19)))</formula>
    </cfRule>
    <cfRule type="containsText" dxfId="143" priority="147" operator="containsText" text="Extremo">
      <formula>NOT(ISERROR(SEARCH("Extremo",R19)))</formula>
    </cfRule>
  </conditionalFormatting>
  <conditionalFormatting sqref="L87:L88">
    <cfRule type="containsText" dxfId="142" priority="140" operator="containsText" text="Bajo">
      <formula>NOT(ISERROR(SEARCH("Bajo",L87)))</formula>
    </cfRule>
    <cfRule type="containsText" dxfId="141" priority="141" operator="containsText" text="Moderado">
      <formula>NOT(ISERROR(SEARCH("Moderado",L87)))</formula>
    </cfRule>
    <cfRule type="containsText" dxfId="140" priority="142" operator="containsText" text="Alto">
      <formula>NOT(ISERROR(SEARCH("Alto",L87)))</formula>
    </cfRule>
    <cfRule type="containsText" dxfId="139" priority="143" operator="containsText" text="Extremo">
      <formula>NOT(ISERROR(SEARCH("Extremo",L87)))</formula>
    </cfRule>
  </conditionalFormatting>
  <conditionalFormatting sqref="R87:R88">
    <cfRule type="containsText" dxfId="138" priority="136" operator="containsText" text="Bajo">
      <formula>NOT(ISERROR(SEARCH("Bajo",R87)))</formula>
    </cfRule>
    <cfRule type="containsText" dxfId="137" priority="137" operator="containsText" text="Moderado">
      <formula>NOT(ISERROR(SEARCH("Moderado",R87)))</formula>
    </cfRule>
    <cfRule type="containsText" dxfId="136" priority="138" operator="containsText" text="Alto">
      <formula>NOT(ISERROR(SEARCH("Alto",R87)))</formula>
    </cfRule>
    <cfRule type="containsText" dxfId="135" priority="139" operator="containsText" text="Extremo">
      <formula>NOT(ISERROR(SEARCH("Extremo",R87)))</formula>
    </cfRule>
  </conditionalFormatting>
  <conditionalFormatting sqref="P88:Q88">
    <cfRule type="duplicateValues" dxfId="134" priority="135"/>
  </conditionalFormatting>
  <conditionalFormatting sqref="L58 L60 L62 L65 L68 L70">
    <cfRule type="containsText" dxfId="133" priority="131" operator="containsText" text="Bajo">
      <formula>NOT(ISERROR(SEARCH("Bajo",L58)))</formula>
    </cfRule>
    <cfRule type="containsText" dxfId="132" priority="132" operator="containsText" text="Moderado">
      <formula>NOT(ISERROR(SEARCH("Moderado",L58)))</formula>
    </cfRule>
    <cfRule type="containsText" dxfId="131" priority="133" operator="containsText" text="Alto">
      <formula>NOT(ISERROR(SEARCH("Alto",L58)))</formula>
    </cfRule>
    <cfRule type="containsText" dxfId="130" priority="134" operator="containsText" text="Extremo">
      <formula>NOT(ISERROR(SEARCH("Extremo",L58)))</formula>
    </cfRule>
  </conditionalFormatting>
  <conditionalFormatting sqref="R58 R62 R65 R68 R70">
    <cfRule type="containsText" dxfId="129" priority="127" operator="containsText" text="Bajo">
      <formula>NOT(ISERROR(SEARCH("Bajo",R58)))</formula>
    </cfRule>
    <cfRule type="containsText" dxfId="128" priority="128" operator="containsText" text="Moderado">
      <formula>NOT(ISERROR(SEARCH("Moderado",R58)))</formula>
    </cfRule>
    <cfRule type="containsText" dxfId="127" priority="129" operator="containsText" text="Alto">
      <formula>NOT(ISERROR(SEARCH("Alto",R58)))</formula>
    </cfRule>
    <cfRule type="containsText" dxfId="126" priority="130" operator="containsText" text="Extremo">
      <formula>NOT(ISERROR(SEARCH("Extremo",R58)))</formula>
    </cfRule>
  </conditionalFormatting>
  <conditionalFormatting sqref="R60">
    <cfRule type="containsText" dxfId="125" priority="123" operator="containsText" text="Bajo">
      <formula>NOT(ISERROR(SEARCH("Bajo",R60)))</formula>
    </cfRule>
    <cfRule type="containsText" dxfId="124" priority="124" operator="containsText" text="Moderado">
      <formula>NOT(ISERROR(SEARCH("Moderado",R60)))</formula>
    </cfRule>
    <cfRule type="containsText" dxfId="123" priority="125" operator="containsText" text="Alto">
      <formula>NOT(ISERROR(SEARCH("Alto",R60)))</formula>
    </cfRule>
    <cfRule type="containsText" dxfId="122" priority="126" operator="containsText" text="Extremo">
      <formula>NOT(ISERROR(SEARCH("Extremo",R60)))</formula>
    </cfRule>
  </conditionalFormatting>
  <conditionalFormatting sqref="L40">
    <cfRule type="containsText" dxfId="121" priority="119" operator="containsText" text="Bajo">
      <formula>NOT(ISERROR(SEARCH("Bajo",L40)))</formula>
    </cfRule>
    <cfRule type="containsText" dxfId="120" priority="120" operator="containsText" text="Moderado">
      <formula>NOT(ISERROR(SEARCH("Moderado",L40)))</formula>
    </cfRule>
    <cfRule type="containsText" dxfId="119" priority="121" operator="containsText" text="Alto">
      <formula>NOT(ISERROR(SEARCH("Alto",L40)))</formula>
    </cfRule>
    <cfRule type="containsText" dxfId="118" priority="122" operator="containsText" text="Extremo">
      <formula>NOT(ISERROR(SEARCH("Extremo",L40)))</formula>
    </cfRule>
  </conditionalFormatting>
  <conditionalFormatting sqref="R40">
    <cfRule type="containsText" dxfId="117" priority="115" operator="containsText" text="Bajo">
      <formula>NOT(ISERROR(SEARCH("Bajo",R40)))</formula>
    </cfRule>
    <cfRule type="containsText" dxfId="116" priority="116" operator="containsText" text="Moderado">
      <formula>NOT(ISERROR(SEARCH("Moderado",R40)))</formula>
    </cfRule>
    <cfRule type="containsText" dxfId="115" priority="117" operator="containsText" text="Alto">
      <formula>NOT(ISERROR(SEARCH("Alto",R40)))</formula>
    </cfRule>
    <cfRule type="containsText" dxfId="114" priority="118" operator="containsText" text="Extremo">
      <formula>NOT(ISERROR(SEARCH("Extremo",R40)))</formula>
    </cfRule>
  </conditionalFormatting>
  <conditionalFormatting sqref="L45:L47">
    <cfRule type="containsText" dxfId="113" priority="111" operator="containsText" text="Bajo">
      <formula>NOT(ISERROR(SEARCH("Bajo",L45)))</formula>
    </cfRule>
    <cfRule type="containsText" dxfId="112" priority="112" operator="containsText" text="Moderado">
      <formula>NOT(ISERROR(SEARCH("Moderado",L45)))</formula>
    </cfRule>
    <cfRule type="containsText" dxfId="111" priority="113" operator="containsText" text="Alto">
      <formula>NOT(ISERROR(SEARCH("Alto",L45)))</formula>
    </cfRule>
    <cfRule type="containsText" dxfId="110" priority="114" operator="containsText" text="Extremo">
      <formula>NOT(ISERROR(SEARCH("Extremo",L45)))</formula>
    </cfRule>
  </conditionalFormatting>
  <conditionalFormatting sqref="R45:R46">
    <cfRule type="containsText" dxfId="109" priority="107" operator="containsText" text="Bajo">
      <formula>NOT(ISERROR(SEARCH("Bajo",R45)))</formula>
    </cfRule>
    <cfRule type="containsText" dxfId="108" priority="108" operator="containsText" text="Moderado">
      <formula>NOT(ISERROR(SEARCH("Moderado",R45)))</formula>
    </cfRule>
    <cfRule type="containsText" dxfId="107" priority="109" operator="containsText" text="Alto">
      <formula>NOT(ISERROR(SEARCH("Alto",R45)))</formula>
    </cfRule>
    <cfRule type="containsText" dxfId="106" priority="110" operator="containsText" text="Extremo">
      <formula>NOT(ISERROR(SEARCH("Extremo",R45)))</formula>
    </cfRule>
  </conditionalFormatting>
  <conditionalFormatting sqref="P46">
    <cfRule type="duplicateValues" dxfId="105" priority="106"/>
  </conditionalFormatting>
  <conditionalFormatting sqref="R47">
    <cfRule type="containsText" dxfId="104" priority="102" operator="containsText" text="Bajo">
      <formula>NOT(ISERROR(SEARCH("Bajo",R47)))</formula>
    </cfRule>
    <cfRule type="containsText" dxfId="103" priority="103" operator="containsText" text="Moderado">
      <formula>NOT(ISERROR(SEARCH("Moderado",R47)))</formula>
    </cfRule>
    <cfRule type="containsText" dxfId="102" priority="104" operator="containsText" text="Alto">
      <formula>NOT(ISERROR(SEARCH("Alto",R47)))</formula>
    </cfRule>
    <cfRule type="containsText" dxfId="101" priority="105" operator="containsText" text="Extremo">
      <formula>NOT(ISERROR(SEARCH("Extremo",R47)))</formula>
    </cfRule>
  </conditionalFormatting>
  <conditionalFormatting sqref="Q46">
    <cfRule type="duplicateValues" dxfId="100" priority="101"/>
  </conditionalFormatting>
  <conditionalFormatting sqref="L21">
    <cfRule type="containsText" dxfId="99" priority="97" operator="containsText" text="Bajo">
      <formula>NOT(ISERROR(SEARCH("Bajo",L21)))</formula>
    </cfRule>
    <cfRule type="containsText" dxfId="98" priority="98" operator="containsText" text="Moderado">
      <formula>NOT(ISERROR(SEARCH("Moderado",L21)))</formula>
    </cfRule>
    <cfRule type="containsText" dxfId="97" priority="99" operator="containsText" text="Alto">
      <formula>NOT(ISERROR(SEARCH("Alto",L21)))</formula>
    </cfRule>
    <cfRule type="containsText" dxfId="96" priority="100" operator="containsText" text="Extremo">
      <formula>NOT(ISERROR(SEARCH("Extremo",L21)))</formula>
    </cfRule>
  </conditionalFormatting>
  <conditionalFormatting sqref="R21">
    <cfRule type="containsText" dxfId="95" priority="93" operator="containsText" text="Bajo">
      <formula>NOT(ISERROR(SEARCH("Bajo",R21)))</formula>
    </cfRule>
    <cfRule type="containsText" dxfId="94" priority="94" operator="containsText" text="Moderado">
      <formula>NOT(ISERROR(SEARCH("Moderado",R21)))</formula>
    </cfRule>
    <cfRule type="containsText" dxfId="93" priority="95" operator="containsText" text="Alto">
      <formula>NOT(ISERROR(SEARCH("Alto",R21)))</formula>
    </cfRule>
    <cfRule type="containsText" dxfId="92" priority="96" operator="containsText" text="Extremo">
      <formula>NOT(ISERROR(SEARCH("Extremo",R21)))</formula>
    </cfRule>
  </conditionalFormatting>
  <conditionalFormatting sqref="L22">
    <cfRule type="containsText" dxfId="91" priority="89" operator="containsText" text="Bajo">
      <formula>NOT(ISERROR(SEARCH("Bajo",L22)))</formula>
    </cfRule>
    <cfRule type="containsText" dxfId="90" priority="90" operator="containsText" text="Moderado">
      <formula>NOT(ISERROR(SEARCH("Moderado",L22)))</formula>
    </cfRule>
    <cfRule type="containsText" dxfId="89" priority="91" operator="containsText" text="Alto">
      <formula>NOT(ISERROR(SEARCH("Alto",L22)))</formula>
    </cfRule>
    <cfRule type="containsText" dxfId="88" priority="92" operator="containsText" text="Extremo">
      <formula>NOT(ISERROR(SEARCH("Extremo",L22)))</formula>
    </cfRule>
  </conditionalFormatting>
  <conditionalFormatting sqref="R22">
    <cfRule type="containsText" dxfId="87" priority="85" operator="containsText" text="Bajo">
      <formula>NOT(ISERROR(SEARCH("Bajo",R22)))</formula>
    </cfRule>
    <cfRule type="containsText" dxfId="86" priority="86" operator="containsText" text="Moderado">
      <formula>NOT(ISERROR(SEARCH("Moderado",R22)))</formula>
    </cfRule>
    <cfRule type="containsText" dxfId="85" priority="87" operator="containsText" text="Alto">
      <formula>NOT(ISERROR(SEARCH("Alto",R22)))</formula>
    </cfRule>
    <cfRule type="containsText" dxfId="84" priority="88" operator="containsText" text="Extremo">
      <formula>NOT(ISERROR(SEARCH("Extremo",R22)))</formula>
    </cfRule>
  </conditionalFormatting>
  <conditionalFormatting sqref="L29 L33:L34">
    <cfRule type="containsText" dxfId="83" priority="81" operator="containsText" text="Bajo">
      <formula>NOT(ISERROR(SEARCH("Bajo",L29)))</formula>
    </cfRule>
    <cfRule type="containsText" dxfId="82" priority="82" operator="containsText" text="Moderado">
      <formula>NOT(ISERROR(SEARCH("Moderado",L29)))</formula>
    </cfRule>
    <cfRule type="containsText" dxfId="81" priority="83" operator="containsText" text="Alto">
      <formula>NOT(ISERROR(SEARCH("Alto",L29)))</formula>
    </cfRule>
    <cfRule type="containsText" dxfId="80" priority="84" operator="containsText" text="Extremo">
      <formula>NOT(ISERROR(SEARCH("Extremo",L29)))</formula>
    </cfRule>
  </conditionalFormatting>
  <conditionalFormatting sqref="R29 R33:R34">
    <cfRule type="containsText" dxfId="79" priority="77" operator="containsText" text="Bajo">
      <formula>NOT(ISERROR(SEARCH("Bajo",R29)))</formula>
    </cfRule>
    <cfRule type="containsText" dxfId="78" priority="78" operator="containsText" text="Moderado">
      <formula>NOT(ISERROR(SEARCH("Moderado",R29)))</formula>
    </cfRule>
    <cfRule type="containsText" dxfId="77" priority="79" operator="containsText" text="Alto">
      <formula>NOT(ISERROR(SEARCH("Alto",R29)))</formula>
    </cfRule>
    <cfRule type="containsText" dxfId="76" priority="80" operator="containsText" text="Extremo">
      <formula>NOT(ISERROR(SEARCH("Extremo",R29)))</formula>
    </cfRule>
  </conditionalFormatting>
  <conditionalFormatting sqref="L50 L53">
    <cfRule type="containsText" dxfId="75" priority="73" operator="containsText" text="Bajo">
      <formula>NOT(ISERROR(SEARCH("Bajo",L50)))</formula>
    </cfRule>
    <cfRule type="containsText" dxfId="74" priority="74" operator="containsText" text="Moderado">
      <formula>NOT(ISERROR(SEARCH("Moderado",L50)))</formula>
    </cfRule>
    <cfRule type="containsText" dxfId="73" priority="75" operator="containsText" text="Alto">
      <formula>NOT(ISERROR(SEARCH("Alto",L50)))</formula>
    </cfRule>
    <cfRule type="containsText" dxfId="72" priority="76" operator="containsText" text="Extremo">
      <formula>NOT(ISERROR(SEARCH("Extremo",L50)))</formula>
    </cfRule>
  </conditionalFormatting>
  <conditionalFormatting sqref="R50">
    <cfRule type="containsText" dxfId="71" priority="69" operator="containsText" text="Bajo">
      <formula>NOT(ISERROR(SEARCH("Bajo",R50)))</formula>
    </cfRule>
    <cfRule type="containsText" dxfId="70" priority="70" operator="containsText" text="Moderado">
      <formula>NOT(ISERROR(SEARCH("Moderado",R50)))</formula>
    </cfRule>
    <cfRule type="containsText" dxfId="69" priority="71" operator="containsText" text="Alto">
      <formula>NOT(ISERROR(SEARCH("Alto",R50)))</formula>
    </cfRule>
    <cfRule type="containsText" dxfId="68" priority="72" operator="containsText" text="Extremo">
      <formula>NOT(ISERROR(SEARCH("Extremo",R50)))</formula>
    </cfRule>
  </conditionalFormatting>
  <conditionalFormatting sqref="K53">
    <cfRule type="duplicateValues" dxfId="67" priority="68"/>
  </conditionalFormatting>
  <conditionalFormatting sqref="R53">
    <cfRule type="containsText" dxfId="66" priority="64" operator="containsText" text="Bajo">
      <formula>NOT(ISERROR(SEARCH("Bajo",R53)))</formula>
    </cfRule>
    <cfRule type="containsText" dxfId="65" priority="65" operator="containsText" text="Moderado">
      <formula>NOT(ISERROR(SEARCH("Moderado",R53)))</formula>
    </cfRule>
    <cfRule type="containsText" dxfId="64" priority="66" operator="containsText" text="Alto">
      <formula>NOT(ISERROR(SEARCH("Alto",R53)))</formula>
    </cfRule>
    <cfRule type="containsText" dxfId="63" priority="67" operator="containsText" text="Extremo">
      <formula>NOT(ISERROR(SEARCH("Extremo",R53)))</formula>
    </cfRule>
  </conditionalFormatting>
  <conditionalFormatting sqref="L23:L24">
    <cfRule type="containsText" dxfId="62" priority="60" operator="containsText" text="Bajo">
      <formula>NOT(ISERROR(SEARCH("Bajo",L23)))</formula>
    </cfRule>
    <cfRule type="containsText" dxfId="61" priority="61" operator="containsText" text="Moderado">
      <formula>NOT(ISERROR(SEARCH("Moderado",L23)))</formula>
    </cfRule>
    <cfRule type="containsText" dxfId="60" priority="62" operator="containsText" text="Alto">
      <formula>NOT(ISERROR(SEARCH("Alto",L23)))</formula>
    </cfRule>
    <cfRule type="containsText" dxfId="59" priority="63" operator="containsText" text="Extremo">
      <formula>NOT(ISERROR(SEARCH("Extremo",L23)))</formula>
    </cfRule>
  </conditionalFormatting>
  <conditionalFormatting sqref="R23:R24">
    <cfRule type="containsText" dxfId="58" priority="56" operator="containsText" text="Bajo">
      <formula>NOT(ISERROR(SEARCH("Bajo",R23)))</formula>
    </cfRule>
    <cfRule type="containsText" dxfId="57" priority="57" operator="containsText" text="Moderado">
      <formula>NOT(ISERROR(SEARCH("Moderado",R23)))</formula>
    </cfRule>
    <cfRule type="containsText" dxfId="56" priority="58" operator="containsText" text="Alto">
      <formula>NOT(ISERROR(SEARCH("Alto",R23)))</formula>
    </cfRule>
    <cfRule type="containsText" dxfId="55" priority="59" operator="containsText" text="Extremo">
      <formula>NOT(ISERROR(SEARCH("Extremo",R23)))</formula>
    </cfRule>
  </conditionalFormatting>
  <conditionalFormatting sqref="P24:Q24">
    <cfRule type="duplicateValues" dxfId="54" priority="55"/>
  </conditionalFormatting>
  <conditionalFormatting sqref="L84">
    <cfRule type="containsText" dxfId="53" priority="51" operator="containsText" text="Bajo">
      <formula>NOT(ISERROR(SEARCH("Bajo",L84)))</formula>
    </cfRule>
    <cfRule type="containsText" dxfId="52" priority="52" operator="containsText" text="Moderado">
      <formula>NOT(ISERROR(SEARCH("Moderado",L84)))</formula>
    </cfRule>
    <cfRule type="containsText" dxfId="51" priority="53" operator="containsText" text="Alto">
      <formula>NOT(ISERROR(SEARCH("Alto",L84)))</formula>
    </cfRule>
    <cfRule type="containsText" dxfId="50" priority="54" operator="containsText" text="Extremo">
      <formula>NOT(ISERROR(SEARCH("Extremo",L84)))</formula>
    </cfRule>
  </conditionalFormatting>
  <conditionalFormatting sqref="R84">
    <cfRule type="containsText" dxfId="49" priority="47" operator="containsText" text="Bajo">
      <formula>NOT(ISERROR(SEARCH("Bajo",R84)))</formula>
    </cfRule>
    <cfRule type="containsText" dxfId="48" priority="48" operator="containsText" text="Moderado">
      <formula>NOT(ISERROR(SEARCH("Moderado",R84)))</formula>
    </cfRule>
    <cfRule type="containsText" dxfId="47" priority="49" operator="containsText" text="Alto">
      <formula>NOT(ISERROR(SEARCH("Alto",R84)))</formula>
    </cfRule>
    <cfRule type="containsText" dxfId="46" priority="50" operator="containsText" text="Extremo">
      <formula>NOT(ISERROR(SEARCH("Extremo",R84)))</formula>
    </cfRule>
  </conditionalFormatting>
  <conditionalFormatting sqref="L11:L14">
    <cfRule type="containsText" dxfId="45" priority="43" operator="containsText" text="Bajo">
      <formula>NOT(ISERROR(SEARCH("Bajo",L11)))</formula>
    </cfRule>
    <cfRule type="containsText" dxfId="44" priority="44" operator="containsText" text="Moderado">
      <formula>NOT(ISERROR(SEARCH("Moderado",L11)))</formula>
    </cfRule>
    <cfRule type="containsText" dxfId="43" priority="45" operator="containsText" text="Alto">
      <formula>NOT(ISERROR(SEARCH("Alto",L11)))</formula>
    </cfRule>
    <cfRule type="containsText" dxfId="42" priority="46" operator="containsText" text="Extremo">
      <formula>NOT(ISERROR(SEARCH("Extremo",L11)))</formula>
    </cfRule>
  </conditionalFormatting>
  <conditionalFormatting sqref="R14">
    <cfRule type="containsText" dxfId="41" priority="39" operator="containsText" text="Bajo">
      <formula>NOT(ISERROR(SEARCH("Bajo",R14)))</formula>
    </cfRule>
    <cfRule type="containsText" dxfId="40" priority="40" operator="containsText" text="Moderado">
      <formula>NOT(ISERROR(SEARCH("Moderado",R14)))</formula>
    </cfRule>
    <cfRule type="containsText" dxfId="39" priority="41" operator="containsText" text="Alto">
      <formula>NOT(ISERROR(SEARCH("Alto",R14)))</formula>
    </cfRule>
    <cfRule type="containsText" dxfId="38" priority="42" operator="containsText" text="Extremo">
      <formula>NOT(ISERROR(SEARCH("Extremo",R14)))</formula>
    </cfRule>
  </conditionalFormatting>
  <conditionalFormatting sqref="K13">
    <cfRule type="duplicateValues" dxfId="37" priority="38"/>
  </conditionalFormatting>
  <conditionalFormatting sqref="R12:R13">
    <cfRule type="containsText" dxfId="36" priority="34" operator="containsText" text="Bajo">
      <formula>NOT(ISERROR(SEARCH("Bajo",R12)))</formula>
    </cfRule>
    <cfRule type="containsText" dxfId="35" priority="35" operator="containsText" text="Moderado">
      <formula>NOT(ISERROR(SEARCH("Moderado",R12)))</formula>
    </cfRule>
    <cfRule type="containsText" dxfId="34" priority="36" operator="containsText" text="Alto">
      <formula>NOT(ISERROR(SEARCH("Alto",R12)))</formula>
    </cfRule>
    <cfRule type="containsText" dxfId="33" priority="37" operator="containsText" text="Extremo">
      <formula>NOT(ISERROR(SEARCH("Extremo",R12)))</formula>
    </cfRule>
  </conditionalFormatting>
  <conditionalFormatting sqref="R11">
    <cfRule type="containsText" dxfId="32" priority="30" operator="containsText" text="Bajo">
      <formula>NOT(ISERROR(SEARCH("Bajo",R11)))</formula>
    </cfRule>
    <cfRule type="containsText" dxfId="31" priority="31" operator="containsText" text="Moderado">
      <formula>NOT(ISERROR(SEARCH("Moderado",R11)))</formula>
    </cfRule>
    <cfRule type="containsText" dxfId="30" priority="32" operator="containsText" text="Alto">
      <formula>NOT(ISERROR(SEARCH("Alto",R11)))</formula>
    </cfRule>
    <cfRule type="containsText" dxfId="29" priority="33" operator="containsText" text="Extremo">
      <formula>NOT(ISERROR(SEARCH("Extremo",R11)))</formula>
    </cfRule>
  </conditionalFormatting>
  <conditionalFormatting sqref="L26:L27">
    <cfRule type="containsText" dxfId="28" priority="26" operator="containsText" text="Bajo">
      <formula>NOT(ISERROR(SEARCH("Bajo",L26)))</formula>
    </cfRule>
    <cfRule type="containsText" dxfId="27" priority="27" operator="containsText" text="Moderado">
      <formula>NOT(ISERROR(SEARCH("Moderado",L26)))</formula>
    </cfRule>
    <cfRule type="containsText" dxfId="26" priority="28" operator="containsText" text="Alto">
      <formula>NOT(ISERROR(SEARCH("Alto",L26)))</formula>
    </cfRule>
    <cfRule type="containsText" dxfId="25" priority="29" operator="containsText" text="Extremo">
      <formula>NOT(ISERROR(SEARCH("Extremo",L26)))</formula>
    </cfRule>
  </conditionalFormatting>
  <conditionalFormatting sqref="K26:K27">
    <cfRule type="duplicateValues" dxfId="24" priority="25"/>
  </conditionalFormatting>
  <conditionalFormatting sqref="R26">
    <cfRule type="containsText" dxfId="23" priority="21" operator="containsText" text="Bajo">
      <formula>NOT(ISERROR(SEARCH("Bajo",R26)))</formula>
    </cfRule>
    <cfRule type="containsText" dxfId="22" priority="22" operator="containsText" text="Moderado">
      <formula>NOT(ISERROR(SEARCH("Moderado",R26)))</formula>
    </cfRule>
    <cfRule type="containsText" dxfId="21" priority="23" operator="containsText" text="Alto">
      <formula>NOT(ISERROR(SEARCH("Alto",R26)))</formula>
    </cfRule>
    <cfRule type="containsText" dxfId="20" priority="24" operator="containsText" text="Extremo">
      <formula>NOT(ISERROR(SEARCH("Extremo",R26)))</formula>
    </cfRule>
  </conditionalFormatting>
  <conditionalFormatting sqref="L56">
    <cfRule type="containsText" dxfId="19" priority="17" operator="containsText" text="Bajo">
      <formula>NOT(ISERROR(SEARCH("Bajo",L56)))</formula>
    </cfRule>
    <cfRule type="containsText" dxfId="18" priority="18" operator="containsText" text="Moderado">
      <formula>NOT(ISERROR(SEARCH("Moderado",L56)))</formula>
    </cfRule>
    <cfRule type="containsText" dxfId="17" priority="19" operator="containsText" text="Alto">
      <formula>NOT(ISERROR(SEARCH("Alto",L56)))</formula>
    </cfRule>
    <cfRule type="containsText" dxfId="16" priority="20" operator="containsText" text="Extremo">
      <formula>NOT(ISERROR(SEARCH("Extremo",L56)))</formula>
    </cfRule>
  </conditionalFormatting>
  <conditionalFormatting sqref="R56">
    <cfRule type="containsText" dxfId="15" priority="13" operator="containsText" text="Bajo">
      <formula>NOT(ISERROR(SEARCH("Bajo",R56)))</formula>
    </cfRule>
    <cfRule type="containsText" dxfId="14" priority="14" operator="containsText" text="Moderado">
      <formula>NOT(ISERROR(SEARCH("Moderado",R56)))</formula>
    </cfRule>
    <cfRule type="containsText" dxfId="13" priority="15" operator="containsText" text="Alto">
      <formula>NOT(ISERROR(SEARCH("Alto",R56)))</formula>
    </cfRule>
    <cfRule type="containsText" dxfId="12" priority="16" operator="containsText" text="Extremo">
      <formula>NOT(ISERROR(SEARCH("Extremo",R56)))</formula>
    </cfRule>
  </conditionalFormatting>
  <conditionalFormatting sqref="L42">
    <cfRule type="containsText" dxfId="11" priority="9" operator="containsText" text="Bajo">
      <formula>NOT(ISERROR(SEARCH("Bajo",L42)))</formula>
    </cfRule>
    <cfRule type="containsText" dxfId="10" priority="10" operator="containsText" text="Moderado">
      <formula>NOT(ISERROR(SEARCH("Moderado",L42)))</formula>
    </cfRule>
    <cfRule type="containsText" dxfId="9" priority="11" operator="containsText" text="Alto">
      <formula>NOT(ISERROR(SEARCH("Alto",L42)))</formula>
    </cfRule>
    <cfRule type="containsText" dxfId="8" priority="12" operator="containsText" text="Extremo">
      <formula>NOT(ISERROR(SEARCH("Extremo",L42)))</formula>
    </cfRule>
  </conditionalFormatting>
  <conditionalFormatting sqref="R42">
    <cfRule type="containsText" dxfId="7" priority="5" operator="containsText" text="Bajo">
      <formula>NOT(ISERROR(SEARCH("Bajo",R42)))</formula>
    </cfRule>
    <cfRule type="containsText" dxfId="6" priority="6" operator="containsText" text="Moderado">
      <formula>NOT(ISERROR(SEARCH("Moderado",R42)))</formula>
    </cfRule>
    <cfRule type="containsText" dxfId="5" priority="7" operator="containsText" text="Alto">
      <formula>NOT(ISERROR(SEARCH("Alto",R42)))</formula>
    </cfRule>
    <cfRule type="containsText" dxfId="4" priority="8" operator="containsText" text="Extremo">
      <formula>NOT(ISERROR(SEARCH("Extremo",R42)))</formula>
    </cfRule>
  </conditionalFormatting>
  <conditionalFormatting sqref="R48 L48">
    <cfRule type="containsText" dxfId="3" priority="1" operator="containsText" text="Bajo">
      <formula>NOT(ISERROR(SEARCH("Bajo",L48)))</formula>
    </cfRule>
    <cfRule type="containsText" dxfId="2" priority="2" operator="containsText" text="Moderado">
      <formula>NOT(ISERROR(SEARCH("Moderado",L48)))</formula>
    </cfRule>
    <cfRule type="containsText" dxfId="1" priority="3" operator="containsText" text="Alto">
      <formula>NOT(ISERROR(SEARCH("Alto",L48)))</formula>
    </cfRule>
    <cfRule type="containsText" dxfId="0" priority="4" operator="containsText" text="Extremo">
      <formula>NOT(ISERROR(SEARCH("Extremo",L48)))</formula>
    </cfRule>
  </conditionalFormatting>
  <dataValidations count="33">
    <dataValidation allowBlank="1" showInputMessage="1" showErrorMessage="1" prompt="Seleccione de la lista desplegable el impacto estimado teniendo en cuenta que se refiere a la magnitud de los efectos en caso de materializarse el riesgo. Ver hoja anexos tabla 3. Recuerde que el impacto solamente se disminuye con controles correctivos." sqref="Q10" xr:uid="{45DBE44F-20CE-4377-9753-755C7E334064}"/>
    <dataValidation allowBlank="1" showInputMessage="1" showErrorMessage="1" prompt="Registre el nivel de avance acumulado desde el inicio de la actividad en la vigencia, hasta la fecha de monitoreo. En caso de ser una meta constante, corresponde al mismo avance del periodo." sqref="AG10 AM10 AS10 AG48 AM48" xr:uid="{20DCFAAC-93CE-4BE5-BE0C-7F235272BF55}"/>
    <dataValidation allowBlank="1" showInputMessage="1" showErrorMessage="1" prompt="Seleccione de la lista desplegable la forma como se ejecuta el control, dependiendo de que sea ejecutado por una persona (manual) o por un sistema (automático)." sqref="O9:O10" xr:uid="{928A3D4E-A084-45EB-9015-A602429A6EB2}"/>
    <dataValidation allowBlank="1" showInputMessage="1" showErrorMessage="1" prompt="Describa, tal como se encuentra en la caracterización del proceso, la actividad donde existe evidencia o se tienen indicios de que pueden ocurrir eventos de riesgo." sqref="C9:C10" xr:uid="{6647A8E5-4697-484F-883C-BBAD14A53355}"/>
    <dataValidation allowBlank="1" showInputMessage="1" showErrorMessage="1" promptTitle="Riesgos de gestión" prompt="Registre en estos campos la información correspondiente al monitoreo trimestral para riesgos de gestión. No aplica para riesgos de corrupción." sqref="AQ9:AR9 AT9:AV9" xr:uid="{5C2EAACA-68AA-445D-BA8C-D55AAE20E748}"/>
    <dataValidation allowBlank="1" showInputMessage="1" showErrorMessage="1" promptTitle="Riesgos de gestión / corrupción" prompt="Registre en estos campos la información correspondiente al monitoreo trimestral para riesgos de gestión o cuatrimestral para riesgos de corrupción." sqref="AS9 Z9:AP9" xr:uid="{0417ECBD-668C-4DF5-8C55-67A281417BA3}"/>
    <dataValidation allowBlank="1" showInputMessage="1" showErrorMessage="1" promptTitle="Para cada causa identificada" prompt="registre la actividad de control de acuerdo con la estructura y variables definidas en el Lineamiento Administración de riesgos. Un control puede ser tan eficiente que mitigue varias causas, pero se debe registrar o asociar a cada causa por separado." sqref="M9:M10 M48" xr:uid="{B02FE4EA-5888-463A-A316-5FB727D81369}"/>
    <dataValidation allowBlank="1" showInputMessage="1" showErrorMessage="1" prompt="Seleccione de la lista desplegable si los riesgos a identificar se categorizan como riesgos de Gestión o de Corrupción." sqref="A6:B6" xr:uid="{3270A627-FE5C-40E9-92EB-96C15C8CD891}"/>
    <dataValidation allowBlank="1" showInputMessage="1" showErrorMessage="1" prompt="Describa los avances en el cumplimiento de la actividad definida y relacione las evidencias que los soportan." sqref="AB10 AH10 AN10 AT10 AB48 AT48 AH48 AN48" xr:uid="{BEB6C83F-2BE1-4C91-B01A-B242CD605194}"/>
    <dataValidation allowBlank="1" showInputMessage="1" showErrorMessage="1" prompt="Seleccione de la lista desplegable, la decisión tomada respecto al riesgo." sqref="S9:S10" xr:uid="{DAAF68F9-2106-4AA7-B753-85BE672F674F}"/>
    <dataValidation allowBlank="1" showInputMessage="1" showErrorMessage="1" prompt="Registre las observaciones o resultados de la revisión al monitoreo reportado por la primera línea de defensa. Se diligencia por parte de la segunda línea de defensa al recibir el reporte del monitoreo." sqref="AD10 AP10 AJ10 AV10 AD48 AP48 AJ48 AV48:AV49" xr:uid="{01808B0C-D8B3-4212-ABF8-2EA933CF417C}"/>
    <dataValidation allowBlank="1" showInputMessage="1" showErrorMessage="1" prompt="Registre la formula o criterio con el cual se calculará el avance porcentual en el cumplimiento de la actividad en cada periodo de monitoreo._x000a_Nota: En lo posible se sugiere que la fórmula arroje resultados acumulados en los periodos que se van reportando." sqref="V10 V48" xr:uid="{D9FD79FD-34A6-4B1C-9533-74EB724E4580}"/>
    <dataValidation allowBlank="1" showInputMessage="1" showErrorMessage="1" prompt="Registre la fecha de inicio de la actividad a desarrollar, en el formato DD/MM/AAAA. Esta no puede ser menor a la fecha de oficialización del riesgo." sqref="X10 X48:X49" xr:uid="{F347F2FE-7E2B-4016-937E-C57CB2903E71}"/>
    <dataValidation allowBlank="1" showInputMessage="1" showErrorMessage="1" prompt="Registre el nivel de avance en el cumplimiento de la actividad. Corresponde al resultado en términos porcentuales del indicador definido." sqref="AF10 AL10 AA10 AR10 AF48 AL48 AA48" xr:uid="{F7E60701-4792-49F6-8613-8B8727D90361}"/>
    <dataValidation allowBlank="1" showInputMessage="1" showErrorMessage="1" prompt="Registre la fecha de realización del monitoreo, DD/MM/AAA." sqref="AQ10 AE10 AK10 Z10 Z48 AE48 AK48" xr:uid="{C7A625E9-23EF-4DBC-A2B7-BA76B8FCC9B6}"/>
    <dataValidation allowBlank="1" showInputMessage="1" showErrorMessage="1" prompt="Seleccione de la lista desplegable si durante el periodo se ha materializado el riesgo. En caso de materialización se debe diligenciar y remitir el Formato Plan de restablecimiento (FOR-GS-006)." sqref="AO10 AI10 AC10 AU10 AO48 AI48 AC48" xr:uid="{274FAF0C-690E-4733-9891-A63C532166F2}"/>
    <dataValidation allowBlank="1" showInputMessage="1" showErrorMessage="1" prompt="Registre la fecha de terminación de la actividad a desarrollar, en el formato DD/MM/AAAA. Esta fecha no podrá superar el 31 de diciembre de cada vigencia." sqref="Y10 Y48:Y49" xr:uid="{823EFC6D-A3CA-4DA6-84B9-8C86B5F2E1F7}"/>
    <dataValidation allowBlank="1" showInputMessage="1" showErrorMessage="1" prompt="Registre el resultado que se pretende alcanzar, considerando el indicador o criterio de medición definido." sqref="W10 W48" xr:uid="{356CB8A0-FF0F-4665-AAE4-BC5EDCDC4F36}"/>
    <dataValidation allowBlank="1" showInputMessage="1" showErrorMessage="1" prompt="Registre el cargo o rol del responsable de ejecutar la actividad, en coherencia con la descripción en el diseño de la actividad de control._x000a_Nota: en cualquier caso, el responsable de coordinar y asegurar el cumplimiento es el líder del proceso." sqref="U10 U48" xr:uid="{EF19599A-B91A-46B0-96FF-E3B3238E5D10}"/>
    <dataValidation allowBlank="1" showInputMessage="1" showErrorMessage="1" prompt="Registre las Actividades de Control sobre las cuales se realizará el monitoreo y revisión del riesgo. _x000a_Nota: En caso de definir acciones adicionales, se deberán registrar en una fila independiente." sqref="T10 T48" xr:uid="{2BB8B568-3AAE-43F7-9594-09D8CE81502F}"/>
    <dataValidation allowBlank="1" showInputMessage="1" showErrorMessage="1" prompt="Seleccione de la lista desplegable la probabilidad residual, resultante en la columna &quot;R&quot; del formato Evaluación de actividades de control (FOR-SG-014)." sqref="P10" xr:uid="{EE48B032-7E6B-4789-89B4-D4D5E19A227C}"/>
    <dataValidation allowBlank="1" showInputMessage="1" showErrorMessage="1" prompt="Seleccione de la lista desplegable la naturaleza de la actividad de control." sqref="N9" xr:uid="{79382E3B-9F31-4697-8E0D-094F89172BE5}"/>
    <dataValidation allowBlank="1" showInputMessage="1" showErrorMessage="1" prompt="Este resultado se genera automáticamente y es obtenido de la intersección entre la probabilidad y el impacto seleccionados." sqref="L10 R10" xr:uid="{A3B8E01A-AC58-4131-A2A3-C91000743A38}"/>
    <dataValidation allowBlank="1" showInputMessage="1" showErrorMessage="1" prompt="Seleccione de la lista desplegable el impacto estimado teniendo en cuenta que se refiere a la magnitud de los efectos en caso de materializarse el riesgo. Ver hoja anexos tabla 3." sqref="K10" xr:uid="{6B7081CD-6DD4-458E-B7A6-477A6461D204}"/>
    <dataValidation allowBlank="1" showInputMessage="1" showErrorMessage="1" prompt="Seleccione de la lista desplegable la probabilidad estimada teniendo en cuenta que se está considerando el número de veces que el riesgo se ha presentado en un determinado tiempo o puede presentarse. Ver hoja anexos tabla 2." sqref="J10" xr:uid="{FE6E3885-10DF-4D66-9419-2FC2011BEEA1}"/>
    <dataValidation allowBlank="1" showInputMessage="1" showErrorMessage="1" prompt="Seleccione de la lista desplegable la categoria a la que corresponda el riesgo, teniendo en cuenta los conceptos de la Tabla 1 (ver hoja anexos)." sqref="I9:I10" xr:uid="{4FB31029-5F64-46D5-95BE-0F74D03BC398}"/>
    <dataValidation allowBlank="1" showInputMessage="1" showErrorMessage="1" prompt="Registre los motivos o aspectos que puedan dar origen al riesgo y sobre los cuales se establecerán controles. Use las celdas que sean necesarias, una por cada causa." sqref="F9:F10 F48" xr:uid="{9732AB38-0752-4A2F-B12D-8401BD2BC227}"/>
    <dataValidation allowBlank="1" showInputMessage="1" showErrorMessage="1" prompt="Registre el objetivo del proceso conforme a lo definido en su caracterización." sqref="B9:B10" xr:uid="{52D4723A-FD11-41BB-8775-D926031465E1}"/>
    <dataValidation allowBlank="1" showInputMessage="1" showErrorMessage="1" prompt="Registre el código asignado al riesgo. Se incluye por parte de la Subdirección de Diseño, Evaluación y Sistematización al momento de avalar la versión final del riesgo." sqref="E9:E10 E48" xr:uid="{DC08B9BC-1A5B-4D72-8C0E-1E27F2C669C0}"/>
    <dataValidation allowBlank="1" showInputMessage="1" showErrorMessage="1" prompt="Registre la circular y fecha de creación o actualización del riesgo. Se incluye por parte de la Subdirección de Diseño, Evaluación y Sistematización al momento de contar con circular de oficialización del riesgo." sqref="D9:D10 D48" xr:uid="{8EEB18CA-BD40-4537-A378-DD8D145D6D19}"/>
    <dataValidation allowBlank="1" showInputMessage="1" showErrorMessage="1" prompt="Registre el nombre del proceso al cual está asociado el riesgo." sqref="A9:A10" xr:uid="{5A2D0610-DA4D-45C5-AD5D-BBEF53B92AAE}"/>
    <dataValidation allowBlank="1" showInputMessage="1" showErrorMessage="1" prompt="Seleccione de la lista desplegable, el(los) aspectos institucionales que se ven impactados con la materialización del riesgo. Afectación en lo económico (presupuestal) y/o reputacional." sqref="H9:H10" xr:uid="{C07E6125-5913-4C4A-A968-AE24B359662E}"/>
    <dataValidation allowBlank="1" showInputMessage="1" showErrorMessage="1" promptTitle="Posibilidad de..." prompt="Describa el posible evento identificado, incluyendo en la redacción: ¿qué? (impacto económico o reputacional), ¿cómo? (causa inmediata-situación evidente sobre la cual se presenta el riesgo) y ¿por qué? (breve referencia a las causas raiz)." sqref="G9:G10" xr:uid="{F714EB35-C3AE-4FC9-BD91-6BA64FE5A7C6}"/>
  </dataValidations>
  <pageMargins left="0.35433070866141736" right="0.35433070866141736" top="0.98425196850393704" bottom="0.98425196850393704" header="0" footer="0"/>
  <pageSetup scale="28" orientation="landscape" r:id="rId1"/>
  <headerFooter alignWithMargins="0"/>
  <colBreaks count="1" manualBreakCount="1">
    <brk id="25" max="3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1</vt:i4>
      </vt:variant>
    </vt:vector>
  </HeadingPairs>
  <TitlesOfParts>
    <vt:vector size="10" baseType="lpstr">
      <vt:lpstr>Listas</vt:lpstr>
      <vt:lpstr>Menú</vt:lpstr>
      <vt:lpstr>Control de cambios</vt:lpstr>
      <vt:lpstr>Plan de Acción Institucional In</vt:lpstr>
      <vt:lpstr>Objetivos y metas proyectos</vt:lpstr>
      <vt:lpstr>Metas e indicadores PDD</vt:lpstr>
      <vt:lpstr>Presupuesto</vt:lpstr>
      <vt:lpstr>Indicadores de Gestión</vt:lpstr>
      <vt:lpstr>Mapa y plan de riesgos</vt:lpstr>
      <vt:lpstr>'Mapa y plan de riesgos'!Área_de_impresión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Alexandra Quitian Alvarez</dc:creator>
  <cp:keywords/>
  <dc:description/>
  <cp:lastModifiedBy>Laura Saavedra</cp:lastModifiedBy>
  <cp:revision/>
  <dcterms:created xsi:type="dcterms:W3CDTF">2019-02-26T19:23:01Z</dcterms:created>
  <dcterms:modified xsi:type="dcterms:W3CDTF">2023-01-24T17:36:56Z</dcterms:modified>
  <cp:category/>
  <cp:contentStatus/>
</cp:coreProperties>
</file>