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codeName="{B6124F1A-AFFB-F854-7757-9A1D4C6FC43C}"/>
  <workbookPr updateLinks="never" codeName="ThisWorkbook"/>
  <mc:AlternateContent xmlns:mc="http://schemas.openxmlformats.org/markup-compatibility/2006">
    <mc:Choice Requires="x15">
      <x15ac:absPath xmlns:x15ac="http://schemas.microsoft.com/office/spreadsheetml/2010/11/ac" url="https://sdisgovco-my.sharepoint.com/personal/fgaravito_sdis_gov_co/Documents/SDIS-DADE/PLANES DE ACCIÓN 2024 VERSIÓN FINAL/"/>
    </mc:Choice>
  </mc:AlternateContent>
  <xr:revisionPtr revIDLastSave="0" documentId="8_{DC622703-61FA-4363-A3CF-C20FCE6BE3AA}" xr6:coauthVersionLast="47" xr6:coauthVersionMax="47" xr10:uidLastSave="{00000000-0000-0000-0000-000000000000}"/>
  <bookViews>
    <workbookView xWindow="-108" yWindow="-108" windowWidth="23256" windowHeight="12456" tabRatio="929" firstSheet="4" activeTab="4" xr2:uid="{00000000-000D-0000-FFFF-FFFF00000000}"/>
  </bookViews>
  <sheets>
    <sheet name="PRESUPUESTO" sheetId="44" state="veryHidden" r:id="rId1"/>
    <sheet name="ESTRATÉGICO" sheetId="46" state="veryHidden" r:id="rId2"/>
    <sheet name="LISTAS" sheetId="45" state="veryHidden" r:id="rId3"/>
    <sheet name="ACTIVIDADES PAA" sheetId="47" state="veryHidden" r:id="rId4"/>
    <sheet name="INDICE" sheetId="24" r:id="rId5"/>
    <sheet name="Cuadro Control" sheetId="21" r:id="rId6"/>
    <sheet name="EJECUCIÓN" sheetId="33" r:id="rId7"/>
    <sheet name="Proyecto" sheetId="6" r:id="rId8"/>
    <sheet name="Metas proyecto" sheetId="2" r:id="rId9"/>
    <sheet name="Metas PDD" sheetId="9" r:id="rId10"/>
    <sheet name="Productos MGA" sheetId="8" r:id="rId11"/>
    <sheet name="Actividades" sheetId="3" r:id="rId12"/>
    <sheet name="Tareas" sheetId="4" r:id="rId13"/>
    <sheet name="Soportes" sheetId="5" r:id="rId14"/>
    <sheet name="Territorialización y Población" sheetId="11" r:id="rId15"/>
    <sheet name="Directorio UndOpe" sheetId="13" r:id="rId16"/>
    <sheet name="Glosario" sheetId="42" r:id="rId17"/>
    <sheet name="Instrucciones" sheetId="43" r:id="rId18"/>
  </sheets>
  <externalReferences>
    <externalReference r:id="rId19"/>
    <externalReference r:id="rId20"/>
    <externalReference r:id="rId21"/>
  </externalReferences>
  <definedNames>
    <definedName name="_xlnm._FilterDatabase" localSheetId="11" hidden="1">Actividades!$A$17:$AN$38</definedName>
    <definedName name="_xlnm._FilterDatabase" localSheetId="3" hidden="1">'ACTIVIDADES PAA'!$A$1:$G$184</definedName>
    <definedName name="_xlnm._FilterDatabase" localSheetId="6" hidden="1">EJECUCIÓN!$B$60:$AP$105</definedName>
    <definedName name="_xlnm._FilterDatabase" localSheetId="1" hidden="1">ESTRATÉGICO!$A$2:$AA$110</definedName>
    <definedName name="_xlnm._FilterDatabase" localSheetId="8" hidden="1">'Metas proyecto'!$B$17:$BF$23</definedName>
    <definedName name="accion">LISTAS!$A$2:$A$6</definedName>
    <definedName name="localidad" localSheetId="4">[1]Hoja6!$A$192:$A$212</definedName>
    <definedName name="Localidad">[2]Listas!$F$97:$F$117</definedName>
    <definedName name="Metasect">ESTRATÉGICO!$R$3:$R$110</definedName>
    <definedName name="Periodicidad" localSheetId="4">[3]Listas!$P$2:$P$5</definedName>
    <definedName name="ProyectoInv" localSheetId="4">[3]Listas!$I$2:$I$16</definedName>
    <definedName name="TipoInd" localSheetId="4">[3]Listas!$N$2:$N$4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4" i="44" l="1"/>
  <c r="P185" i="44"/>
  <c r="P186" i="44"/>
  <c r="P187" i="44"/>
  <c r="P188" i="44"/>
  <c r="P189" i="44"/>
  <c r="P190" i="44"/>
  <c r="P191" i="44"/>
  <c r="P192" i="44"/>
  <c r="P193" i="44"/>
  <c r="P194" i="44"/>
  <c r="P195" i="44"/>
  <c r="P196" i="44"/>
  <c r="P197" i="44"/>
  <c r="P198" i="44"/>
  <c r="P199" i="44"/>
  <c r="P200" i="44"/>
  <c r="P201" i="44"/>
  <c r="P202" i="44"/>
  <c r="P203" i="44"/>
  <c r="P204" i="44"/>
  <c r="P205" i="44"/>
  <c r="P206" i="44"/>
  <c r="P207" i="44"/>
  <c r="P208" i="44"/>
  <c r="P209" i="44"/>
  <c r="P210" i="44"/>
  <c r="P211" i="44"/>
  <c r="P212" i="44"/>
  <c r="P213" i="44"/>
  <c r="P214" i="44"/>
  <c r="P215" i="44"/>
  <c r="P216" i="44"/>
  <c r="P217" i="44"/>
  <c r="P218" i="44"/>
  <c r="P219" i="44"/>
  <c r="P220" i="44"/>
  <c r="P221" i="44"/>
  <c r="P222" i="44"/>
  <c r="P223" i="44"/>
  <c r="P224" i="44"/>
  <c r="P225" i="44"/>
  <c r="P226" i="44"/>
  <c r="P227" i="44"/>
  <c r="P228" i="44"/>
  <c r="P229" i="44"/>
  <c r="P230" i="44"/>
  <c r="P231" i="44"/>
  <c r="P232" i="44"/>
  <c r="P233" i="44"/>
  <c r="P234" i="44"/>
  <c r="P235" i="44"/>
  <c r="P236" i="44"/>
  <c r="P237" i="44"/>
  <c r="P238" i="44"/>
  <c r="P239" i="44"/>
  <c r="P240" i="44"/>
  <c r="P241" i="44"/>
  <c r="P242" i="44"/>
  <c r="P243" i="44"/>
  <c r="P244" i="44"/>
  <c r="P245" i="44"/>
  <c r="P246" i="44"/>
  <c r="P247" i="44"/>
  <c r="P248" i="44"/>
  <c r="P249" i="44"/>
  <c r="P250" i="44"/>
  <c r="P251" i="44"/>
  <c r="P252" i="44"/>
  <c r="P253" i="44"/>
  <c r="P254" i="44"/>
  <c r="P255" i="44"/>
  <c r="P256" i="44"/>
  <c r="P257" i="44"/>
  <c r="P258" i="44"/>
  <c r="P259" i="44"/>
  <c r="P260" i="44"/>
  <c r="P261" i="44"/>
  <c r="P262" i="44"/>
  <c r="P263" i="44"/>
  <c r="P264" i="44"/>
  <c r="P265" i="44"/>
  <c r="P266" i="44"/>
  <c r="P267" i="44"/>
  <c r="P268" i="44"/>
  <c r="P269" i="44"/>
  <c r="P270" i="44"/>
  <c r="P271" i="44"/>
  <c r="P272" i="44"/>
  <c r="P273" i="44"/>
  <c r="P274" i="44"/>
  <c r="P183" i="44"/>
  <c r="U18" i="4"/>
  <c r="U19" i="4"/>
  <c r="U20" i="4"/>
  <c r="U21" i="4"/>
  <c r="U22" i="4"/>
  <c r="U23" i="4"/>
  <c r="U24" i="4"/>
  <c r="R20" i="3" s="1"/>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T18" i="4"/>
  <c r="T19" i="4"/>
  <c r="T20" i="4"/>
  <c r="T21" i="4"/>
  <c r="T22" i="4"/>
  <c r="T23" i="4"/>
  <c r="T24" i="4"/>
  <c r="Q20" i="3" s="1"/>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S18" i="4"/>
  <c r="S19" i="4"/>
  <c r="S20" i="4"/>
  <c r="S21" i="4"/>
  <c r="S22" i="4"/>
  <c r="S23" i="4"/>
  <c r="S24" i="4"/>
  <c r="P20" i="3" s="1"/>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R18" i="4"/>
  <c r="R19" i="4"/>
  <c r="R20" i="4"/>
  <c r="R21" i="4"/>
  <c r="R22" i="4"/>
  <c r="R23" i="4"/>
  <c r="R24" i="4"/>
  <c r="O20" i="3" s="1"/>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A61" i="5"/>
  <c r="B61" i="5"/>
  <c r="C61" i="5"/>
  <c r="A62" i="5"/>
  <c r="B62" i="5"/>
  <c r="C62" i="5"/>
  <c r="A63" i="5"/>
  <c r="B63" i="5"/>
  <c r="C63" i="5"/>
  <c r="A64" i="5"/>
  <c r="B64" i="5"/>
  <c r="C64" i="5"/>
  <c r="A65" i="5"/>
  <c r="B65" i="5"/>
  <c r="C65" i="5"/>
  <c r="A66" i="5"/>
  <c r="B66" i="5"/>
  <c r="C66" i="5"/>
  <c r="A67" i="5"/>
  <c r="B67" i="5"/>
  <c r="C67" i="5"/>
  <c r="A68" i="5"/>
  <c r="B68" i="5"/>
  <c r="C68" i="5"/>
  <c r="A69" i="5"/>
  <c r="B69" i="5"/>
  <c r="C69" i="5"/>
  <c r="A70" i="5"/>
  <c r="B70" i="5"/>
  <c r="C70" i="5"/>
  <c r="A71" i="5"/>
  <c r="B71" i="5"/>
  <c r="C71" i="5"/>
  <c r="A72" i="5"/>
  <c r="B72" i="5"/>
  <c r="C72" i="5"/>
  <c r="A73" i="5"/>
  <c r="B73" i="5"/>
  <c r="C73" i="5"/>
  <c r="A74" i="5"/>
  <c r="B74" i="5"/>
  <c r="C74" i="5"/>
  <c r="A75" i="5"/>
  <c r="B75" i="5"/>
  <c r="C75" i="5"/>
  <c r="A76" i="5"/>
  <c r="B76" i="5"/>
  <c r="C76" i="5"/>
  <c r="A77" i="5"/>
  <c r="B77" i="5"/>
  <c r="C77" i="5"/>
  <c r="A78" i="5"/>
  <c r="B78" i="5"/>
  <c r="C78" i="5"/>
  <c r="A79" i="5"/>
  <c r="B79" i="5"/>
  <c r="C79" i="5"/>
  <c r="A80" i="5"/>
  <c r="B80" i="5"/>
  <c r="C80" i="5"/>
  <c r="A81" i="5"/>
  <c r="B81" i="5"/>
  <c r="C81" i="5"/>
  <c r="A82" i="5"/>
  <c r="B82" i="5"/>
  <c r="C82" i="5"/>
  <c r="A83" i="5"/>
  <c r="B83" i="5"/>
  <c r="C83" i="5"/>
  <c r="A84" i="5"/>
  <c r="B84" i="5"/>
  <c r="C84" i="5"/>
  <c r="A85" i="5"/>
  <c r="B85" i="5"/>
  <c r="C85" i="5"/>
  <c r="A86" i="5"/>
  <c r="B86" i="5"/>
  <c r="C86" i="5"/>
  <c r="A87" i="5"/>
  <c r="B87" i="5"/>
  <c r="C87" i="5"/>
  <c r="A88" i="5"/>
  <c r="B88" i="5"/>
  <c r="C88" i="5"/>
  <c r="A89" i="5"/>
  <c r="B89" i="5"/>
  <c r="C89" i="5"/>
  <c r="A90" i="5"/>
  <c r="B90" i="5"/>
  <c r="C90" i="5"/>
  <c r="A91" i="5"/>
  <c r="B91" i="5"/>
  <c r="C91" i="5"/>
  <c r="A92" i="5"/>
  <c r="B92" i="5"/>
  <c r="C92" i="5"/>
  <c r="A93" i="5"/>
  <c r="B93" i="5"/>
  <c r="C93" i="5"/>
  <c r="A94" i="5"/>
  <c r="B94" i="5"/>
  <c r="C94" i="5"/>
  <c r="A95" i="5"/>
  <c r="B95" i="5"/>
  <c r="C95" i="5"/>
  <c r="A96" i="5"/>
  <c r="B96" i="5"/>
  <c r="C96" i="5"/>
  <c r="A97" i="5"/>
  <c r="B97" i="5"/>
  <c r="C97" i="5"/>
  <c r="A98" i="5"/>
  <c r="B98" i="5"/>
  <c r="C98" i="5"/>
  <c r="A99" i="5"/>
  <c r="B99" i="5"/>
  <c r="C99" i="5"/>
  <c r="A100" i="5"/>
  <c r="B100" i="5"/>
  <c r="C100" i="5"/>
  <c r="A101" i="5"/>
  <c r="B101" i="5"/>
  <c r="C101" i="5"/>
  <c r="A102" i="5"/>
  <c r="B102" i="5"/>
  <c r="C102" i="5"/>
  <c r="A103" i="5"/>
  <c r="B103" i="5"/>
  <c r="C103" i="5"/>
  <c r="AF32" i="5"/>
  <c r="AG32" i="5" s="1"/>
  <c r="AH32" i="5"/>
  <c r="AI32" i="5"/>
  <c r="AJ32" i="5"/>
  <c r="AK32" i="5"/>
  <c r="AL32" i="5"/>
  <c r="AM32" i="5"/>
  <c r="AN32" i="5"/>
  <c r="AO32" i="5"/>
  <c r="AP32" i="5"/>
  <c r="AQ32" i="5"/>
  <c r="AR32" i="5"/>
  <c r="AS32" i="5"/>
  <c r="AF33" i="5"/>
  <c r="AG33" i="5" s="1"/>
  <c r="AH33" i="5"/>
  <c r="AI33" i="5"/>
  <c r="AJ33" i="5"/>
  <c r="AK33" i="5"/>
  <c r="AL33" i="5"/>
  <c r="AM33" i="5"/>
  <c r="AN33" i="5"/>
  <c r="AO33" i="5"/>
  <c r="AP33" i="5"/>
  <c r="AQ33" i="5"/>
  <c r="AR33" i="5"/>
  <c r="AS33" i="5"/>
  <c r="Q19" i="4"/>
  <c r="Q20" i="4"/>
  <c r="Q21" i="4"/>
  <c r="Q22" i="4"/>
  <c r="Q23" i="4"/>
  <c r="Q24" i="4"/>
  <c r="N20" i="3" s="1"/>
  <c r="Q25" i="4"/>
  <c r="Q26" i="4"/>
  <c r="Q27" i="4"/>
  <c r="Q28" i="4"/>
  <c r="Q29" i="4"/>
  <c r="Q30" i="4"/>
  <c r="Q31" i="4"/>
  <c r="AT32" i="5" l="1"/>
  <c r="AU32" i="5" s="1"/>
  <c r="N19" i="3"/>
  <c r="O19" i="3"/>
  <c r="O18" i="3"/>
  <c r="R59" i="4"/>
  <c r="P19" i="3"/>
  <c r="P18" i="3"/>
  <c r="S59" i="4"/>
  <c r="Q19" i="3"/>
  <c r="Q18" i="3"/>
  <c r="T59" i="4"/>
  <c r="R19" i="3"/>
  <c r="R18" i="3"/>
  <c r="U59" i="4"/>
  <c r="AT33" i="5"/>
  <c r="AU33" i="5" s="1"/>
  <c r="Q18" i="4" l="1"/>
  <c r="S61" i="5"/>
  <c r="N18" i="3" l="1"/>
  <c r="Q32" i="4"/>
  <c r="Q33" i="4"/>
  <c r="Q34" i="4"/>
  <c r="Q35" i="4"/>
  <c r="Q36" i="4"/>
  <c r="Q37" i="4"/>
  <c r="Q38" i="4"/>
  <c r="Q39" i="4"/>
  <c r="Q40" i="4"/>
  <c r="Q41" i="4"/>
  <c r="Q42" i="4"/>
  <c r="Q43" i="4"/>
  <c r="Q44" i="4"/>
  <c r="Q45" i="4"/>
  <c r="Q46" i="4"/>
  <c r="Q47" i="4"/>
  <c r="Q48" i="4"/>
  <c r="Q49" i="4"/>
  <c r="Q50" i="4"/>
  <c r="Q51" i="4"/>
  <c r="Q52" i="4"/>
  <c r="Q53" i="4"/>
  <c r="Q54" i="4"/>
  <c r="Q55" i="4"/>
  <c r="Q56" i="4"/>
  <c r="Q57" i="4"/>
  <c r="Q58"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1" i="4"/>
  <c r="AP52" i="4"/>
  <c r="AP53" i="4"/>
  <c r="AP55" i="4"/>
  <c r="AP56" i="4"/>
  <c r="AP57" i="4"/>
  <c r="AP58" i="4"/>
  <c r="Q59" i="4" l="1"/>
  <c r="A184" i="47" l="1"/>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A3" i="47"/>
  <c r="A2" i="47"/>
  <c r="Q19" i="11" l="1"/>
  <c r="Q21" i="8" l="1"/>
  <c r="Q20" i="8"/>
  <c r="Q19" i="8"/>
  <c r="Q18" i="8"/>
  <c r="Q61" i="11" l="1"/>
  <c r="I60" i="11" l="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AH54" i="4" l="1"/>
  <c r="AH50" i="4"/>
  <c r="AF54" i="4"/>
  <c r="AE50" i="4"/>
  <c r="AE54" i="4"/>
  <c r="AD54" i="4"/>
  <c r="AD50" i="4"/>
  <c r="AP50" i="4" l="1"/>
  <c r="AP54" i="4"/>
  <c r="H46" i="11"/>
  <c r="H47" i="11"/>
  <c r="H48" i="11"/>
  <c r="H49" i="11"/>
  <c r="H50" i="11"/>
  <c r="H51" i="11"/>
  <c r="H52" i="11"/>
  <c r="H53" i="11"/>
  <c r="H54" i="11"/>
  <c r="H55" i="11"/>
  <c r="H56" i="11"/>
  <c r="H57" i="11"/>
  <c r="H58" i="11"/>
  <c r="H59" i="11"/>
  <c r="H60" i="11"/>
  <c r="AQ46" i="11"/>
  <c r="AQ47" i="11"/>
  <c r="AQ48" i="11"/>
  <c r="AQ49" i="11"/>
  <c r="AQ50" i="11"/>
  <c r="AQ51" i="11"/>
  <c r="AQ52" i="11"/>
  <c r="AQ53" i="11"/>
  <c r="AQ54" i="11"/>
  <c r="AQ55" i="11"/>
  <c r="AQ56" i="11"/>
  <c r="AQ57" i="11"/>
  <c r="AQ58" i="11"/>
  <c r="AQ59" i="11"/>
  <c r="AQ60" i="11"/>
  <c r="AR46" i="11"/>
  <c r="AR47" i="11"/>
  <c r="AR48" i="11"/>
  <c r="AR49" i="11"/>
  <c r="AR50" i="11"/>
  <c r="AR51" i="11"/>
  <c r="AR52" i="11"/>
  <c r="AR53" i="11"/>
  <c r="AR54" i="11"/>
  <c r="AR55" i="11"/>
  <c r="AR56" i="11"/>
  <c r="AR57" i="11"/>
  <c r="AR58" i="11"/>
  <c r="AR59" i="11"/>
  <c r="AR60" i="11"/>
  <c r="AS46" i="11"/>
  <c r="AS47" i="11"/>
  <c r="AS48" i="11"/>
  <c r="AS49" i="11"/>
  <c r="AS50" i="11"/>
  <c r="AS51" i="11"/>
  <c r="AS52" i="11"/>
  <c r="AS53" i="11"/>
  <c r="AS54" i="11"/>
  <c r="AS55" i="11"/>
  <c r="AS56" i="11"/>
  <c r="AS57" i="11"/>
  <c r="AS58" i="11"/>
  <c r="AS59" i="11"/>
  <c r="AS60" i="11"/>
  <c r="BO46" i="11"/>
  <c r="BO47" i="11"/>
  <c r="BO48" i="11"/>
  <c r="BO49" i="11"/>
  <c r="BO50" i="11"/>
  <c r="BO51" i="11"/>
  <c r="BO52" i="11"/>
  <c r="BO53" i="11"/>
  <c r="BO54" i="11"/>
  <c r="BO55" i="11"/>
  <c r="BO56" i="11"/>
  <c r="BO57" i="11"/>
  <c r="BO58" i="11"/>
  <c r="BO59" i="11"/>
  <c r="BO60" i="11"/>
  <c r="BP46" i="11"/>
  <c r="BP47" i="11"/>
  <c r="BP48" i="11"/>
  <c r="BP49" i="11"/>
  <c r="BP50" i="11"/>
  <c r="BP51" i="11"/>
  <c r="BP52" i="11"/>
  <c r="BP53" i="11"/>
  <c r="BP54" i="11"/>
  <c r="BP55" i="11"/>
  <c r="BP56" i="11"/>
  <c r="BP57" i="11"/>
  <c r="BP58" i="11"/>
  <c r="BP59" i="11"/>
  <c r="BP60" i="11"/>
  <c r="BQ46" i="11"/>
  <c r="BQ47" i="11"/>
  <c r="BQ48" i="11"/>
  <c r="BQ49" i="11"/>
  <c r="BQ50" i="11"/>
  <c r="BQ51" i="11"/>
  <c r="BQ52" i="11"/>
  <c r="BQ53" i="11"/>
  <c r="BQ54" i="11"/>
  <c r="BQ55" i="11"/>
  <c r="BQ56" i="11"/>
  <c r="BQ57" i="11"/>
  <c r="BQ58" i="11"/>
  <c r="BQ59" i="11"/>
  <c r="BQ60" i="11"/>
  <c r="V54" i="4" l="1"/>
  <c r="W54" i="4"/>
  <c r="X54" i="4"/>
  <c r="Y54" i="4"/>
  <c r="Z54" i="4"/>
  <c r="AA54" i="4"/>
  <c r="AB54" i="4"/>
  <c r="BP54" i="4"/>
  <c r="V39" i="4"/>
  <c r="W39" i="4"/>
  <c r="X39" i="4"/>
  <c r="Y39" i="4"/>
  <c r="Z39" i="4"/>
  <c r="AA39" i="4"/>
  <c r="AB39" i="4"/>
  <c r="BP39" i="4"/>
  <c r="BR54" i="4" l="1"/>
  <c r="BR39" i="4"/>
  <c r="V50" i="4"/>
  <c r="W50" i="4"/>
  <c r="X50" i="4"/>
  <c r="Y50" i="4"/>
  <c r="Z50" i="4"/>
  <c r="AA50" i="4"/>
  <c r="AB50" i="4"/>
  <c r="BP50" i="4"/>
  <c r="V51" i="4"/>
  <c r="W51" i="4"/>
  <c r="X51" i="4"/>
  <c r="Y51" i="4"/>
  <c r="Z51" i="4"/>
  <c r="AA51" i="4"/>
  <c r="AB51" i="4"/>
  <c r="BP51" i="4"/>
  <c r="V52" i="4"/>
  <c r="W52" i="4"/>
  <c r="X52" i="4"/>
  <c r="Y52" i="4"/>
  <c r="Z52" i="4"/>
  <c r="AA52" i="4"/>
  <c r="AB52" i="4"/>
  <c r="BP52" i="4"/>
  <c r="V53" i="4"/>
  <c r="W53" i="4"/>
  <c r="X53" i="4"/>
  <c r="Y53" i="4"/>
  <c r="Z53" i="4"/>
  <c r="AA53" i="4"/>
  <c r="AB53" i="4"/>
  <c r="BP53" i="4"/>
  <c r="N35" i="3"/>
  <c r="AO35" i="3" s="1"/>
  <c r="V55" i="4"/>
  <c r="W55" i="4"/>
  <c r="X55" i="4"/>
  <c r="Y55" i="4"/>
  <c r="Z55" i="4"/>
  <c r="AA55" i="4"/>
  <c r="AB55" i="4"/>
  <c r="BP55" i="4"/>
  <c r="V56" i="4"/>
  <c r="W56" i="4"/>
  <c r="X56" i="4"/>
  <c r="Y56" i="4"/>
  <c r="Z56" i="4"/>
  <c r="AA56" i="4"/>
  <c r="AB56" i="4"/>
  <c r="BP56" i="4"/>
  <c r="V57" i="4"/>
  <c r="W57" i="4"/>
  <c r="X57" i="4"/>
  <c r="Y57" i="4"/>
  <c r="Z57" i="4"/>
  <c r="AA57" i="4"/>
  <c r="AB57" i="4"/>
  <c r="BP57" i="4"/>
  <c r="V58" i="4"/>
  <c r="W58" i="4"/>
  <c r="X58" i="4"/>
  <c r="Y58" i="4"/>
  <c r="Z58" i="4"/>
  <c r="AA58" i="4"/>
  <c r="AB58" i="4"/>
  <c r="BP58" i="4"/>
  <c r="V35" i="3" l="1"/>
  <c r="AW35" i="3" s="1"/>
  <c r="Y35" i="3"/>
  <c r="AZ35" i="3" s="1"/>
  <c r="U35" i="3"/>
  <c r="AV35" i="3" s="1"/>
  <c r="X35" i="3"/>
  <c r="AY35" i="3" s="1"/>
  <c r="T35" i="3"/>
  <c r="AU35" i="3" s="1"/>
  <c r="W35" i="3"/>
  <c r="AX35" i="3" s="1"/>
  <c r="S35" i="3"/>
  <c r="AT35" i="3" s="1"/>
  <c r="Y33" i="3"/>
  <c r="AZ33" i="3" s="1"/>
  <c r="S34" i="3"/>
  <c r="AT34" i="3" s="1"/>
  <c r="Y34" i="3"/>
  <c r="AZ34" i="3" s="1"/>
  <c r="W34" i="3"/>
  <c r="AX34" i="3" s="1"/>
  <c r="X34" i="3"/>
  <c r="AY34" i="3" s="1"/>
  <c r="V34" i="3"/>
  <c r="AW34" i="3" s="1"/>
  <c r="U34" i="3"/>
  <c r="AV34" i="3" s="1"/>
  <c r="N34" i="3"/>
  <c r="AO34" i="3" s="1"/>
  <c r="T34" i="3"/>
  <c r="AU34" i="3" s="1"/>
  <c r="X33" i="3"/>
  <c r="AY33" i="3" s="1"/>
  <c r="V33" i="3"/>
  <c r="AW33" i="3" s="1"/>
  <c r="N33" i="3"/>
  <c r="AO33" i="3" s="1"/>
  <c r="S33" i="3"/>
  <c r="AT33" i="3" s="1"/>
  <c r="W33" i="3"/>
  <c r="AX33" i="3" s="1"/>
  <c r="T33" i="3"/>
  <c r="AU33" i="3" s="1"/>
  <c r="BR53" i="4"/>
  <c r="BR58" i="4"/>
  <c r="BR52" i="4"/>
  <c r="BR51" i="4"/>
  <c r="BR50" i="4"/>
  <c r="U33" i="3"/>
  <c r="AV33" i="3" s="1"/>
  <c r="BR55" i="4"/>
  <c r="BR56" i="4"/>
  <c r="BR57" i="4"/>
  <c r="S18" i="3" l="1"/>
  <c r="T18" i="3"/>
  <c r="U18" i="3"/>
  <c r="V18" i="3"/>
  <c r="AL18" i="3"/>
  <c r="S19" i="3"/>
  <c r="T19" i="3"/>
  <c r="U19" i="3"/>
  <c r="V19" i="3"/>
  <c r="AJ19" i="3"/>
  <c r="AK19" i="3"/>
  <c r="AL19" i="3"/>
  <c r="S20" i="3"/>
  <c r="T20" i="3"/>
  <c r="U20" i="3"/>
  <c r="V20" i="3"/>
  <c r="AJ20" i="3"/>
  <c r="AL20" i="3"/>
  <c r="N13" i="33" l="1"/>
  <c r="N14" i="33"/>
  <c r="AN14" i="33"/>
  <c r="AN13" i="33"/>
  <c r="AN15" i="33"/>
  <c r="AN16" i="33"/>
  <c r="AN17" i="33"/>
  <c r="AN18" i="33"/>
  <c r="BP19" i="4"/>
  <c r="BP20" i="4"/>
  <c r="BP21" i="4"/>
  <c r="BP22" i="4"/>
  <c r="BP23" i="4"/>
  <c r="BP24" i="4"/>
  <c r="BP25" i="4"/>
  <c r="BP26" i="4"/>
  <c r="BP27" i="4"/>
  <c r="BP28" i="4"/>
  <c r="BP29" i="4"/>
  <c r="BP30" i="4"/>
  <c r="BP31" i="4"/>
  <c r="BP32" i="4"/>
  <c r="BP33" i="4"/>
  <c r="BP34" i="4"/>
  <c r="BP35" i="4"/>
  <c r="BP36" i="4"/>
  <c r="BP37" i="4"/>
  <c r="BP38" i="4"/>
  <c r="BP40" i="4"/>
  <c r="BP41" i="4"/>
  <c r="BP42" i="4"/>
  <c r="BP43" i="4"/>
  <c r="BP44" i="4"/>
  <c r="BP45" i="4"/>
  <c r="BP46" i="4"/>
  <c r="BP47" i="4"/>
  <c r="BP48" i="4"/>
  <c r="BP49" i="4"/>
  <c r="BP18" i="4"/>
  <c r="J17" i="33"/>
  <c r="J14" i="33"/>
  <c r="J15" i="33"/>
  <c r="J16" i="33"/>
  <c r="J18" i="33"/>
  <c r="J19" i="33"/>
  <c r="J20" i="33"/>
  <c r="J21" i="33"/>
  <c r="J22" i="33"/>
  <c r="J23" i="33"/>
  <c r="N15" i="33"/>
  <c r="N16" i="33"/>
  <c r="N17" i="33"/>
  <c r="N18" i="33"/>
  <c r="N19" i="33"/>
  <c r="N20" i="33"/>
  <c r="N21" i="33"/>
  <c r="N22" i="33"/>
  <c r="N23" i="33"/>
  <c r="AQ20" i="11"/>
  <c r="AR20" i="11"/>
  <c r="AS20" i="11"/>
  <c r="AQ21" i="11"/>
  <c r="AR21" i="11"/>
  <c r="AS21" i="11"/>
  <c r="AQ22" i="11"/>
  <c r="AR22" i="11"/>
  <c r="AS22" i="11"/>
  <c r="AQ23" i="11"/>
  <c r="AR23" i="11"/>
  <c r="AS23" i="11"/>
  <c r="AQ24" i="11"/>
  <c r="AR24" i="11"/>
  <c r="AS24" i="11"/>
  <c r="AQ25" i="11"/>
  <c r="AR25" i="11"/>
  <c r="AS25" i="11"/>
  <c r="AQ26" i="11"/>
  <c r="AR26" i="11"/>
  <c r="AS26" i="11"/>
  <c r="AQ27" i="11"/>
  <c r="AR27" i="11"/>
  <c r="AS27" i="11"/>
  <c r="AQ28" i="11"/>
  <c r="AR28" i="11"/>
  <c r="AS28" i="11"/>
  <c r="AQ29" i="11"/>
  <c r="AR29" i="11"/>
  <c r="AS29" i="11"/>
  <c r="AQ30" i="11"/>
  <c r="AR30" i="11"/>
  <c r="AS30" i="11"/>
  <c r="AQ31" i="11"/>
  <c r="AR31" i="11"/>
  <c r="AS31" i="11"/>
  <c r="AQ32" i="11"/>
  <c r="AR32" i="11"/>
  <c r="AS32" i="11"/>
  <c r="AQ33" i="11"/>
  <c r="AR33" i="11"/>
  <c r="AS33" i="11"/>
  <c r="AQ34" i="11"/>
  <c r="AR34" i="11"/>
  <c r="AS34" i="11"/>
  <c r="AQ35" i="11"/>
  <c r="AR35" i="11"/>
  <c r="AS35" i="11"/>
  <c r="AQ36" i="11"/>
  <c r="AR36" i="11"/>
  <c r="AS36" i="11"/>
  <c r="AQ37" i="11"/>
  <c r="AR37" i="11"/>
  <c r="AS37" i="11"/>
  <c r="AQ38" i="11"/>
  <c r="AR38" i="11"/>
  <c r="AS38" i="11"/>
  <c r="AQ39" i="11"/>
  <c r="AR39" i="11"/>
  <c r="AS39" i="11"/>
  <c r="AQ40" i="11"/>
  <c r="AR40" i="11"/>
  <c r="AS40" i="11"/>
  <c r="AQ41" i="11"/>
  <c r="AR41" i="11"/>
  <c r="AS41" i="11"/>
  <c r="AQ42" i="11"/>
  <c r="AR42" i="11"/>
  <c r="AS42" i="11"/>
  <c r="AQ43" i="11"/>
  <c r="AR43" i="11"/>
  <c r="AS43" i="11"/>
  <c r="AQ44" i="11"/>
  <c r="AR44" i="11"/>
  <c r="AS44" i="11"/>
  <c r="AQ45" i="11"/>
  <c r="AR45" i="11"/>
  <c r="AS45" i="11"/>
  <c r="AR19" i="11"/>
  <c r="AS19" i="11"/>
  <c r="AQ19" i="11"/>
  <c r="L33" i="33"/>
  <c r="AF14" i="33" s="1"/>
  <c r="L34" i="33"/>
  <c r="AF15" i="33" s="1"/>
  <c r="L35" i="33"/>
  <c r="AF16" i="33" s="1"/>
  <c r="AF17" i="33"/>
  <c r="AF18" i="33"/>
  <c r="L32" i="33"/>
  <c r="AF13" i="33" s="1"/>
  <c r="B48" i="33"/>
  <c r="B49" i="33"/>
  <c r="B50" i="33"/>
  <c r="B51" i="33"/>
  <c r="B52" i="33"/>
  <c r="B53" i="33"/>
  <c r="B47" i="33"/>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19" i="11"/>
  <c r="AE12" i="33" l="1"/>
  <c r="AE13" i="33" s="1"/>
  <c r="O12" i="33"/>
  <c r="AE14" i="33" l="1"/>
  <c r="AE17" i="33"/>
  <c r="AE18" i="33"/>
  <c r="AE16" i="33"/>
  <c r="AE15" i="33"/>
  <c r="K31" i="33"/>
  <c r="A31" i="33"/>
  <c r="A12" i="33"/>
  <c r="O18" i="33" s="1"/>
  <c r="O20" i="33" l="1"/>
  <c r="K36" i="33"/>
  <c r="K33" i="33"/>
  <c r="K32" i="33"/>
  <c r="K34" i="33"/>
  <c r="K35" i="33"/>
  <c r="K37" i="33"/>
  <c r="A19" i="33"/>
  <c r="A18" i="33"/>
  <c r="O16" i="33"/>
  <c r="O19" i="33"/>
  <c r="A22" i="33"/>
  <c r="A21" i="33"/>
  <c r="A14" i="33"/>
  <c r="O17" i="33"/>
  <c r="A13" i="33"/>
  <c r="A16" i="33"/>
  <c r="O14" i="33"/>
  <c r="O22" i="33"/>
  <c r="A17" i="33"/>
  <c r="O13" i="33"/>
  <c r="O21" i="33"/>
  <c r="A23" i="33"/>
  <c r="A15" i="33"/>
  <c r="O15" i="33"/>
  <c r="O23" i="33"/>
  <c r="A20" i="33"/>
  <c r="V18" i="8"/>
  <c r="A33" i="33"/>
  <c r="A36" i="33"/>
  <c r="V19" i="8"/>
  <c r="V20" i="8"/>
  <c r="V21" i="8"/>
  <c r="V22" i="8"/>
  <c r="V23" i="8"/>
  <c r="V24" i="8"/>
  <c r="A46" i="33"/>
  <c r="A48" i="33" s="1"/>
  <c r="A4" i="46"/>
  <c r="A5" i="46"/>
  <c r="A6" i="46"/>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3" i="46"/>
  <c r="B3" i="44"/>
  <c r="B4" i="44"/>
  <c r="B5" i="44"/>
  <c r="B6" i="44"/>
  <c r="B7" i="44"/>
  <c r="B8" i="44"/>
  <c r="B9" i="44"/>
  <c r="B10" i="44"/>
  <c r="B11" i="44"/>
  <c r="B12" i="44"/>
  <c r="B13" i="44"/>
  <c r="B14" i="44"/>
  <c r="B15" i="44"/>
  <c r="B16" i="44"/>
  <c r="B17" i="44"/>
  <c r="B18" i="44"/>
  <c r="B19" i="44"/>
  <c r="B20" i="44"/>
  <c r="B21" i="44"/>
  <c r="B22" i="44"/>
  <c r="B23" i="44"/>
  <c r="B24" i="44"/>
  <c r="B25" i="44"/>
  <c r="B26" i="44"/>
  <c r="B27" i="44"/>
  <c r="B28" i="44"/>
  <c r="B29" i="44"/>
  <c r="B30" i="44"/>
  <c r="B31" i="44"/>
  <c r="B32" i="44"/>
  <c r="B33" i="44"/>
  <c r="B34" i="44"/>
  <c r="B35" i="44"/>
  <c r="B36" i="44"/>
  <c r="B37" i="44"/>
  <c r="B38" i="44"/>
  <c r="B39" i="44"/>
  <c r="B40" i="44"/>
  <c r="B41" i="44"/>
  <c r="B42" i="44"/>
  <c r="B43" i="44"/>
  <c r="B44" i="44"/>
  <c r="B45" i="44"/>
  <c r="B46" i="44"/>
  <c r="B47" i="44"/>
  <c r="B48" i="44"/>
  <c r="B49" i="44"/>
  <c r="B50" i="44"/>
  <c r="B51" i="44"/>
  <c r="B52" i="44"/>
  <c r="B53" i="44"/>
  <c r="B54" i="44"/>
  <c r="B55" i="44"/>
  <c r="B56" i="44"/>
  <c r="B57" i="44"/>
  <c r="B58" i="44"/>
  <c r="B59" i="44"/>
  <c r="B60" i="44"/>
  <c r="B61" i="44"/>
  <c r="B62" i="44"/>
  <c r="B63" i="44"/>
  <c r="B64" i="44"/>
  <c r="B65" i="44"/>
  <c r="B66" i="44"/>
  <c r="B67" i="44"/>
  <c r="B68" i="44"/>
  <c r="B69" i="44"/>
  <c r="B70" i="44"/>
  <c r="B71" i="44"/>
  <c r="B72" i="44"/>
  <c r="B73" i="44"/>
  <c r="B74" i="44"/>
  <c r="B75" i="44"/>
  <c r="B76" i="44"/>
  <c r="B77" i="44"/>
  <c r="B78" i="44"/>
  <c r="B79" i="44"/>
  <c r="B80" i="44"/>
  <c r="B81" i="44"/>
  <c r="B82" i="44"/>
  <c r="B83" i="44"/>
  <c r="B84" i="44"/>
  <c r="B85" i="44"/>
  <c r="B86" i="44"/>
  <c r="B87" i="44"/>
  <c r="B88" i="44"/>
  <c r="B89" i="44"/>
  <c r="B90" i="44"/>
  <c r="B91" i="44"/>
  <c r="B92" i="44"/>
  <c r="B93" i="44"/>
  <c r="B94" i="44"/>
  <c r="B95" i="44"/>
  <c r="B96" i="44"/>
  <c r="B97" i="44"/>
  <c r="B98" i="44"/>
  <c r="B99" i="44"/>
  <c r="B100" i="44"/>
  <c r="B101" i="44"/>
  <c r="B102" i="44"/>
  <c r="B103" i="44"/>
  <c r="B104" i="44"/>
  <c r="B105" i="44"/>
  <c r="B106" i="44"/>
  <c r="B107" i="44"/>
  <c r="B108" i="44"/>
  <c r="B109" i="44"/>
  <c r="B110" i="44"/>
  <c r="B111" i="44"/>
  <c r="B112" i="44"/>
  <c r="B113" i="44"/>
  <c r="B114" i="44"/>
  <c r="B115" i="44"/>
  <c r="B116" i="44"/>
  <c r="B117" i="44"/>
  <c r="B118" i="44"/>
  <c r="B119" i="44"/>
  <c r="B120" i="44"/>
  <c r="B121" i="44"/>
  <c r="B122" i="44"/>
  <c r="B123" i="44"/>
  <c r="B124" i="44"/>
  <c r="B125" i="44"/>
  <c r="B126" i="44"/>
  <c r="B127" i="44"/>
  <c r="B128" i="44"/>
  <c r="B129" i="44"/>
  <c r="B130" i="44"/>
  <c r="B131" i="44"/>
  <c r="B132" i="44"/>
  <c r="B133" i="44"/>
  <c r="B134" i="44"/>
  <c r="B135" i="44"/>
  <c r="B136" i="44"/>
  <c r="B137" i="44"/>
  <c r="B138" i="44"/>
  <c r="B139" i="44"/>
  <c r="B140" i="44"/>
  <c r="B141" i="44"/>
  <c r="B142" i="44"/>
  <c r="B143" i="44"/>
  <c r="B144" i="44"/>
  <c r="B145" i="44"/>
  <c r="B146" i="44"/>
  <c r="B147" i="44"/>
  <c r="B148" i="44"/>
  <c r="B149" i="44"/>
  <c r="B150" i="44"/>
  <c r="B151" i="44"/>
  <c r="B152" i="44"/>
  <c r="B153" i="44"/>
  <c r="B154" i="44"/>
  <c r="B155" i="44"/>
  <c r="B156" i="44"/>
  <c r="B157" i="44"/>
  <c r="B158" i="44"/>
  <c r="B159" i="44"/>
  <c r="B160" i="44"/>
  <c r="B161" i="44"/>
  <c r="B162" i="44"/>
  <c r="B163" i="44"/>
  <c r="B164" i="44"/>
  <c r="B165" i="44"/>
  <c r="B166" i="44"/>
  <c r="B167" i="44"/>
  <c r="B168" i="44"/>
  <c r="B169" i="44"/>
  <c r="B170" i="44"/>
  <c r="B171" i="44"/>
  <c r="B172" i="44"/>
  <c r="B173" i="44"/>
  <c r="B174" i="44"/>
  <c r="B175" i="44"/>
  <c r="B176" i="44"/>
  <c r="B177" i="44"/>
  <c r="B178" i="44"/>
  <c r="B179" i="44"/>
  <c r="B180" i="44"/>
  <c r="B181" i="44"/>
  <c r="B182" i="44"/>
  <c r="B183" i="44"/>
  <c r="B184" i="44"/>
  <c r="B185" i="44"/>
  <c r="B186" i="44"/>
  <c r="B187" i="44"/>
  <c r="B188" i="44"/>
  <c r="B189" i="44"/>
  <c r="B190" i="44"/>
  <c r="B191" i="44"/>
  <c r="B192" i="44"/>
  <c r="B193" i="44"/>
  <c r="B194" i="44"/>
  <c r="B195" i="44"/>
  <c r="B196" i="44"/>
  <c r="B197" i="44"/>
  <c r="B198" i="44"/>
  <c r="B199" i="44"/>
  <c r="B200" i="44"/>
  <c r="B201" i="44"/>
  <c r="B202" i="44"/>
  <c r="B203" i="44"/>
  <c r="B204" i="44"/>
  <c r="B205" i="44"/>
  <c r="B206" i="44"/>
  <c r="B207" i="44"/>
  <c r="B208" i="44"/>
  <c r="B209" i="44"/>
  <c r="B210" i="44"/>
  <c r="B211" i="44"/>
  <c r="B212" i="44"/>
  <c r="B213" i="44"/>
  <c r="B214" i="44"/>
  <c r="B215" i="44"/>
  <c r="B216" i="44"/>
  <c r="B217" i="44"/>
  <c r="B218" i="44"/>
  <c r="B219" i="44"/>
  <c r="B220" i="44"/>
  <c r="B221" i="44"/>
  <c r="B222" i="44"/>
  <c r="B223" i="44"/>
  <c r="B224" i="44"/>
  <c r="B225" i="44"/>
  <c r="B226" i="44"/>
  <c r="B227" i="44"/>
  <c r="B228" i="44"/>
  <c r="B229" i="44"/>
  <c r="B230" i="44"/>
  <c r="B231" i="44"/>
  <c r="B232" i="44"/>
  <c r="B233" i="44"/>
  <c r="B234" i="44"/>
  <c r="B235" i="44"/>
  <c r="B236" i="44"/>
  <c r="B237" i="44"/>
  <c r="B238" i="44"/>
  <c r="B239" i="44"/>
  <c r="B240" i="44"/>
  <c r="B241" i="44"/>
  <c r="B242" i="44"/>
  <c r="B243" i="44"/>
  <c r="B244" i="44"/>
  <c r="B245" i="44"/>
  <c r="B246" i="44"/>
  <c r="B247" i="44"/>
  <c r="B248" i="44"/>
  <c r="B249" i="44"/>
  <c r="B250" i="44"/>
  <c r="B251" i="44"/>
  <c r="B252" i="44"/>
  <c r="B253" i="44"/>
  <c r="B254" i="44"/>
  <c r="B255" i="44"/>
  <c r="B256" i="44"/>
  <c r="B257" i="44"/>
  <c r="B258" i="44"/>
  <c r="B259" i="44"/>
  <c r="B260" i="44"/>
  <c r="B261" i="44"/>
  <c r="B262" i="44"/>
  <c r="B263" i="44"/>
  <c r="B264" i="44"/>
  <c r="B265" i="44"/>
  <c r="B266" i="44"/>
  <c r="B267" i="44"/>
  <c r="B268" i="44"/>
  <c r="B269" i="44"/>
  <c r="B270" i="44"/>
  <c r="B271" i="44"/>
  <c r="B272" i="44"/>
  <c r="B273" i="44"/>
  <c r="B274" i="44"/>
  <c r="B275" i="44"/>
  <c r="B276" i="44"/>
  <c r="B277" i="44"/>
  <c r="B278" i="44"/>
  <c r="B279" i="44"/>
  <c r="B280" i="44"/>
  <c r="B281" i="44"/>
  <c r="B282" i="44"/>
  <c r="B283" i="44"/>
  <c r="B284" i="44"/>
  <c r="B285" i="44"/>
  <c r="B286" i="44"/>
  <c r="B287" i="44"/>
  <c r="B288" i="44"/>
  <c r="B289" i="44"/>
  <c r="B290" i="44"/>
  <c r="B291" i="44"/>
  <c r="B292" i="44"/>
  <c r="B293" i="44"/>
  <c r="B294" i="44"/>
  <c r="B295" i="44"/>
  <c r="B296" i="44"/>
  <c r="B297" i="44"/>
  <c r="B298" i="44"/>
  <c r="B299" i="44"/>
  <c r="B300" i="44"/>
  <c r="B301" i="44"/>
  <c r="B302" i="44"/>
  <c r="B303" i="44"/>
  <c r="B304" i="44"/>
  <c r="B305" i="44"/>
  <c r="B306" i="44"/>
  <c r="B307" i="44"/>
  <c r="B308" i="44"/>
  <c r="B309" i="44"/>
  <c r="B310" i="44"/>
  <c r="B311" i="44"/>
  <c r="B312" i="44"/>
  <c r="B313" i="44"/>
  <c r="B314" i="44"/>
  <c r="B315" i="44"/>
  <c r="B316" i="44"/>
  <c r="B317" i="44"/>
  <c r="B318" i="44"/>
  <c r="B319" i="44"/>
  <c r="B320" i="44"/>
  <c r="B321" i="44"/>
  <c r="B322" i="44"/>
  <c r="B323" i="44"/>
  <c r="B324" i="44"/>
  <c r="B325" i="44"/>
  <c r="B326" i="44"/>
  <c r="B327" i="44"/>
  <c r="B328" i="44"/>
  <c r="B329" i="44"/>
  <c r="B330" i="44"/>
  <c r="B331" i="44"/>
  <c r="B332" i="44"/>
  <c r="B333" i="44"/>
  <c r="B334" i="44"/>
  <c r="B335" i="44"/>
  <c r="B336" i="44"/>
  <c r="B337" i="44"/>
  <c r="B338" i="44"/>
  <c r="B339" i="44"/>
  <c r="B340" i="44"/>
  <c r="B341" i="44"/>
  <c r="B342" i="44"/>
  <c r="B343" i="44"/>
  <c r="B344" i="44"/>
  <c r="B345" i="44"/>
  <c r="B346" i="44"/>
  <c r="B347" i="44"/>
  <c r="B348" i="44"/>
  <c r="B349" i="44"/>
  <c r="B350" i="44"/>
  <c r="B351" i="44"/>
  <c r="B352" i="44"/>
  <c r="B353" i="44"/>
  <c r="B354" i="44"/>
  <c r="B355" i="44"/>
  <c r="B356" i="44"/>
  <c r="B357" i="44"/>
  <c r="B358" i="44"/>
  <c r="B359" i="44"/>
  <c r="B360" i="44"/>
  <c r="B361" i="44"/>
  <c r="B362" i="44"/>
  <c r="B363" i="44"/>
  <c r="B364" i="44"/>
  <c r="B365" i="44"/>
  <c r="B366" i="44"/>
  <c r="B367" i="44"/>
  <c r="B368" i="44"/>
  <c r="B369" i="44"/>
  <c r="B370" i="44"/>
  <c r="B371" i="44"/>
  <c r="B372" i="44"/>
  <c r="B373" i="44"/>
  <c r="B374" i="44"/>
  <c r="B375" i="44"/>
  <c r="B376" i="44"/>
  <c r="B377" i="44"/>
  <c r="B378" i="44"/>
  <c r="B379" i="44"/>
  <c r="B380" i="44"/>
  <c r="B381" i="44"/>
  <c r="B382" i="44"/>
  <c r="B383" i="44"/>
  <c r="B384" i="44"/>
  <c r="B385" i="44"/>
  <c r="B386" i="44"/>
  <c r="B387" i="44"/>
  <c r="B388" i="44"/>
  <c r="B389" i="44"/>
  <c r="B390" i="44"/>
  <c r="B391" i="44"/>
  <c r="B392" i="44"/>
  <c r="B393" i="44"/>
  <c r="B394" i="44"/>
  <c r="B395" i="44"/>
  <c r="B396" i="44"/>
  <c r="B397" i="44"/>
  <c r="B398" i="44"/>
  <c r="B399" i="44"/>
  <c r="B400" i="44"/>
  <c r="B401" i="44"/>
  <c r="B402" i="44"/>
  <c r="B403" i="44"/>
  <c r="B404" i="44"/>
  <c r="B405" i="44"/>
  <c r="B406" i="44"/>
  <c r="B407" i="44"/>
  <c r="B408" i="44"/>
  <c r="B409" i="44"/>
  <c r="B410" i="44"/>
  <c r="B411" i="44"/>
  <c r="B412" i="44"/>
  <c r="B413" i="44"/>
  <c r="B414" i="44"/>
  <c r="B415" i="44"/>
  <c r="B416" i="44"/>
  <c r="B417" i="44"/>
  <c r="B418" i="44"/>
  <c r="B419" i="44"/>
  <c r="B420" i="44"/>
  <c r="B421" i="44"/>
  <c r="B422" i="44"/>
  <c r="B423" i="44"/>
  <c r="B424" i="44"/>
  <c r="B425" i="44"/>
  <c r="B426" i="44"/>
  <c r="B427" i="44"/>
  <c r="B428" i="44"/>
  <c r="B429" i="44"/>
  <c r="B430" i="44"/>
  <c r="B431" i="44"/>
  <c r="B432" i="44"/>
  <c r="B433" i="44"/>
  <c r="B434" i="44"/>
  <c r="B435" i="44"/>
  <c r="B436" i="44"/>
  <c r="B437" i="44"/>
  <c r="B438" i="44"/>
  <c r="B439" i="44"/>
  <c r="B440" i="44"/>
  <c r="B441" i="44"/>
  <c r="B442" i="44"/>
  <c r="B443" i="44"/>
  <c r="B444" i="44"/>
  <c r="B445" i="44"/>
  <c r="B446" i="44"/>
  <c r="B447" i="44"/>
  <c r="B448" i="44"/>
  <c r="B449" i="44"/>
  <c r="B450" i="44"/>
  <c r="B451" i="44"/>
  <c r="B452" i="44"/>
  <c r="B453" i="44"/>
  <c r="B454" i="44"/>
  <c r="B455" i="44"/>
  <c r="B456" i="44"/>
  <c r="B457" i="44"/>
  <c r="B458" i="44"/>
  <c r="B459" i="44"/>
  <c r="B460" i="44"/>
  <c r="B461" i="44"/>
  <c r="B462" i="44"/>
  <c r="B463" i="44"/>
  <c r="B464" i="44"/>
  <c r="B465" i="44"/>
  <c r="B466" i="44"/>
  <c r="B467" i="44"/>
  <c r="B468" i="44"/>
  <c r="B469" i="44"/>
  <c r="B470" i="44"/>
  <c r="B2" i="44"/>
  <c r="A41" i="33" l="1"/>
  <c r="A52" i="33"/>
  <c r="A32" i="33"/>
  <c r="A42" i="33"/>
  <c r="A35" i="33"/>
  <c r="A40" i="33"/>
  <c r="A34" i="33"/>
  <c r="A47" i="33"/>
  <c r="A53" i="33"/>
  <c r="A39" i="33"/>
  <c r="A51" i="33"/>
  <c r="A38" i="33"/>
  <c r="A50" i="33"/>
  <c r="A37" i="33"/>
  <c r="A49" i="33"/>
  <c r="D49" i="33" s="1"/>
  <c r="D48" i="33"/>
  <c r="B4" i="46"/>
  <c r="B5" i="46"/>
  <c r="B6" i="46"/>
  <c r="B7" i="46"/>
  <c r="B8" i="46"/>
  <c r="B9" i="46"/>
  <c r="B10" i="46"/>
  <c r="B11" i="46"/>
  <c r="B12" i="46"/>
  <c r="B13" i="46"/>
  <c r="B14" i="46"/>
  <c r="B15" i="46"/>
  <c r="B16" i="46"/>
  <c r="B17" i="46"/>
  <c r="B18" i="46"/>
  <c r="B19" i="46"/>
  <c r="B20" i="46"/>
  <c r="B21" i="46"/>
  <c r="B22" i="46"/>
  <c r="B23" i="46"/>
  <c r="B24" i="46"/>
  <c r="B25" i="46"/>
  <c r="B26" i="46"/>
  <c r="B27" i="46"/>
  <c r="B28" i="46"/>
  <c r="B29" i="46"/>
  <c r="B30" i="46"/>
  <c r="B31" i="46"/>
  <c r="B32" i="46"/>
  <c r="B33" i="46"/>
  <c r="B34" i="46"/>
  <c r="B35" i="46"/>
  <c r="B36" i="46"/>
  <c r="B37" i="46"/>
  <c r="B38" i="46"/>
  <c r="B39" i="46"/>
  <c r="B40" i="46"/>
  <c r="B41" i="46"/>
  <c r="B42" i="46"/>
  <c r="B43" i="46"/>
  <c r="B44" i="46"/>
  <c r="B45" i="46"/>
  <c r="B46" i="46"/>
  <c r="B47" i="46"/>
  <c r="B48" i="46"/>
  <c r="B49" i="46"/>
  <c r="B50" i="46"/>
  <c r="B51" i="46"/>
  <c r="B52" i="46"/>
  <c r="B53" i="46"/>
  <c r="B54" i="46"/>
  <c r="B55" i="46"/>
  <c r="B56" i="46"/>
  <c r="B57" i="46"/>
  <c r="B58" i="46"/>
  <c r="B59" i="46"/>
  <c r="B60" i="46"/>
  <c r="B61" i="46"/>
  <c r="B62" i="46"/>
  <c r="B63" i="46"/>
  <c r="B64" i="46"/>
  <c r="B65" i="46"/>
  <c r="B66" i="46"/>
  <c r="B67" i="46"/>
  <c r="B68" i="46"/>
  <c r="B69" i="46"/>
  <c r="B70" i="46"/>
  <c r="B71" i="46"/>
  <c r="B72" i="46"/>
  <c r="B73" i="46"/>
  <c r="B74" i="46"/>
  <c r="B75" i="46"/>
  <c r="B76" i="46"/>
  <c r="B77" i="46"/>
  <c r="B78" i="46"/>
  <c r="B79" i="46"/>
  <c r="B80" i="46"/>
  <c r="B81" i="46"/>
  <c r="B82" i="46"/>
  <c r="B83" i="46"/>
  <c r="B84" i="46"/>
  <c r="B85" i="46"/>
  <c r="B86" i="46"/>
  <c r="B87" i="46"/>
  <c r="B88" i="46"/>
  <c r="B89" i="46"/>
  <c r="B90" i="46"/>
  <c r="B91" i="46"/>
  <c r="B92" i="46"/>
  <c r="B93" i="46"/>
  <c r="B94" i="46"/>
  <c r="B95" i="46"/>
  <c r="B96" i="46"/>
  <c r="B97" i="46"/>
  <c r="B98" i="46"/>
  <c r="B99" i="46"/>
  <c r="B100" i="46"/>
  <c r="B101" i="46"/>
  <c r="B102" i="46"/>
  <c r="B103" i="46"/>
  <c r="B104" i="46"/>
  <c r="B105" i="46"/>
  <c r="B106" i="46"/>
  <c r="B107" i="46"/>
  <c r="B108" i="46"/>
  <c r="B109" i="46"/>
  <c r="B110" i="46"/>
  <c r="B3" i="46"/>
  <c r="C4"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3" i="46"/>
  <c r="C19" i="2"/>
  <c r="B19" i="2" s="1"/>
  <c r="C20" i="2"/>
  <c r="B20" i="2" s="1"/>
  <c r="C21" i="2"/>
  <c r="B21" i="2" s="1"/>
  <c r="C22" i="2"/>
  <c r="B22" i="2" s="1"/>
  <c r="C23" i="2"/>
  <c r="B23" i="2" s="1"/>
  <c r="C18" i="2"/>
  <c r="B19" i="6"/>
  <c r="E32" i="5" l="1"/>
  <c r="E33" i="5"/>
  <c r="C51" i="11"/>
  <c r="C58" i="11"/>
  <c r="C52" i="11"/>
  <c r="C59" i="11"/>
  <c r="C53" i="11"/>
  <c r="C60" i="11"/>
  <c r="C46" i="11"/>
  <c r="C54" i="11"/>
  <c r="C47" i="11"/>
  <c r="C55" i="11"/>
  <c r="C48" i="11"/>
  <c r="C56" i="11"/>
  <c r="C49" i="11"/>
  <c r="C57" i="11"/>
  <c r="C50" i="11"/>
  <c r="C18" i="3"/>
  <c r="B18" i="3" s="1"/>
  <c r="I18" i="3" s="1"/>
  <c r="C20" i="3"/>
  <c r="C19" i="3"/>
  <c r="D39" i="4"/>
  <c r="D54" i="4"/>
  <c r="D51" i="4"/>
  <c r="D55" i="4"/>
  <c r="D57" i="4"/>
  <c r="C35" i="3"/>
  <c r="D58" i="4"/>
  <c r="D52" i="4"/>
  <c r="D53" i="4"/>
  <c r="D50" i="4"/>
  <c r="C34" i="3"/>
  <c r="C33" i="3"/>
  <c r="D56" i="4"/>
  <c r="AD22" i="2"/>
  <c r="AO22" i="2"/>
  <c r="CH22" i="2" s="1"/>
  <c r="BA21" i="2"/>
  <c r="AO21" i="2"/>
  <c r="CH21" i="2" s="1"/>
  <c r="BA23" i="2"/>
  <c r="AO23" i="2"/>
  <c r="CH23" i="2" s="1"/>
  <c r="BF20" i="2"/>
  <c r="AO20" i="2"/>
  <c r="CH20" i="2" s="1"/>
  <c r="AD19" i="2"/>
  <c r="AO19" i="2"/>
  <c r="CH19" i="2" s="1"/>
  <c r="BF23" i="2"/>
  <c r="AD23" i="2"/>
  <c r="BA22" i="2"/>
  <c r="BF22" i="2"/>
  <c r="AU23" i="2"/>
  <c r="BA20" i="2"/>
  <c r="BF21" i="2"/>
  <c r="AC23" i="2"/>
  <c r="AZ23" i="2"/>
  <c r="BE23" i="2"/>
  <c r="AT23" i="2"/>
  <c r="AD20" i="2"/>
  <c r="AT21" i="2"/>
  <c r="AZ21" i="2"/>
  <c r="BE21" i="2"/>
  <c r="AU21" i="2"/>
  <c r="BF19" i="2"/>
  <c r="AU20" i="2"/>
  <c r="BE22" i="2"/>
  <c r="AT22" i="2"/>
  <c r="AZ22" i="2"/>
  <c r="AU22" i="2"/>
  <c r="BA19" i="2"/>
  <c r="AD21" i="2"/>
  <c r="BE20" i="2"/>
  <c r="AZ20" i="2"/>
  <c r="AT20" i="2"/>
  <c r="AT19" i="2"/>
  <c r="AZ19" i="2"/>
  <c r="BE19" i="2"/>
  <c r="AU19" i="2"/>
  <c r="E354" i="44"/>
  <c r="A354" i="44" s="1"/>
  <c r="D47" i="33"/>
  <c r="E338" i="44"/>
  <c r="A338" i="44" s="1"/>
  <c r="E57" i="44"/>
  <c r="A57" i="44" s="1"/>
  <c r="E88" i="44"/>
  <c r="A88" i="44" s="1"/>
  <c r="E369" i="44"/>
  <c r="A369" i="44" s="1"/>
  <c r="E281" i="44"/>
  <c r="A281" i="44" s="1"/>
  <c r="E185" i="44"/>
  <c r="A185" i="44" s="1"/>
  <c r="E139" i="44"/>
  <c r="A139" i="44" s="1"/>
  <c r="E469" i="44"/>
  <c r="A469" i="44" s="1"/>
  <c r="E350" i="44"/>
  <c r="A350" i="44" s="1"/>
  <c r="E142" i="44"/>
  <c r="A142" i="44" s="1"/>
  <c r="E82" i="44"/>
  <c r="A82" i="44" s="1"/>
  <c r="E395" i="44"/>
  <c r="A395" i="44" s="1"/>
  <c r="E389" i="44"/>
  <c r="A389" i="44" s="1"/>
  <c r="E78" i="44"/>
  <c r="A78" i="44" s="1"/>
  <c r="E447" i="44"/>
  <c r="A447" i="44" s="1"/>
  <c r="E127" i="44"/>
  <c r="A127" i="44" s="1"/>
  <c r="E72" i="44"/>
  <c r="A72" i="44" s="1"/>
  <c r="E210" i="44"/>
  <c r="A210" i="44" s="1"/>
  <c r="E147" i="44"/>
  <c r="A147" i="44" s="1"/>
  <c r="E441" i="44"/>
  <c r="A441" i="44" s="1"/>
  <c r="E405" i="44"/>
  <c r="A405" i="44" s="1"/>
  <c r="E22" i="44"/>
  <c r="A22" i="44" s="1"/>
  <c r="E214" i="44"/>
  <c r="A214" i="44" s="1"/>
  <c r="E278" i="44"/>
  <c r="A278" i="44" s="1"/>
  <c r="E135" i="44"/>
  <c r="A135" i="44" s="1"/>
  <c r="E199" i="44"/>
  <c r="A199" i="44" s="1"/>
  <c r="E263" i="44"/>
  <c r="A263" i="44" s="1"/>
  <c r="E327" i="44"/>
  <c r="A327" i="44" s="1"/>
  <c r="E391" i="44"/>
  <c r="A391" i="44" s="1"/>
  <c r="E209" i="44"/>
  <c r="A209" i="44" s="1"/>
  <c r="E33" i="44"/>
  <c r="A33" i="44" s="1"/>
  <c r="E442" i="44"/>
  <c r="A442" i="44" s="1"/>
  <c r="E26" i="44"/>
  <c r="A26" i="44" s="1"/>
  <c r="E90" i="44"/>
  <c r="A90" i="44" s="1"/>
  <c r="E154" i="44"/>
  <c r="A154" i="44" s="1"/>
  <c r="E218" i="44"/>
  <c r="A218" i="44" s="1"/>
  <c r="E282" i="44"/>
  <c r="A282" i="44" s="1"/>
  <c r="E346" i="44"/>
  <c r="A346" i="44" s="1"/>
  <c r="E27" i="44"/>
  <c r="A27" i="44" s="1"/>
  <c r="E91" i="44"/>
  <c r="A91" i="44" s="1"/>
  <c r="E155" i="44"/>
  <c r="A155" i="44" s="1"/>
  <c r="E219" i="44"/>
  <c r="A219" i="44" s="1"/>
  <c r="E283" i="44"/>
  <c r="A283" i="44" s="1"/>
  <c r="E347" i="44"/>
  <c r="A347" i="44" s="1"/>
  <c r="E411" i="44"/>
  <c r="A411" i="44" s="1"/>
  <c r="E253" i="44"/>
  <c r="A253" i="44" s="1"/>
  <c r="E381" i="44"/>
  <c r="A381" i="44" s="1"/>
  <c r="E426" i="44"/>
  <c r="A426" i="44" s="1"/>
  <c r="E29" i="44"/>
  <c r="A29" i="44" s="1"/>
  <c r="E93" i="44"/>
  <c r="A93" i="44" s="1"/>
  <c r="E165" i="44"/>
  <c r="A165" i="44" s="1"/>
  <c r="E293" i="44"/>
  <c r="A293" i="44" s="1"/>
  <c r="E421" i="44"/>
  <c r="A421" i="44" s="1"/>
  <c r="E382" i="44"/>
  <c r="A382" i="44" s="1"/>
  <c r="E455" i="44"/>
  <c r="A455" i="44" s="1"/>
  <c r="E297" i="44"/>
  <c r="A297" i="44" s="1"/>
  <c r="E425" i="44"/>
  <c r="A425" i="44" s="1"/>
  <c r="E30" i="44"/>
  <c r="A30" i="44" s="1"/>
  <c r="E94" i="44"/>
  <c r="A94" i="44" s="1"/>
  <c r="E158" i="44"/>
  <c r="A158" i="44" s="1"/>
  <c r="E222" i="44"/>
  <c r="A222" i="44" s="1"/>
  <c r="E286" i="44"/>
  <c r="A286" i="44" s="1"/>
  <c r="E406" i="44"/>
  <c r="A406" i="44" s="1"/>
  <c r="E97" i="44"/>
  <c r="A97" i="44" s="1"/>
  <c r="E15" i="44"/>
  <c r="A15" i="44" s="1"/>
  <c r="E79" i="44"/>
  <c r="A79" i="44" s="1"/>
  <c r="E143" i="44"/>
  <c r="A143" i="44" s="1"/>
  <c r="E207" i="44"/>
  <c r="A207" i="44" s="1"/>
  <c r="E271" i="44"/>
  <c r="A271" i="44" s="1"/>
  <c r="E335" i="44"/>
  <c r="A335" i="44" s="1"/>
  <c r="E399" i="44"/>
  <c r="A399" i="44" s="1"/>
  <c r="E241" i="44"/>
  <c r="A241" i="44" s="1"/>
  <c r="E104" i="44"/>
  <c r="A104" i="44" s="1"/>
  <c r="E41" i="44"/>
  <c r="A41" i="44" s="1"/>
  <c r="E217" i="44"/>
  <c r="A217" i="44" s="1"/>
  <c r="E385" i="44"/>
  <c r="A385" i="44" s="1"/>
  <c r="E450" i="44"/>
  <c r="A450" i="44" s="1"/>
  <c r="E34" i="44"/>
  <c r="A34" i="44" s="1"/>
  <c r="E98" i="44"/>
  <c r="A98" i="44" s="1"/>
  <c r="E162" i="44"/>
  <c r="A162" i="44" s="1"/>
  <c r="E226" i="44"/>
  <c r="A226" i="44" s="1"/>
  <c r="E290" i="44"/>
  <c r="A290" i="44" s="1"/>
  <c r="E75" i="44"/>
  <c r="A75" i="44" s="1"/>
  <c r="E349" i="44"/>
  <c r="A349" i="44" s="1"/>
  <c r="E141" i="44"/>
  <c r="A141" i="44" s="1"/>
  <c r="E249" i="44"/>
  <c r="A249" i="44" s="1"/>
  <c r="E206" i="44"/>
  <c r="A206" i="44" s="1"/>
  <c r="E191" i="44"/>
  <c r="A191" i="44" s="1"/>
  <c r="E353" i="44"/>
  <c r="A353" i="44" s="1"/>
  <c r="E274" i="44"/>
  <c r="A274" i="44" s="1"/>
  <c r="E339" i="44"/>
  <c r="A339" i="44" s="1"/>
  <c r="E21" i="44"/>
  <c r="A21" i="44" s="1"/>
  <c r="E366" i="44"/>
  <c r="A366" i="44" s="1"/>
  <c r="E150" i="44"/>
  <c r="A150" i="44" s="1"/>
  <c r="E20" i="44"/>
  <c r="A20" i="44" s="1"/>
  <c r="E64" i="44"/>
  <c r="A64" i="44" s="1"/>
  <c r="E108" i="44"/>
  <c r="A108" i="44" s="1"/>
  <c r="E148" i="44"/>
  <c r="A148" i="44" s="1"/>
  <c r="E184" i="44"/>
  <c r="A184" i="44" s="1"/>
  <c r="E216" i="44"/>
  <c r="A216" i="44" s="1"/>
  <c r="E248" i="44"/>
  <c r="A248" i="44" s="1"/>
  <c r="E280" i="44"/>
  <c r="A280" i="44" s="1"/>
  <c r="E312" i="44"/>
  <c r="A312" i="44" s="1"/>
  <c r="E344" i="44"/>
  <c r="A344" i="44" s="1"/>
  <c r="E376" i="44"/>
  <c r="A376" i="44" s="1"/>
  <c r="E408" i="44"/>
  <c r="A408" i="44" s="1"/>
  <c r="E440" i="44"/>
  <c r="A440" i="44" s="1"/>
  <c r="E28" i="44"/>
  <c r="A28" i="44" s="1"/>
  <c r="E68" i="44"/>
  <c r="A68" i="44" s="1"/>
  <c r="E112" i="44"/>
  <c r="A112" i="44" s="1"/>
  <c r="E156" i="44"/>
  <c r="A156" i="44" s="1"/>
  <c r="E188" i="44"/>
  <c r="A188" i="44" s="1"/>
  <c r="E220" i="44"/>
  <c r="A220" i="44" s="1"/>
  <c r="E252" i="44"/>
  <c r="A252" i="44" s="1"/>
  <c r="E284" i="44"/>
  <c r="A284" i="44" s="1"/>
  <c r="E316" i="44"/>
  <c r="A316" i="44" s="1"/>
  <c r="E348" i="44"/>
  <c r="A348" i="44" s="1"/>
  <c r="E380" i="44"/>
  <c r="A380" i="44" s="1"/>
  <c r="E412" i="44"/>
  <c r="A412" i="44" s="1"/>
  <c r="E444" i="44"/>
  <c r="A444" i="44" s="1"/>
  <c r="E32" i="44"/>
  <c r="A32" i="44" s="1"/>
  <c r="E76" i="44"/>
  <c r="A76" i="44" s="1"/>
  <c r="E116" i="44"/>
  <c r="A116" i="44" s="1"/>
  <c r="E160" i="44"/>
  <c r="A160" i="44" s="1"/>
  <c r="E192" i="44"/>
  <c r="A192" i="44" s="1"/>
  <c r="E224" i="44"/>
  <c r="A224" i="44" s="1"/>
  <c r="E256" i="44"/>
  <c r="A256" i="44" s="1"/>
  <c r="E288" i="44"/>
  <c r="A288" i="44" s="1"/>
  <c r="E320" i="44"/>
  <c r="A320" i="44" s="1"/>
  <c r="E352" i="44"/>
  <c r="A352" i="44" s="1"/>
  <c r="E384" i="44"/>
  <c r="A384" i="44" s="1"/>
  <c r="E416" i="44"/>
  <c r="A416" i="44" s="1"/>
  <c r="E448" i="44"/>
  <c r="A448" i="44" s="1"/>
  <c r="E36" i="44"/>
  <c r="A36" i="44" s="1"/>
  <c r="E80" i="44"/>
  <c r="A80" i="44" s="1"/>
  <c r="E124" i="44"/>
  <c r="A124" i="44" s="1"/>
  <c r="E164" i="44"/>
  <c r="A164" i="44" s="1"/>
  <c r="E196" i="44"/>
  <c r="A196" i="44" s="1"/>
  <c r="E228" i="44"/>
  <c r="A228" i="44" s="1"/>
  <c r="E260" i="44"/>
  <c r="A260" i="44" s="1"/>
  <c r="E292" i="44"/>
  <c r="A292" i="44" s="1"/>
  <c r="E324" i="44"/>
  <c r="A324" i="44" s="1"/>
  <c r="E356" i="44"/>
  <c r="A356" i="44" s="1"/>
  <c r="E388" i="44"/>
  <c r="A388" i="44" s="1"/>
  <c r="E420" i="44"/>
  <c r="A420" i="44" s="1"/>
  <c r="E452" i="44"/>
  <c r="A452" i="44" s="1"/>
  <c r="E44" i="44"/>
  <c r="A44" i="44" s="1"/>
  <c r="E84" i="44"/>
  <c r="A84" i="44" s="1"/>
  <c r="E128" i="44"/>
  <c r="A128" i="44" s="1"/>
  <c r="E168" i="44"/>
  <c r="A168" i="44" s="1"/>
  <c r="E200" i="44"/>
  <c r="A200" i="44" s="1"/>
  <c r="E232" i="44"/>
  <c r="A232" i="44" s="1"/>
  <c r="E264" i="44"/>
  <c r="A264" i="44" s="1"/>
  <c r="E296" i="44"/>
  <c r="A296" i="44" s="1"/>
  <c r="E328" i="44"/>
  <c r="A328" i="44" s="1"/>
  <c r="E360" i="44"/>
  <c r="A360" i="44" s="1"/>
  <c r="E392" i="44"/>
  <c r="A392" i="44" s="1"/>
  <c r="E424" i="44"/>
  <c r="A424" i="44" s="1"/>
  <c r="E456" i="44"/>
  <c r="A456" i="44" s="1"/>
  <c r="E4" i="44"/>
  <c r="A4" i="44" s="1"/>
  <c r="E48" i="44"/>
  <c r="A48" i="44" s="1"/>
  <c r="E92" i="44"/>
  <c r="A92" i="44" s="1"/>
  <c r="E132" i="44"/>
  <c r="A132" i="44" s="1"/>
  <c r="E172" i="44"/>
  <c r="A172" i="44" s="1"/>
  <c r="E204" i="44"/>
  <c r="A204" i="44" s="1"/>
  <c r="E236" i="44"/>
  <c r="A236" i="44" s="1"/>
  <c r="E268" i="44"/>
  <c r="A268" i="44" s="1"/>
  <c r="E300" i="44"/>
  <c r="A300" i="44" s="1"/>
  <c r="E332" i="44"/>
  <c r="A332" i="44" s="1"/>
  <c r="E364" i="44"/>
  <c r="A364" i="44" s="1"/>
  <c r="E396" i="44"/>
  <c r="A396" i="44" s="1"/>
  <c r="E428" i="44"/>
  <c r="A428" i="44" s="1"/>
  <c r="E460" i="44"/>
  <c r="A460" i="44" s="1"/>
  <c r="E12" i="44"/>
  <c r="A12" i="44" s="1"/>
  <c r="E52" i="44"/>
  <c r="A52" i="44" s="1"/>
  <c r="E96" i="44"/>
  <c r="A96" i="44" s="1"/>
  <c r="E140" i="44"/>
  <c r="A140" i="44" s="1"/>
  <c r="E176" i="44"/>
  <c r="A176" i="44" s="1"/>
  <c r="E208" i="44"/>
  <c r="A208" i="44" s="1"/>
  <c r="E240" i="44"/>
  <c r="A240" i="44" s="1"/>
  <c r="E272" i="44"/>
  <c r="A272" i="44" s="1"/>
  <c r="E304" i="44"/>
  <c r="A304" i="44" s="1"/>
  <c r="E336" i="44"/>
  <c r="A336" i="44" s="1"/>
  <c r="E368" i="44"/>
  <c r="A368" i="44" s="1"/>
  <c r="E400" i="44"/>
  <c r="A400" i="44" s="1"/>
  <c r="E432" i="44"/>
  <c r="A432" i="44" s="1"/>
  <c r="E464" i="44"/>
  <c r="A464" i="44" s="1"/>
  <c r="E16" i="44"/>
  <c r="A16" i="44" s="1"/>
  <c r="E60" i="44"/>
  <c r="A60" i="44" s="1"/>
  <c r="E100" i="44"/>
  <c r="A100" i="44" s="1"/>
  <c r="E144" i="44"/>
  <c r="A144" i="44" s="1"/>
  <c r="E180" i="44"/>
  <c r="A180" i="44" s="1"/>
  <c r="E212" i="44"/>
  <c r="A212" i="44" s="1"/>
  <c r="E244" i="44"/>
  <c r="A244" i="44" s="1"/>
  <c r="E276" i="44"/>
  <c r="A276" i="44" s="1"/>
  <c r="E308" i="44"/>
  <c r="A308" i="44" s="1"/>
  <c r="E340" i="44"/>
  <c r="A340" i="44" s="1"/>
  <c r="E372" i="44"/>
  <c r="A372" i="44" s="1"/>
  <c r="E404" i="44"/>
  <c r="A404" i="44" s="1"/>
  <c r="E436" i="44"/>
  <c r="A436" i="44" s="1"/>
  <c r="E468" i="44"/>
  <c r="A468" i="44" s="1"/>
  <c r="E35" i="44"/>
  <c r="A35" i="44" s="1"/>
  <c r="E99" i="44"/>
  <c r="A99" i="44" s="1"/>
  <c r="E163" i="44"/>
  <c r="A163" i="44" s="1"/>
  <c r="E227" i="44"/>
  <c r="A227" i="44" s="1"/>
  <c r="E291" i="44"/>
  <c r="A291" i="44" s="1"/>
  <c r="E355" i="44"/>
  <c r="A355" i="44" s="1"/>
  <c r="E419" i="44"/>
  <c r="A419" i="44" s="1"/>
  <c r="E269" i="44"/>
  <c r="A269" i="44" s="1"/>
  <c r="E397" i="44"/>
  <c r="A397" i="44" s="1"/>
  <c r="E458" i="44"/>
  <c r="A458" i="44" s="1"/>
  <c r="E37" i="44"/>
  <c r="A37" i="44" s="1"/>
  <c r="E101" i="44"/>
  <c r="A101" i="44" s="1"/>
  <c r="E181" i="44"/>
  <c r="A181" i="44" s="1"/>
  <c r="E309" i="44"/>
  <c r="A309" i="44" s="1"/>
  <c r="E437" i="44"/>
  <c r="A437" i="44" s="1"/>
  <c r="E398" i="44"/>
  <c r="A398" i="44" s="1"/>
  <c r="E49" i="44"/>
  <c r="A49" i="44" s="1"/>
  <c r="E313" i="44"/>
  <c r="A313" i="44" s="1"/>
  <c r="E449" i="44"/>
  <c r="A449" i="44" s="1"/>
  <c r="E38" i="44"/>
  <c r="A38" i="44" s="1"/>
  <c r="E102" i="44"/>
  <c r="A102" i="44" s="1"/>
  <c r="E166" i="44"/>
  <c r="A166" i="44" s="1"/>
  <c r="E230" i="44"/>
  <c r="A230" i="44" s="1"/>
  <c r="E294" i="44"/>
  <c r="A294" i="44" s="1"/>
  <c r="E422" i="44"/>
  <c r="A422" i="44" s="1"/>
  <c r="E113" i="44"/>
  <c r="A113" i="44" s="1"/>
  <c r="E23" i="44"/>
  <c r="A23" i="44" s="1"/>
  <c r="E87" i="44"/>
  <c r="A87" i="44" s="1"/>
  <c r="E151" i="44"/>
  <c r="A151" i="44" s="1"/>
  <c r="E215" i="44"/>
  <c r="A215" i="44" s="1"/>
  <c r="E279" i="44"/>
  <c r="A279" i="44" s="1"/>
  <c r="E343" i="44"/>
  <c r="A343" i="44" s="1"/>
  <c r="E423" i="44"/>
  <c r="A423" i="44" s="1"/>
  <c r="E273" i="44"/>
  <c r="A273" i="44" s="1"/>
  <c r="E120" i="44"/>
  <c r="A120" i="44" s="1"/>
  <c r="E65" i="44"/>
  <c r="A65" i="44" s="1"/>
  <c r="E257" i="44"/>
  <c r="A257" i="44" s="1"/>
  <c r="E401" i="44"/>
  <c r="A401" i="44" s="1"/>
  <c r="E466" i="44"/>
  <c r="A466" i="44" s="1"/>
  <c r="E42" i="44"/>
  <c r="A42" i="44" s="1"/>
  <c r="E106" i="44"/>
  <c r="A106" i="44" s="1"/>
  <c r="E170" i="44"/>
  <c r="A170" i="44" s="1"/>
  <c r="E234" i="44"/>
  <c r="A234" i="44" s="1"/>
  <c r="E298" i="44"/>
  <c r="A298" i="44" s="1"/>
  <c r="E362" i="44"/>
  <c r="A362" i="44" s="1"/>
  <c r="E203" i="44"/>
  <c r="A203" i="44" s="1"/>
  <c r="E13" i="44"/>
  <c r="A13" i="44" s="1"/>
  <c r="E14" i="44"/>
  <c r="A14" i="44" s="1"/>
  <c r="E374" i="44"/>
  <c r="A374" i="44" s="1"/>
  <c r="E255" i="44"/>
  <c r="A255" i="44" s="1"/>
  <c r="E18" i="44"/>
  <c r="A18" i="44" s="1"/>
  <c r="E275" i="44"/>
  <c r="A275" i="44" s="1"/>
  <c r="E85" i="44"/>
  <c r="A85" i="44" s="1"/>
  <c r="E431" i="44"/>
  <c r="A431" i="44" s="1"/>
  <c r="E390" i="44"/>
  <c r="A390" i="44" s="1"/>
  <c r="E2" i="44"/>
  <c r="A2" i="44" s="1"/>
  <c r="E43" i="44"/>
  <c r="A43" i="44" s="1"/>
  <c r="E107" i="44"/>
  <c r="A107" i="44" s="1"/>
  <c r="E171" i="44"/>
  <c r="A171" i="44" s="1"/>
  <c r="E235" i="44"/>
  <c r="A235" i="44" s="1"/>
  <c r="E299" i="44"/>
  <c r="A299" i="44" s="1"/>
  <c r="E363" i="44"/>
  <c r="A363" i="44" s="1"/>
  <c r="E149" i="44"/>
  <c r="A149" i="44" s="1"/>
  <c r="E285" i="44"/>
  <c r="A285" i="44" s="1"/>
  <c r="E413" i="44"/>
  <c r="A413" i="44" s="1"/>
  <c r="E427" i="44"/>
  <c r="A427" i="44" s="1"/>
  <c r="E45" i="44"/>
  <c r="A45" i="44" s="1"/>
  <c r="E109" i="44"/>
  <c r="A109" i="44" s="1"/>
  <c r="E197" i="44"/>
  <c r="A197" i="44" s="1"/>
  <c r="E325" i="44"/>
  <c r="A325" i="44" s="1"/>
  <c r="E453" i="44"/>
  <c r="A453" i="44" s="1"/>
  <c r="E414" i="44"/>
  <c r="A414" i="44" s="1"/>
  <c r="E129" i="44"/>
  <c r="A129" i="44" s="1"/>
  <c r="E329" i="44"/>
  <c r="A329" i="44" s="1"/>
  <c r="E465" i="44"/>
  <c r="A465" i="44" s="1"/>
  <c r="E46" i="44"/>
  <c r="A46" i="44" s="1"/>
  <c r="E110" i="44"/>
  <c r="A110" i="44" s="1"/>
  <c r="E174" i="44"/>
  <c r="A174" i="44" s="1"/>
  <c r="E238" i="44"/>
  <c r="A238" i="44" s="1"/>
  <c r="E310" i="44"/>
  <c r="A310" i="44" s="1"/>
  <c r="E438" i="44"/>
  <c r="A438" i="44" s="1"/>
  <c r="E145" i="44"/>
  <c r="A145" i="44" s="1"/>
  <c r="E31" i="44"/>
  <c r="A31" i="44" s="1"/>
  <c r="E95" i="44"/>
  <c r="A95" i="44" s="1"/>
  <c r="E159" i="44"/>
  <c r="A159" i="44" s="1"/>
  <c r="E223" i="44"/>
  <c r="A223" i="44" s="1"/>
  <c r="E287" i="44"/>
  <c r="A287" i="44" s="1"/>
  <c r="E351" i="44"/>
  <c r="A351" i="44" s="1"/>
  <c r="E439" i="44"/>
  <c r="A439" i="44" s="1"/>
  <c r="E8" i="44"/>
  <c r="A8" i="44" s="1"/>
  <c r="E136" i="44"/>
  <c r="A136" i="44" s="1"/>
  <c r="E81" i="44"/>
  <c r="A81" i="44" s="1"/>
  <c r="E289" i="44"/>
  <c r="A289" i="44" s="1"/>
  <c r="E417" i="44"/>
  <c r="A417" i="44" s="1"/>
  <c r="E435" i="44"/>
  <c r="A435" i="44" s="1"/>
  <c r="E50" i="44"/>
  <c r="A50" i="44" s="1"/>
  <c r="E114" i="44"/>
  <c r="A114" i="44" s="1"/>
  <c r="E178" i="44"/>
  <c r="A178" i="44" s="1"/>
  <c r="E242" i="44"/>
  <c r="A242" i="44" s="1"/>
  <c r="E306" i="44"/>
  <c r="A306" i="44" s="1"/>
  <c r="E370" i="44"/>
  <c r="A370" i="44" s="1"/>
  <c r="E11" i="44"/>
  <c r="A11" i="44" s="1"/>
  <c r="E331" i="44"/>
  <c r="A331" i="44" s="1"/>
  <c r="E261" i="44"/>
  <c r="A261" i="44" s="1"/>
  <c r="E393" i="44"/>
  <c r="A393" i="44" s="1"/>
  <c r="E265" i="44"/>
  <c r="A265" i="44" s="1"/>
  <c r="E319" i="44"/>
  <c r="A319" i="44" s="1"/>
  <c r="E25" i="44"/>
  <c r="A25" i="44" s="1"/>
  <c r="E146" i="44"/>
  <c r="A146" i="44" s="1"/>
  <c r="E19" i="44"/>
  <c r="A19" i="44" s="1"/>
  <c r="E403" i="44"/>
  <c r="A403" i="44" s="1"/>
  <c r="E86" i="44"/>
  <c r="A86" i="44" s="1"/>
  <c r="E71" i="44"/>
  <c r="A71" i="44" s="1"/>
  <c r="E51" i="44"/>
  <c r="A51" i="44" s="1"/>
  <c r="E115" i="44"/>
  <c r="A115" i="44" s="1"/>
  <c r="E179" i="44"/>
  <c r="A179" i="44" s="1"/>
  <c r="E243" i="44"/>
  <c r="A243" i="44" s="1"/>
  <c r="E307" i="44"/>
  <c r="A307" i="44" s="1"/>
  <c r="E371" i="44"/>
  <c r="A371" i="44" s="1"/>
  <c r="E173" i="44"/>
  <c r="A173" i="44" s="1"/>
  <c r="E301" i="44"/>
  <c r="A301" i="44" s="1"/>
  <c r="E429" i="44"/>
  <c r="A429" i="44" s="1"/>
  <c r="E443" i="44"/>
  <c r="A443" i="44" s="1"/>
  <c r="E53" i="44"/>
  <c r="A53" i="44" s="1"/>
  <c r="E117" i="44"/>
  <c r="A117" i="44" s="1"/>
  <c r="E213" i="44"/>
  <c r="A213" i="44" s="1"/>
  <c r="E341" i="44"/>
  <c r="A341" i="44" s="1"/>
  <c r="E302" i="44"/>
  <c r="A302" i="44" s="1"/>
  <c r="E430" i="44"/>
  <c r="A430" i="44" s="1"/>
  <c r="E161" i="44"/>
  <c r="A161" i="44" s="1"/>
  <c r="E345" i="44"/>
  <c r="A345" i="44" s="1"/>
  <c r="E410" i="44"/>
  <c r="A410" i="44" s="1"/>
  <c r="E54" i="44"/>
  <c r="A54" i="44" s="1"/>
  <c r="E118" i="44"/>
  <c r="A118" i="44" s="1"/>
  <c r="E182" i="44"/>
  <c r="A182" i="44" s="1"/>
  <c r="E246" i="44"/>
  <c r="A246" i="44" s="1"/>
  <c r="E318" i="44"/>
  <c r="A318" i="44" s="1"/>
  <c r="E454" i="44"/>
  <c r="A454" i="44" s="1"/>
  <c r="E177" i="44"/>
  <c r="A177" i="44" s="1"/>
  <c r="E39" i="44"/>
  <c r="A39" i="44" s="1"/>
  <c r="E103" i="44"/>
  <c r="A103" i="44" s="1"/>
  <c r="E167" i="44"/>
  <c r="A167" i="44" s="1"/>
  <c r="E231" i="44"/>
  <c r="A231" i="44" s="1"/>
  <c r="E295" i="44"/>
  <c r="A295" i="44" s="1"/>
  <c r="E359" i="44"/>
  <c r="A359" i="44" s="1"/>
  <c r="E463" i="44"/>
  <c r="A463" i="44" s="1"/>
  <c r="E24" i="44"/>
  <c r="A24" i="44" s="1"/>
  <c r="E152" i="44"/>
  <c r="A152" i="44" s="1"/>
  <c r="E89" i="44"/>
  <c r="A89" i="44" s="1"/>
  <c r="E305" i="44"/>
  <c r="A305" i="44" s="1"/>
  <c r="E433" i="44"/>
  <c r="A433" i="44" s="1"/>
  <c r="E451" i="44"/>
  <c r="A451" i="44" s="1"/>
  <c r="E58" i="44"/>
  <c r="A58" i="44" s="1"/>
  <c r="E122" i="44"/>
  <c r="A122" i="44" s="1"/>
  <c r="E186" i="44"/>
  <c r="A186" i="44" s="1"/>
  <c r="E250" i="44"/>
  <c r="A250" i="44" s="1"/>
  <c r="E314" i="44"/>
  <c r="A314" i="44" s="1"/>
  <c r="E378" i="44"/>
  <c r="A378" i="44" s="1"/>
  <c r="E221" i="44"/>
  <c r="A221" i="44" s="1"/>
  <c r="E63" i="44"/>
  <c r="A63" i="44" s="1"/>
  <c r="E169" i="44"/>
  <c r="A169" i="44" s="1"/>
  <c r="E418" i="44"/>
  <c r="A418" i="44" s="1"/>
  <c r="E211" i="44"/>
  <c r="A211" i="44" s="1"/>
  <c r="E365" i="44"/>
  <c r="A365" i="44" s="1"/>
  <c r="E277" i="44"/>
  <c r="A277" i="44" s="1"/>
  <c r="E7" i="44"/>
  <c r="A7" i="44" s="1"/>
  <c r="E59" i="44"/>
  <c r="A59" i="44" s="1"/>
  <c r="E123" i="44"/>
  <c r="A123" i="44" s="1"/>
  <c r="E187" i="44"/>
  <c r="A187" i="44" s="1"/>
  <c r="E251" i="44"/>
  <c r="A251" i="44" s="1"/>
  <c r="E315" i="44"/>
  <c r="A315" i="44" s="1"/>
  <c r="E379" i="44"/>
  <c r="A379" i="44" s="1"/>
  <c r="E189" i="44"/>
  <c r="A189" i="44" s="1"/>
  <c r="E317" i="44"/>
  <c r="A317" i="44" s="1"/>
  <c r="E445" i="44"/>
  <c r="A445" i="44" s="1"/>
  <c r="E459" i="44"/>
  <c r="A459" i="44" s="1"/>
  <c r="E61" i="44"/>
  <c r="A61" i="44" s="1"/>
  <c r="E125" i="44"/>
  <c r="A125" i="44" s="1"/>
  <c r="E229" i="44"/>
  <c r="A229" i="44" s="1"/>
  <c r="E357" i="44"/>
  <c r="A357" i="44" s="1"/>
  <c r="E326" i="44"/>
  <c r="A326" i="44" s="1"/>
  <c r="E446" i="44"/>
  <c r="A446" i="44" s="1"/>
  <c r="E193" i="44"/>
  <c r="A193" i="44" s="1"/>
  <c r="E361" i="44"/>
  <c r="A361" i="44" s="1"/>
  <c r="E434" i="44"/>
  <c r="A434" i="44" s="1"/>
  <c r="E62" i="44"/>
  <c r="A62" i="44" s="1"/>
  <c r="E126" i="44"/>
  <c r="A126" i="44" s="1"/>
  <c r="E190" i="44"/>
  <c r="A190" i="44" s="1"/>
  <c r="E254" i="44"/>
  <c r="A254" i="44" s="1"/>
  <c r="E334" i="44"/>
  <c r="A334" i="44" s="1"/>
  <c r="E470" i="44"/>
  <c r="A470" i="44" s="1"/>
  <c r="E201" i="44"/>
  <c r="A201" i="44" s="1"/>
  <c r="E47" i="44"/>
  <c r="A47" i="44" s="1"/>
  <c r="E111" i="44"/>
  <c r="A111" i="44" s="1"/>
  <c r="E175" i="44"/>
  <c r="A175" i="44" s="1"/>
  <c r="E239" i="44"/>
  <c r="A239" i="44" s="1"/>
  <c r="E303" i="44"/>
  <c r="A303" i="44" s="1"/>
  <c r="E367" i="44"/>
  <c r="A367" i="44" s="1"/>
  <c r="E73" i="44"/>
  <c r="A73" i="44" s="1"/>
  <c r="E40" i="44"/>
  <c r="A40" i="44" s="1"/>
  <c r="E9" i="44"/>
  <c r="A9" i="44" s="1"/>
  <c r="E105" i="44"/>
  <c r="A105" i="44" s="1"/>
  <c r="E321" i="44"/>
  <c r="A321" i="44" s="1"/>
  <c r="E457" i="44"/>
  <c r="A457" i="44" s="1"/>
  <c r="E467" i="44"/>
  <c r="A467" i="44" s="1"/>
  <c r="E66" i="44"/>
  <c r="A66" i="44" s="1"/>
  <c r="E130" i="44"/>
  <c r="A130" i="44" s="1"/>
  <c r="E194" i="44"/>
  <c r="A194" i="44" s="1"/>
  <c r="E258" i="44"/>
  <c r="A258" i="44" s="1"/>
  <c r="E322" i="44"/>
  <c r="A322" i="44" s="1"/>
  <c r="E386" i="44"/>
  <c r="A386" i="44" s="1"/>
  <c r="E267" i="44"/>
  <c r="A267" i="44" s="1"/>
  <c r="E77" i="44"/>
  <c r="A77" i="44" s="1"/>
  <c r="E407" i="44"/>
  <c r="A407" i="44" s="1"/>
  <c r="E270" i="44"/>
  <c r="A270" i="44" s="1"/>
  <c r="E383" i="44"/>
  <c r="A383" i="44" s="1"/>
  <c r="E153" i="44"/>
  <c r="A153" i="44" s="1"/>
  <c r="E83" i="44"/>
  <c r="A83" i="44" s="1"/>
  <c r="E237" i="44"/>
  <c r="A237" i="44" s="1"/>
  <c r="E157" i="44"/>
  <c r="A157" i="44" s="1"/>
  <c r="E409" i="44"/>
  <c r="A409" i="44" s="1"/>
  <c r="E3" i="44"/>
  <c r="A3" i="44" s="1"/>
  <c r="E67" i="44"/>
  <c r="A67" i="44" s="1"/>
  <c r="E131" i="44"/>
  <c r="A131" i="44" s="1"/>
  <c r="E195" i="44"/>
  <c r="A195" i="44" s="1"/>
  <c r="E259" i="44"/>
  <c r="A259" i="44" s="1"/>
  <c r="E323" i="44"/>
  <c r="A323" i="44" s="1"/>
  <c r="E387" i="44"/>
  <c r="A387" i="44" s="1"/>
  <c r="E205" i="44"/>
  <c r="A205" i="44" s="1"/>
  <c r="E333" i="44"/>
  <c r="A333" i="44" s="1"/>
  <c r="E461" i="44"/>
  <c r="A461" i="44" s="1"/>
  <c r="E5" i="44"/>
  <c r="A5" i="44" s="1"/>
  <c r="E69" i="44"/>
  <c r="A69" i="44" s="1"/>
  <c r="E133" i="44"/>
  <c r="A133" i="44" s="1"/>
  <c r="E245" i="44"/>
  <c r="A245" i="44" s="1"/>
  <c r="E373" i="44"/>
  <c r="A373" i="44" s="1"/>
  <c r="E342" i="44"/>
  <c r="A342" i="44" s="1"/>
  <c r="E462" i="44"/>
  <c r="A462" i="44" s="1"/>
  <c r="E225" i="44"/>
  <c r="A225" i="44" s="1"/>
  <c r="E377" i="44"/>
  <c r="A377" i="44" s="1"/>
  <c r="E6" i="44"/>
  <c r="A6" i="44" s="1"/>
  <c r="E70" i="44"/>
  <c r="A70" i="44" s="1"/>
  <c r="E134" i="44"/>
  <c r="A134" i="44" s="1"/>
  <c r="E198" i="44"/>
  <c r="A198" i="44" s="1"/>
  <c r="E262" i="44"/>
  <c r="A262" i="44" s="1"/>
  <c r="E358" i="44"/>
  <c r="A358" i="44" s="1"/>
  <c r="E415" i="44"/>
  <c r="A415" i="44" s="1"/>
  <c r="E233" i="44"/>
  <c r="A233" i="44" s="1"/>
  <c r="E55" i="44"/>
  <c r="A55" i="44" s="1"/>
  <c r="E119" i="44"/>
  <c r="A119" i="44" s="1"/>
  <c r="E183" i="44"/>
  <c r="A183" i="44" s="1"/>
  <c r="E247" i="44"/>
  <c r="A247" i="44" s="1"/>
  <c r="E311" i="44"/>
  <c r="A311" i="44" s="1"/>
  <c r="E375" i="44"/>
  <c r="A375" i="44" s="1"/>
  <c r="E137" i="44"/>
  <c r="A137" i="44" s="1"/>
  <c r="E56" i="44"/>
  <c r="A56" i="44" s="1"/>
  <c r="E17" i="44"/>
  <c r="A17" i="44" s="1"/>
  <c r="E121" i="44"/>
  <c r="A121" i="44" s="1"/>
  <c r="E337" i="44"/>
  <c r="A337" i="44" s="1"/>
  <c r="E402" i="44"/>
  <c r="A402" i="44" s="1"/>
  <c r="E10" i="44"/>
  <c r="A10" i="44" s="1"/>
  <c r="E74" i="44"/>
  <c r="A74" i="44" s="1"/>
  <c r="E138" i="44"/>
  <c r="A138" i="44" s="1"/>
  <c r="E202" i="44"/>
  <c r="A202" i="44" s="1"/>
  <c r="E266" i="44"/>
  <c r="A266" i="44" s="1"/>
  <c r="E330" i="44"/>
  <c r="A330" i="44" s="1"/>
  <c r="E394" i="44"/>
  <c r="A394" i="44" s="1"/>
  <c r="Z19" i="2"/>
  <c r="AC21" i="2"/>
  <c r="Z21" i="2"/>
  <c r="AC19" i="2"/>
  <c r="AB23" i="2"/>
  <c r="Z22" i="2"/>
  <c r="AB19" i="2"/>
  <c r="AA21" i="2"/>
  <c r="AC22" i="2"/>
  <c r="AB20" i="2"/>
  <c r="AA22" i="2"/>
  <c r="Z23" i="2"/>
  <c r="AB21" i="2"/>
  <c r="AA23" i="2"/>
  <c r="AA19" i="2"/>
  <c r="G20" i="2"/>
  <c r="Z20" i="2"/>
  <c r="AC20" i="2"/>
  <c r="AB22" i="2"/>
  <c r="AA20" i="2"/>
  <c r="D50" i="33"/>
  <c r="AR21" i="2"/>
  <c r="BD21" i="2"/>
  <c r="AH21" i="2"/>
  <c r="AW21" i="2"/>
  <c r="AY21" i="2"/>
  <c r="AQ21" i="2"/>
  <c r="AX21" i="2"/>
  <c r="AI21" i="2"/>
  <c r="AF21" i="2"/>
  <c r="BB21" i="2"/>
  <c r="BC21" i="2"/>
  <c r="AG21" i="2"/>
  <c r="AS21" i="2"/>
  <c r="F20" i="2"/>
  <c r="BD20" i="2"/>
  <c r="AH20" i="2"/>
  <c r="AW20" i="2"/>
  <c r="AY20" i="2"/>
  <c r="BC20" i="2"/>
  <c r="AG20" i="2"/>
  <c r="AX20" i="2"/>
  <c r="AF20" i="2"/>
  <c r="AR20" i="2"/>
  <c r="AQ20" i="2"/>
  <c r="AS20" i="2"/>
  <c r="AI20" i="2"/>
  <c r="BB20" i="2"/>
  <c r="AW19" i="2"/>
  <c r="AY19" i="2"/>
  <c r="AQ19" i="2"/>
  <c r="BC19" i="2"/>
  <c r="AG19" i="2"/>
  <c r="AS19" i="2"/>
  <c r="AR19" i="2"/>
  <c r="AH19" i="2"/>
  <c r="AX19" i="2"/>
  <c r="AI19" i="2"/>
  <c r="AF19" i="2"/>
  <c r="BB19" i="2"/>
  <c r="BD19" i="2"/>
  <c r="AX23" i="2"/>
  <c r="AR23" i="2"/>
  <c r="AI23" i="2"/>
  <c r="AF23" i="2"/>
  <c r="BB23" i="2"/>
  <c r="BD23" i="2"/>
  <c r="AH23" i="2"/>
  <c r="AQ23" i="2"/>
  <c r="BC23" i="2"/>
  <c r="AW23" i="2"/>
  <c r="AY23" i="2"/>
  <c r="AG23" i="2"/>
  <c r="AS23" i="2"/>
  <c r="AF22" i="2"/>
  <c r="AH22" i="2"/>
  <c r="BB22" i="2"/>
  <c r="AR22" i="2"/>
  <c r="BD22" i="2"/>
  <c r="AW22" i="2"/>
  <c r="AG22" i="2"/>
  <c r="AX22" i="2"/>
  <c r="AY22" i="2"/>
  <c r="AQ22" i="2"/>
  <c r="BC22" i="2"/>
  <c r="AS22" i="2"/>
  <c r="AI22" i="2"/>
  <c r="E23" i="2"/>
  <c r="J23" i="2"/>
  <c r="K23" i="2"/>
  <c r="H23" i="2"/>
  <c r="G23" i="2"/>
  <c r="F23" i="2"/>
  <c r="E22" i="2"/>
  <c r="J22" i="2"/>
  <c r="K22" i="2"/>
  <c r="H22" i="2"/>
  <c r="G22" i="2"/>
  <c r="F22" i="2"/>
  <c r="E21" i="2"/>
  <c r="K21" i="2"/>
  <c r="J21" i="2"/>
  <c r="F21" i="2"/>
  <c r="H21" i="2"/>
  <c r="G21" i="2"/>
  <c r="E20" i="2"/>
  <c r="K20" i="2"/>
  <c r="J20" i="2"/>
  <c r="H20" i="2"/>
  <c r="E19" i="2"/>
  <c r="J19" i="2"/>
  <c r="K19" i="2"/>
  <c r="F19" i="2"/>
  <c r="H19" i="2"/>
  <c r="G19" i="2"/>
  <c r="B18" i="2"/>
  <c r="B51" i="4" l="1"/>
  <c r="A51" i="4"/>
  <c r="A50" i="4"/>
  <c r="G50" i="4" s="1"/>
  <c r="B50" i="4"/>
  <c r="A54" i="4"/>
  <c r="G54" i="4" s="1"/>
  <c r="B54" i="4"/>
  <c r="A53" i="4"/>
  <c r="G53" i="4" s="1"/>
  <c r="B53" i="4"/>
  <c r="A39" i="4"/>
  <c r="G39" i="4" s="1"/>
  <c r="B39" i="4"/>
  <c r="B52" i="4"/>
  <c r="A52" i="4"/>
  <c r="G52" i="4" s="1"/>
  <c r="B58" i="4"/>
  <c r="A58" i="4"/>
  <c r="G58" i="4" s="1"/>
  <c r="B56" i="4"/>
  <c r="A56" i="4"/>
  <c r="G56" i="4" s="1"/>
  <c r="A57" i="4"/>
  <c r="G57" i="4" s="1"/>
  <c r="B57" i="4"/>
  <c r="A33" i="5"/>
  <c r="J33" i="5" s="1"/>
  <c r="D33" i="5"/>
  <c r="B33" i="5"/>
  <c r="C33" i="5"/>
  <c r="A55" i="4"/>
  <c r="G55" i="4" s="1"/>
  <c r="B55" i="4"/>
  <c r="D32" i="5"/>
  <c r="A32" i="5"/>
  <c r="J32" i="5" s="1"/>
  <c r="B32" i="5"/>
  <c r="C32" i="5"/>
  <c r="J18" i="2"/>
  <c r="AO18" i="2"/>
  <c r="CH18" i="2" s="1"/>
  <c r="C56" i="4"/>
  <c r="C57" i="4"/>
  <c r="B54" i="11"/>
  <c r="A54" i="11"/>
  <c r="F54" i="11" s="1"/>
  <c r="A33" i="3"/>
  <c r="F33" i="3" s="1"/>
  <c r="B33" i="3"/>
  <c r="I33" i="3" s="1"/>
  <c r="C55" i="4"/>
  <c r="B50" i="11"/>
  <c r="A50" i="11"/>
  <c r="F50" i="11" s="1"/>
  <c r="B46" i="11"/>
  <c r="A46" i="11"/>
  <c r="F46" i="11" s="1"/>
  <c r="A34" i="3"/>
  <c r="F34" i="3" s="1"/>
  <c r="B34" i="3"/>
  <c r="I34" i="3" s="1"/>
  <c r="G51" i="4"/>
  <c r="C51" i="4"/>
  <c r="B57" i="11"/>
  <c r="A57" i="11"/>
  <c r="F57" i="11" s="1"/>
  <c r="B60" i="11"/>
  <c r="A60" i="11"/>
  <c r="F60" i="11" s="1"/>
  <c r="C50" i="4"/>
  <c r="C54" i="4"/>
  <c r="B49" i="11"/>
  <c r="A49" i="11"/>
  <c r="F49" i="11" s="1"/>
  <c r="B53" i="11"/>
  <c r="A53" i="11"/>
  <c r="F53" i="11" s="1"/>
  <c r="C53" i="4"/>
  <c r="C39" i="4"/>
  <c r="B56" i="11"/>
  <c r="A56" i="11"/>
  <c r="F56" i="11" s="1"/>
  <c r="B59" i="11"/>
  <c r="A59" i="11"/>
  <c r="F59" i="11" s="1"/>
  <c r="C52" i="4"/>
  <c r="A19" i="3"/>
  <c r="B19" i="3"/>
  <c r="I19" i="3" s="1"/>
  <c r="B48" i="11"/>
  <c r="A48" i="11"/>
  <c r="F48" i="11" s="1"/>
  <c r="B52" i="11"/>
  <c r="A52" i="11"/>
  <c r="F52" i="11" s="1"/>
  <c r="C58" i="4"/>
  <c r="B20" i="3"/>
  <c r="I20" i="3" s="1"/>
  <c r="A20" i="3"/>
  <c r="F20" i="3" s="1"/>
  <c r="B55" i="11"/>
  <c r="A55" i="11"/>
  <c r="F55" i="11" s="1"/>
  <c r="B58" i="11"/>
  <c r="A58" i="11"/>
  <c r="F58" i="11" s="1"/>
  <c r="A35" i="3"/>
  <c r="F35" i="3" s="1"/>
  <c r="B35" i="3"/>
  <c r="I35" i="3" s="1"/>
  <c r="B47" i="11"/>
  <c r="A47" i="11"/>
  <c r="F47" i="11" s="1"/>
  <c r="A51" i="11"/>
  <c r="F51" i="11" s="1"/>
  <c r="B51" i="11"/>
  <c r="BE18" i="2"/>
  <c r="AT18" i="2"/>
  <c r="AY18" i="2"/>
  <c r="BD18" i="2"/>
  <c r="AS18" i="2"/>
  <c r="AZ18" i="2"/>
  <c r="AU18" i="2"/>
  <c r="AD18" i="2"/>
  <c r="BA18" i="2"/>
  <c r="BF18" i="2"/>
  <c r="F18" i="2"/>
  <c r="D35" i="33"/>
  <c r="D36" i="33"/>
  <c r="D32" i="33"/>
  <c r="P19" i="11" s="1"/>
  <c r="D42" i="33"/>
  <c r="I42" i="33" s="1"/>
  <c r="Z18" i="2"/>
  <c r="D41" i="33"/>
  <c r="AB18" i="2"/>
  <c r="D40" i="33"/>
  <c r="AA18" i="2"/>
  <c r="D34" i="33"/>
  <c r="P20" i="11" s="1"/>
  <c r="AC18" i="2"/>
  <c r="D33" i="33"/>
  <c r="D38" i="33"/>
  <c r="D39" i="33"/>
  <c r="D37" i="33"/>
  <c r="D51" i="33"/>
  <c r="AH18" i="2"/>
  <c r="AQ18" i="2"/>
  <c r="BB18" i="2"/>
  <c r="AR18" i="2"/>
  <c r="BC18" i="2"/>
  <c r="AG18" i="2"/>
  <c r="AX18" i="2"/>
  <c r="AI18" i="2"/>
  <c r="AW18" i="2"/>
  <c r="AF18" i="2"/>
  <c r="K18" i="2"/>
  <c r="AP18" i="2" s="1"/>
  <c r="H18" i="2"/>
  <c r="G18" i="2"/>
  <c r="E18" i="2"/>
  <c r="D53" i="33" l="1"/>
  <c r="D52" i="33"/>
  <c r="G24" i="33"/>
  <c r="AA19" i="6" s="1"/>
  <c r="I32" i="33" l="1"/>
  <c r="I38" i="33" l="1"/>
  <c r="W20" i="8"/>
  <c r="W21" i="8"/>
  <c r="W22" i="8"/>
  <c r="W23" i="8"/>
  <c r="W24" i="8"/>
  <c r="R94" i="33"/>
  <c r="R95" i="33"/>
  <c r="R96" i="33"/>
  <c r="R97" i="33"/>
  <c r="R98" i="33"/>
  <c r="R99" i="33"/>
  <c r="R100" i="33"/>
  <c r="AS19" i="5"/>
  <c r="AS20" i="5"/>
  <c r="AS21" i="5"/>
  <c r="AS22" i="5"/>
  <c r="AS23" i="5"/>
  <c r="AS24" i="5"/>
  <c r="AS25" i="5"/>
  <c r="AS26" i="5"/>
  <c r="AS27" i="5"/>
  <c r="AS28" i="5"/>
  <c r="AS29" i="5"/>
  <c r="AS30" i="5"/>
  <c r="AS31" i="5"/>
  <c r="AS34" i="5"/>
  <c r="AS35" i="5"/>
  <c r="AS36" i="5"/>
  <c r="AS37" i="5"/>
  <c r="AS38" i="5"/>
  <c r="AS39" i="5"/>
  <c r="AS40" i="5"/>
  <c r="AS41" i="5"/>
  <c r="AS42" i="5"/>
  <c r="AS43" i="5"/>
  <c r="AS44" i="5"/>
  <c r="AS45" i="5"/>
  <c r="AS46" i="5"/>
  <c r="AS47" i="5"/>
  <c r="AS48" i="5"/>
  <c r="AS49" i="5"/>
  <c r="AS50" i="5"/>
  <c r="BB48" i="4" s="1"/>
  <c r="AS51" i="5"/>
  <c r="AS52" i="5"/>
  <c r="AS53" i="5"/>
  <c r="AS54" i="5"/>
  <c r="AS55" i="5"/>
  <c r="AS56" i="5"/>
  <c r="AS57" i="5"/>
  <c r="AS58" i="5"/>
  <c r="BB56" i="4" s="1"/>
  <c r="AS59" i="5"/>
  <c r="BB57" i="4" s="1"/>
  <c r="AS60" i="5"/>
  <c r="BB58" i="4" s="1"/>
  <c r="AR19" i="5"/>
  <c r="AR20" i="5"/>
  <c r="AR21" i="5"/>
  <c r="BA21" i="4" s="1"/>
  <c r="AR22" i="5"/>
  <c r="AR23" i="5"/>
  <c r="AR24" i="5"/>
  <c r="AR25" i="5"/>
  <c r="AR26" i="5"/>
  <c r="AR27" i="5"/>
  <c r="AR28" i="5"/>
  <c r="AR29" i="5"/>
  <c r="AR30" i="5"/>
  <c r="AR31" i="5"/>
  <c r="AR34" i="5"/>
  <c r="AR35" i="5"/>
  <c r="AR36" i="5"/>
  <c r="AR37" i="5"/>
  <c r="AR38" i="5"/>
  <c r="AR39" i="5"/>
  <c r="AR40" i="5"/>
  <c r="AR41" i="5"/>
  <c r="AR42" i="5"/>
  <c r="AR43" i="5"/>
  <c r="AR44" i="5"/>
  <c r="AR45" i="5"/>
  <c r="AR46" i="5"/>
  <c r="AR47" i="5"/>
  <c r="AR48" i="5"/>
  <c r="AR49" i="5"/>
  <c r="AR50" i="5"/>
  <c r="BA48" i="4" s="1"/>
  <c r="AR51" i="5"/>
  <c r="BA35" i="4" s="1"/>
  <c r="AR52" i="5"/>
  <c r="AR53" i="5"/>
  <c r="AR54" i="5"/>
  <c r="AR55" i="5"/>
  <c r="AR56" i="5"/>
  <c r="AR57" i="5"/>
  <c r="AR58" i="5"/>
  <c r="BA56" i="4" s="1"/>
  <c r="AR59" i="5"/>
  <c r="BA57" i="4" s="1"/>
  <c r="AR60" i="5"/>
  <c r="BA58" i="4" s="1"/>
  <c r="AQ19" i="5"/>
  <c r="AQ20" i="5"/>
  <c r="AQ21" i="5"/>
  <c r="AQ22" i="5"/>
  <c r="AQ23" i="5"/>
  <c r="AQ24" i="5"/>
  <c r="AQ25" i="5"/>
  <c r="AQ26" i="5"/>
  <c r="AQ27" i="5"/>
  <c r="AQ28" i="5"/>
  <c r="AQ29" i="5"/>
  <c r="AQ30" i="5"/>
  <c r="AQ31" i="5"/>
  <c r="AQ34" i="5"/>
  <c r="AQ35" i="5"/>
  <c r="AQ36" i="5"/>
  <c r="AQ37" i="5"/>
  <c r="AQ38" i="5"/>
  <c r="AQ39" i="5"/>
  <c r="AQ40" i="5"/>
  <c r="AQ41" i="5"/>
  <c r="AQ42" i="5"/>
  <c r="AQ43" i="5"/>
  <c r="AQ44" i="5"/>
  <c r="AQ45" i="5"/>
  <c r="AQ46" i="5"/>
  <c r="AQ47" i="5"/>
  <c r="AQ48" i="5"/>
  <c r="AQ49" i="5"/>
  <c r="AQ50" i="5"/>
  <c r="AQ51" i="5"/>
  <c r="AZ49" i="4" s="1"/>
  <c r="AQ52" i="5"/>
  <c r="AQ53" i="5"/>
  <c r="AQ54" i="5"/>
  <c r="AQ55" i="5"/>
  <c r="AQ56" i="5"/>
  <c r="AZ54" i="4" s="1"/>
  <c r="AQ57" i="5"/>
  <c r="AZ55" i="4" s="1"/>
  <c r="AQ58" i="5"/>
  <c r="AZ56" i="4" s="1"/>
  <c r="AQ59" i="5"/>
  <c r="AZ57" i="4" s="1"/>
  <c r="AQ60" i="5"/>
  <c r="AZ58" i="4" s="1"/>
  <c r="AP19" i="5"/>
  <c r="AP20" i="5"/>
  <c r="AY20" i="4" s="1"/>
  <c r="AP21" i="5"/>
  <c r="AP22" i="5"/>
  <c r="AP23" i="5"/>
  <c r="AY21" i="4" s="1"/>
  <c r="AP24" i="5"/>
  <c r="AP25" i="5"/>
  <c r="AP26" i="5"/>
  <c r="AP27" i="5"/>
  <c r="AP28" i="5"/>
  <c r="AP29" i="5"/>
  <c r="AP30" i="5"/>
  <c r="AP31" i="5"/>
  <c r="AP34" i="5"/>
  <c r="AP35" i="5"/>
  <c r="AP36" i="5"/>
  <c r="AP37" i="5"/>
  <c r="AP38" i="5"/>
  <c r="AP39" i="5"/>
  <c r="AP40" i="5"/>
  <c r="AP41" i="5"/>
  <c r="AP42" i="5"/>
  <c r="AP43" i="5"/>
  <c r="AP44" i="5"/>
  <c r="AP45" i="5"/>
  <c r="AP46" i="5"/>
  <c r="AP47" i="5"/>
  <c r="AP48" i="5"/>
  <c r="AP49" i="5"/>
  <c r="AP50" i="5"/>
  <c r="AP51" i="5"/>
  <c r="AY49" i="4" s="1"/>
  <c r="AP52" i="5"/>
  <c r="AP53" i="5"/>
  <c r="AP54" i="5"/>
  <c r="AP55" i="5"/>
  <c r="AP56" i="5"/>
  <c r="AP57" i="5"/>
  <c r="AP58" i="5"/>
  <c r="AY56" i="4" s="1"/>
  <c r="AP59" i="5"/>
  <c r="AP60" i="5"/>
  <c r="AY58" i="4" s="1"/>
  <c r="AO19" i="5"/>
  <c r="AO20" i="5"/>
  <c r="AO21" i="5"/>
  <c r="AO22" i="5"/>
  <c r="AO23" i="5"/>
  <c r="AO24" i="5"/>
  <c r="AO25" i="5"/>
  <c r="AO26" i="5"/>
  <c r="AO27" i="5"/>
  <c r="AO28" i="5"/>
  <c r="AO29" i="5"/>
  <c r="AO30" i="5"/>
  <c r="AO31" i="5"/>
  <c r="AO34" i="5"/>
  <c r="AO35" i="5"/>
  <c r="AO36" i="5"/>
  <c r="AO37" i="5"/>
  <c r="AO38" i="5"/>
  <c r="AO39" i="5"/>
  <c r="AO40" i="5"/>
  <c r="AO41" i="5"/>
  <c r="AO42" i="5"/>
  <c r="AO43" i="5"/>
  <c r="AO44" i="5"/>
  <c r="AO45" i="5"/>
  <c r="AO46" i="5"/>
  <c r="AO47" i="5"/>
  <c r="AO48" i="5"/>
  <c r="AO49" i="5"/>
  <c r="AO50" i="5"/>
  <c r="AO51" i="5"/>
  <c r="AO52" i="5"/>
  <c r="AO53" i="5"/>
  <c r="AO54" i="5"/>
  <c r="AO55" i="5"/>
  <c r="AO56" i="5"/>
  <c r="AO57" i="5"/>
  <c r="AO58" i="5"/>
  <c r="AO59" i="5"/>
  <c r="AX57" i="4" s="1"/>
  <c r="AO60" i="5"/>
  <c r="AX58" i="4" s="1"/>
  <c r="AX49" i="4"/>
  <c r="AN19" i="5"/>
  <c r="AN20" i="5"/>
  <c r="AN21" i="5"/>
  <c r="AN22" i="5"/>
  <c r="AN23" i="5"/>
  <c r="AN24" i="5"/>
  <c r="AN25" i="5"/>
  <c r="AN26" i="5"/>
  <c r="AN27" i="5"/>
  <c r="AN28" i="5"/>
  <c r="AN29" i="5"/>
  <c r="AN30" i="5"/>
  <c r="AN31" i="5"/>
  <c r="AN34" i="5"/>
  <c r="AN35" i="5"/>
  <c r="AN36" i="5"/>
  <c r="AN37" i="5"/>
  <c r="AN38" i="5"/>
  <c r="AN39" i="5"/>
  <c r="AN40" i="5"/>
  <c r="AN41" i="5"/>
  <c r="AN42" i="5"/>
  <c r="AN43" i="5"/>
  <c r="AN44" i="5"/>
  <c r="AN45" i="5"/>
  <c r="AW31" i="4" s="1"/>
  <c r="AN46" i="5"/>
  <c r="AN47" i="5"/>
  <c r="AN48" i="5"/>
  <c r="AN49" i="5"/>
  <c r="AN50" i="5"/>
  <c r="AW48" i="4" s="1"/>
  <c r="AN51" i="5"/>
  <c r="AN52" i="5"/>
  <c r="AN53" i="5"/>
  <c r="AN54" i="5"/>
  <c r="AN55" i="5"/>
  <c r="AN56" i="5"/>
  <c r="AN57" i="5"/>
  <c r="AN58" i="5"/>
  <c r="AW56" i="4" s="1"/>
  <c r="AN59" i="5"/>
  <c r="AN60" i="5"/>
  <c r="AW58" i="4" s="1"/>
  <c r="AM19" i="5"/>
  <c r="AM20" i="5"/>
  <c r="AM21" i="5"/>
  <c r="AM22" i="5"/>
  <c r="AM23" i="5"/>
  <c r="AM24" i="5"/>
  <c r="AM25" i="5"/>
  <c r="AM26" i="5"/>
  <c r="AM27" i="5"/>
  <c r="AM28" i="5"/>
  <c r="AM29" i="5"/>
  <c r="AM30" i="5"/>
  <c r="AM31" i="5"/>
  <c r="AM34" i="5"/>
  <c r="AM35" i="5"/>
  <c r="AM36" i="5"/>
  <c r="AV34" i="4" s="1"/>
  <c r="AM37" i="5"/>
  <c r="AM38" i="5"/>
  <c r="AM39" i="5"/>
  <c r="AM40" i="5"/>
  <c r="AM41" i="5"/>
  <c r="AM42" i="5"/>
  <c r="AM43" i="5"/>
  <c r="AM44" i="5"/>
  <c r="AM45" i="5"/>
  <c r="AM46" i="5"/>
  <c r="AM47" i="5"/>
  <c r="AM48" i="5"/>
  <c r="AM49" i="5"/>
  <c r="AM50" i="5"/>
  <c r="AV48" i="4" s="1"/>
  <c r="AM51" i="5"/>
  <c r="AM52" i="5"/>
  <c r="AM53" i="5"/>
  <c r="AM54" i="5"/>
  <c r="AM55" i="5"/>
  <c r="AM56" i="5"/>
  <c r="AM57" i="5"/>
  <c r="AM58" i="5"/>
  <c r="AV56" i="4" s="1"/>
  <c r="AM59" i="5"/>
  <c r="AV57" i="4" s="1"/>
  <c r="AM60" i="5"/>
  <c r="AV58" i="4" s="1"/>
  <c r="AL19" i="5"/>
  <c r="AL20" i="5"/>
  <c r="AL21" i="5"/>
  <c r="AL22" i="5"/>
  <c r="AL23" i="5"/>
  <c r="AL24" i="5"/>
  <c r="AL25" i="5"/>
  <c r="AL26" i="5"/>
  <c r="AL27" i="5"/>
  <c r="AL28" i="5"/>
  <c r="AL29" i="5"/>
  <c r="AL30" i="5"/>
  <c r="AL31" i="5"/>
  <c r="AL34" i="5"/>
  <c r="AU32" i="4" s="1"/>
  <c r="AL35" i="5"/>
  <c r="AL36" i="5"/>
  <c r="AL37" i="5"/>
  <c r="AL38" i="5"/>
  <c r="AL39" i="5"/>
  <c r="AL40" i="5"/>
  <c r="AL41" i="5"/>
  <c r="AL42" i="5"/>
  <c r="AL43" i="5"/>
  <c r="AL44" i="5"/>
  <c r="AL45" i="5"/>
  <c r="AL46" i="5"/>
  <c r="AL47" i="5"/>
  <c r="AL48" i="5"/>
  <c r="AL49" i="5"/>
  <c r="AL50" i="5"/>
  <c r="AU48" i="4" s="1"/>
  <c r="AL51" i="5"/>
  <c r="AL52" i="5"/>
  <c r="AL53" i="5"/>
  <c r="AL54" i="5"/>
  <c r="AL55" i="5"/>
  <c r="AL56" i="5"/>
  <c r="AL57" i="5"/>
  <c r="AL58" i="5"/>
  <c r="AU56" i="4" s="1"/>
  <c r="AL59" i="5"/>
  <c r="AU57" i="4" s="1"/>
  <c r="AL60" i="5"/>
  <c r="AU58" i="4" s="1"/>
  <c r="AK19" i="5"/>
  <c r="AK20" i="5"/>
  <c r="AK21" i="5"/>
  <c r="AK22" i="5"/>
  <c r="AK23" i="5"/>
  <c r="AK24" i="5"/>
  <c r="AK25" i="5"/>
  <c r="AK26" i="5"/>
  <c r="AK27" i="5"/>
  <c r="AK28" i="5"/>
  <c r="AK29" i="5"/>
  <c r="AT27" i="4" s="1"/>
  <c r="AK30" i="5"/>
  <c r="AK31" i="5"/>
  <c r="AK34" i="5"/>
  <c r="AK35" i="5"/>
  <c r="AK36" i="5"/>
  <c r="AK37" i="5"/>
  <c r="AK38" i="5"/>
  <c r="AK39" i="5"/>
  <c r="AK40" i="5"/>
  <c r="AK41" i="5"/>
  <c r="AK42" i="5"/>
  <c r="AK43" i="5"/>
  <c r="AK44" i="5"/>
  <c r="AK45" i="5"/>
  <c r="AT31" i="4" s="1"/>
  <c r="AK46" i="5"/>
  <c r="AT44" i="4" s="1"/>
  <c r="AK47" i="5"/>
  <c r="AT45" i="4" s="1"/>
  <c r="AK48" i="5"/>
  <c r="AK49" i="5"/>
  <c r="AK50" i="5"/>
  <c r="AT48" i="4" s="1"/>
  <c r="AK51" i="5"/>
  <c r="AT49" i="4" s="1"/>
  <c r="AK52" i="5"/>
  <c r="AK53" i="5"/>
  <c r="AK54" i="5"/>
  <c r="AK55" i="5"/>
  <c r="AK56" i="5"/>
  <c r="AT54" i="4" s="1"/>
  <c r="AK57" i="5"/>
  <c r="AK58" i="5"/>
  <c r="AK59" i="5"/>
  <c r="AK60" i="5"/>
  <c r="AJ19" i="5"/>
  <c r="AJ20" i="5"/>
  <c r="AJ21" i="5"/>
  <c r="AJ22" i="5"/>
  <c r="AJ23" i="5"/>
  <c r="AJ24" i="5"/>
  <c r="AJ25" i="5"/>
  <c r="AJ26" i="5"/>
  <c r="AJ27" i="5"/>
  <c r="AJ28" i="5"/>
  <c r="AJ29" i="5"/>
  <c r="AJ30" i="5"/>
  <c r="AJ31" i="5"/>
  <c r="AJ34" i="5"/>
  <c r="AJ35" i="5"/>
  <c r="AJ36" i="5"/>
  <c r="AJ37" i="5"/>
  <c r="AJ38" i="5"/>
  <c r="AJ39" i="5"/>
  <c r="AJ40" i="5"/>
  <c r="AJ41" i="5"/>
  <c r="AJ42" i="5"/>
  <c r="AS40" i="4" s="1"/>
  <c r="AJ43" i="5"/>
  <c r="AS41" i="4" s="1"/>
  <c r="AJ44" i="5"/>
  <c r="AJ45" i="5"/>
  <c r="AJ46" i="5"/>
  <c r="AJ47" i="5"/>
  <c r="AJ48" i="5"/>
  <c r="AJ49" i="5"/>
  <c r="AJ50" i="5"/>
  <c r="AJ51" i="5"/>
  <c r="AS49" i="4" s="1"/>
  <c r="AJ52" i="5"/>
  <c r="AJ53" i="5"/>
  <c r="AJ54" i="5"/>
  <c r="AJ55" i="5"/>
  <c r="AJ56" i="5"/>
  <c r="AJ57" i="5"/>
  <c r="AJ58" i="5"/>
  <c r="AS56" i="4" s="1"/>
  <c r="AJ59" i="5"/>
  <c r="AJ60" i="5"/>
  <c r="AS58" i="4" s="1"/>
  <c r="AI19" i="5"/>
  <c r="AI20" i="5"/>
  <c r="AI21" i="5"/>
  <c r="AI22" i="5"/>
  <c r="AI23" i="5"/>
  <c r="AI24" i="5"/>
  <c r="AI25" i="5"/>
  <c r="AI26" i="5"/>
  <c r="AI27" i="5"/>
  <c r="AI28" i="5"/>
  <c r="AI29" i="5"/>
  <c r="AI30" i="5"/>
  <c r="AI31"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R56" i="4" s="1"/>
  <c r="AI59" i="5"/>
  <c r="AR57" i="4" s="1"/>
  <c r="AI60" i="5"/>
  <c r="AR58" i="4" s="1"/>
  <c r="AH19" i="5"/>
  <c r="AH20" i="5"/>
  <c r="AH21" i="5"/>
  <c r="AH22" i="5"/>
  <c r="AH23" i="5"/>
  <c r="AH24" i="5"/>
  <c r="AH25" i="5"/>
  <c r="AQ25" i="4" s="1"/>
  <c r="AH26" i="5"/>
  <c r="AH27" i="5"/>
  <c r="AH28" i="5"/>
  <c r="AH29" i="5"/>
  <c r="AH30" i="5"/>
  <c r="AH31" i="5"/>
  <c r="AH34" i="5"/>
  <c r="AH35" i="5"/>
  <c r="AH36" i="5"/>
  <c r="AH37" i="5"/>
  <c r="AH38" i="5"/>
  <c r="AH39" i="5"/>
  <c r="AH40" i="5"/>
  <c r="AH41" i="5"/>
  <c r="AH42" i="5"/>
  <c r="AH43" i="5"/>
  <c r="AH44" i="5"/>
  <c r="AH45" i="5"/>
  <c r="AH46" i="5"/>
  <c r="AH47" i="5"/>
  <c r="AH48" i="5"/>
  <c r="AH49" i="5"/>
  <c r="AH50" i="5"/>
  <c r="AH51" i="5"/>
  <c r="AH52" i="5"/>
  <c r="AH53" i="5"/>
  <c r="AH54" i="5"/>
  <c r="AH55" i="5"/>
  <c r="AH56" i="5"/>
  <c r="AH57" i="5"/>
  <c r="AQ55" i="4" s="1"/>
  <c r="AH58" i="5"/>
  <c r="AQ56" i="4" s="1"/>
  <c r="AH59" i="5"/>
  <c r="AQ57" i="4" s="1"/>
  <c r="AH60" i="5"/>
  <c r="AQ58" i="4" s="1"/>
  <c r="J62" i="33"/>
  <c r="J63" i="33"/>
  <c r="J64" i="33"/>
  <c r="J65" i="33"/>
  <c r="J66" i="33"/>
  <c r="J67" i="33"/>
  <c r="J68" i="33"/>
  <c r="J69" i="33"/>
  <c r="J70" i="33"/>
  <c r="J71" i="33"/>
  <c r="J72" i="33"/>
  <c r="J73" i="33"/>
  <c r="J74" i="33"/>
  <c r="J75" i="33"/>
  <c r="J76" i="33"/>
  <c r="J77" i="33"/>
  <c r="J78" i="33"/>
  <c r="J79" i="33"/>
  <c r="J80" i="33"/>
  <c r="J81" i="33"/>
  <c r="J82" i="33"/>
  <c r="J83" i="33"/>
  <c r="J84" i="33"/>
  <c r="J85" i="33"/>
  <c r="J86" i="33"/>
  <c r="J87" i="33"/>
  <c r="J88" i="33"/>
  <c r="J89" i="33"/>
  <c r="J90" i="33"/>
  <c r="J91" i="33"/>
  <c r="J92" i="33"/>
  <c r="J93" i="33"/>
  <c r="J94" i="33"/>
  <c r="J95" i="33"/>
  <c r="J96" i="33"/>
  <c r="J97" i="33"/>
  <c r="J98" i="33"/>
  <c r="J99" i="33"/>
  <c r="J100" i="33"/>
  <c r="J101" i="33"/>
  <c r="J102" i="33"/>
  <c r="J103" i="33"/>
  <c r="J104" i="33"/>
  <c r="J105" i="33"/>
  <c r="N62" i="33"/>
  <c r="N63" i="33"/>
  <c r="N64" i="33"/>
  <c r="N65" i="33"/>
  <c r="N66" i="33"/>
  <c r="N67" i="33"/>
  <c r="N68" i="33"/>
  <c r="N69" i="33"/>
  <c r="N70" i="33"/>
  <c r="N71" i="33"/>
  <c r="N72" i="33"/>
  <c r="N73" i="33"/>
  <c r="N74" i="33"/>
  <c r="N75" i="33"/>
  <c r="N76" i="33"/>
  <c r="N77" i="33"/>
  <c r="N78" i="33"/>
  <c r="N79" i="33"/>
  <c r="N80" i="33"/>
  <c r="N81" i="33"/>
  <c r="N82" i="33"/>
  <c r="N83" i="33"/>
  <c r="N84" i="33"/>
  <c r="N85" i="33"/>
  <c r="N86" i="33"/>
  <c r="N87" i="33"/>
  <c r="N88" i="33"/>
  <c r="N89" i="33"/>
  <c r="N90" i="33"/>
  <c r="N91" i="33"/>
  <c r="N92" i="33"/>
  <c r="N93" i="33"/>
  <c r="N94" i="33"/>
  <c r="N95" i="33"/>
  <c r="N96" i="33"/>
  <c r="N97" i="33"/>
  <c r="N98" i="33"/>
  <c r="N99" i="33"/>
  <c r="N100" i="33"/>
  <c r="N101" i="33"/>
  <c r="N102" i="33"/>
  <c r="N103" i="33"/>
  <c r="N104" i="33"/>
  <c r="N105" i="33"/>
  <c r="AJ62" i="33"/>
  <c r="AJ63" i="33"/>
  <c r="AJ64" i="33"/>
  <c r="AJ65" i="33"/>
  <c r="AJ66" i="33"/>
  <c r="AJ67" i="33"/>
  <c r="AJ68" i="33"/>
  <c r="AJ69" i="33"/>
  <c r="AJ70" i="33"/>
  <c r="AJ71" i="33"/>
  <c r="AJ72" i="33"/>
  <c r="AJ73" i="33"/>
  <c r="AJ74" i="33"/>
  <c r="AJ75" i="33"/>
  <c r="AJ76" i="33"/>
  <c r="AJ77" i="33"/>
  <c r="AJ78" i="33"/>
  <c r="AJ79" i="33"/>
  <c r="AJ80" i="33"/>
  <c r="AJ81" i="33"/>
  <c r="AJ82" i="33"/>
  <c r="AJ83" i="33"/>
  <c r="AJ84" i="33"/>
  <c r="AJ85" i="33"/>
  <c r="AJ86" i="33"/>
  <c r="AJ87" i="33"/>
  <c r="AJ88" i="33"/>
  <c r="AJ89" i="33"/>
  <c r="AJ90" i="33"/>
  <c r="AJ91" i="33"/>
  <c r="AJ92" i="33"/>
  <c r="AJ93" i="33"/>
  <c r="AJ94" i="33"/>
  <c r="AJ95" i="33"/>
  <c r="AJ96" i="33"/>
  <c r="AJ97" i="33"/>
  <c r="AJ98" i="33"/>
  <c r="AJ99" i="33"/>
  <c r="AJ100" i="33"/>
  <c r="AJ101" i="33"/>
  <c r="AJ102" i="33"/>
  <c r="AJ103" i="33"/>
  <c r="AJ104" i="33"/>
  <c r="AJ105" i="33"/>
  <c r="AH62" i="33"/>
  <c r="AH63" i="33"/>
  <c r="AH64" i="33"/>
  <c r="AH65" i="33"/>
  <c r="AH66" i="33"/>
  <c r="AH67" i="33"/>
  <c r="AH68" i="33"/>
  <c r="AH69" i="33"/>
  <c r="AH70" i="33"/>
  <c r="AH71" i="33"/>
  <c r="AH72" i="33"/>
  <c r="AH73" i="33"/>
  <c r="AH74" i="33"/>
  <c r="AH75" i="33"/>
  <c r="AH76" i="33"/>
  <c r="AH77" i="33"/>
  <c r="AH78" i="33"/>
  <c r="AH79" i="33"/>
  <c r="AH80" i="33"/>
  <c r="AH81" i="33"/>
  <c r="AH82" i="33"/>
  <c r="AH83" i="33"/>
  <c r="AH84" i="33"/>
  <c r="AH85" i="33"/>
  <c r="AH86" i="33"/>
  <c r="AH87" i="33"/>
  <c r="AH88" i="33"/>
  <c r="AH89" i="33"/>
  <c r="AH90" i="33"/>
  <c r="AH91" i="33"/>
  <c r="AH92" i="33"/>
  <c r="AH93" i="33"/>
  <c r="AH94" i="33"/>
  <c r="AH95" i="33"/>
  <c r="AH96" i="33"/>
  <c r="AH97" i="33"/>
  <c r="AH98" i="33"/>
  <c r="AH99" i="33"/>
  <c r="AH100" i="33"/>
  <c r="AH101" i="33"/>
  <c r="AH102" i="33"/>
  <c r="AH103" i="33"/>
  <c r="AH104" i="33"/>
  <c r="AH105" i="33"/>
  <c r="AF62" i="33"/>
  <c r="AF63" i="33"/>
  <c r="AF64" i="33"/>
  <c r="AF65" i="33"/>
  <c r="AF66" i="33"/>
  <c r="AF67" i="33"/>
  <c r="AF68" i="33"/>
  <c r="AF69" i="33"/>
  <c r="AF70" i="33"/>
  <c r="AF71" i="33"/>
  <c r="AF72" i="33"/>
  <c r="AF73" i="33"/>
  <c r="AF74" i="33"/>
  <c r="AF75" i="33"/>
  <c r="AF76" i="33"/>
  <c r="AF77" i="33"/>
  <c r="AF78" i="33"/>
  <c r="AF79" i="33"/>
  <c r="AF80" i="33"/>
  <c r="AF81" i="33"/>
  <c r="AF82" i="33"/>
  <c r="AF83" i="33"/>
  <c r="AF84" i="33"/>
  <c r="AF85" i="33"/>
  <c r="AF86" i="33"/>
  <c r="AF87" i="33"/>
  <c r="AF88" i="33"/>
  <c r="AF89" i="33"/>
  <c r="AF90" i="33"/>
  <c r="AF91" i="33"/>
  <c r="AF92" i="33"/>
  <c r="AF93" i="33"/>
  <c r="AF94" i="33"/>
  <c r="AF95" i="33"/>
  <c r="AF96" i="33"/>
  <c r="AF97" i="33"/>
  <c r="AF98" i="33"/>
  <c r="AF99" i="33"/>
  <c r="AF100" i="33"/>
  <c r="AF101" i="33"/>
  <c r="AF102" i="33"/>
  <c r="AF103" i="33"/>
  <c r="AF104" i="33"/>
  <c r="AF105" i="33"/>
  <c r="AD62" i="33"/>
  <c r="AD63" i="33"/>
  <c r="AD64" i="33"/>
  <c r="AD65" i="33"/>
  <c r="AD66" i="33"/>
  <c r="AD67" i="33"/>
  <c r="AD68" i="33"/>
  <c r="AD69" i="33"/>
  <c r="AD70" i="33"/>
  <c r="AD71" i="33"/>
  <c r="AD72" i="33"/>
  <c r="AD73" i="33"/>
  <c r="AD74" i="33"/>
  <c r="AD75" i="33"/>
  <c r="AD76" i="33"/>
  <c r="AD77" i="33"/>
  <c r="AD78" i="33"/>
  <c r="AD79" i="33"/>
  <c r="AD80" i="33"/>
  <c r="AD81" i="33"/>
  <c r="AD82" i="33"/>
  <c r="AD83" i="33"/>
  <c r="AD84" i="33"/>
  <c r="AD85" i="33"/>
  <c r="AD86" i="33"/>
  <c r="AD87" i="33"/>
  <c r="AD88" i="33"/>
  <c r="AD89" i="33"/>
  <c r="AD90" i="33"/>
  <c r="AD91" i="33"/>
  <c r="AD92" i="33"/>
  <c r="AD93" i="33"/>
  <c r="AD94" i="33"/>
  <c r="AD95" i="33"/>
  <c r="AD96" i="33"/>
  <c r="AD97" i="33"/>
  <c r="AD98" i="33"/>
  <c r="AD99" i="33"/>
  <c r="AD100" i="33"/>
  <c r="AD101" i="33"/>
  <c r="AD102" i="33"/>
  <c r="AD103" i="33"/>
  <c r="AD104" i="33"/>
  <c r="AD105" i="33"/>
  <c r="AB62" i="33"/>
  <c r="AB63" i="33"/>
  <c r="AB64" i="33"/>
  <c r="AB65" i="33"/>
  <c r="AB66" i="33"/>
  <c r="AB67" i="33"/>
  <c r="AB68" i="33"/>
  <c r="AB69" i="33"/>
  <c r="AB70" i="33"/>
  <c r="AB71" i="33"/>
  <c r="AB72" i="33"/>
  <c r="AB73" i="33"/>
  <c r="AB74" i="33"/>
  <c r="AB75" i="33"/>
  <c r="AB76" i="33"/>
  <c r="AB77" i="33"/>
  <c r="AB78" i="33"/>
  <c r="AB79" i="33"/>
  <c r="AB80" i="33"/>
  <c r="AB81" i="33"/>
  <c r="AB82" i="33"/>
  <c r="AB83" i="33"/>
  <c r="AB84" i="33"/>
  <c r="AB85" i="33"/>
  <c r="AB86" i="33"/>
  <c r="AB87" i="33"/>
  <c r="AB88" i="33"/>
  <c r="AB89" i="33"/>
  <c r="AB90" i="33"/>
  <c r="AB91" i="33"/>
  <c r="AB92" i="33"/>
  <c r="AB93" i="33"/>
  <c r="AB94" i="33"/>
  <c r="AB95" i="33"/>
  <c r="AB96" i="33"/>
  <c r="AB97" i="33"/>
  <c r="AB98" i="33"/>
  <c r="AB99" i="33"/>
  <c r="AB100" i="33"/>
  <c r="AB101" i="33"/>
  <c r="AB102" i="33"/>
  <c r="AB103" i="33"/>
  <c r="AB104" i="33"/>
  <c r="AB105" i="33"/>
  <c r="Z62" i="33"/>
  <c r="Z63" i="33"/>
  <c r="Z64" i="33"/>
  <c r="Z65" i="33"/>
  <c r="Z66" i="33"/>
  <c r="Z67" i="33"/>
  <c r="Z68" i="33"/>
  <c r="Z69" i="33"/>
  <c r="Z70" i="33"/>
  <c r="Z71" i="33"/>
  <c r="Z72" i="33"/>
  <c r="Z73" i="33"/>
  <c r="Z74" i="33"/>
  <c r="Z75" i="33"/>
  <c r="Z76" i="33"/>
  <c r="Z77" i="33"/>
  <c r="Z78" i="33"/>
  <c r="Z79" i="33"/>
  <c r="Z80" i="33"/>
  <c r="Z81" i="33"/>
  <c r="Z82" i="33"/>
  <c r="Z83" i="33"/>
  <c r="Z84" i="33"/>
  <c r="Z85" i="33"/>
  <c r="Z86" i="33"/>
  <c r="Z87" i="33"/>
  <c r="Z88" i="33"/>
  <c r="Z89" i="33"/>
  <c r="Z90" i="33"/>
  <c r="Z91" i="33"/>
  <c r="Z92" i="33"/>
  <c r="Z93" i="33"/>
  <c r="Z94" i="33"/>
  <c r="Z95" i="33"/>
  <c r="Z96" i="33"/>
  <c r="Z97" i="33"/>
  <c r="Z98" i="33"/>
  <c r="Z99" i="33"/>
  <c r="Z100" i="33"/>
  <c r="Z101" i="33"/>
  <c r="Z102" i="33"/>
  <c r="Z103" i="33"/>
  <c r="Z104" i="33"/>
  <c r="Z105" i="33"/>
  <c r="X62" i="33"/>
  <c r="X63" i="33"/>
  <c r="X64" i="33"/>
  <c r="X65" i="33"/>
  <c r="X66" i="33"/>
  <c r="X67" i="33"/>
  <c r="X68" i="33"/>
  <c r="X69" i="33"/>
  <c r="X70" i="33"/>
  <c r="X71" i="33"/>
  <c r="X72" i="33"/>
  <c r="X73" i="33"/>
  <c r="X74" i="33"/>
  <c r="X75" i="33"/>
  <c r="X76" i="33"/>
  <c r="X77" i="33"/>
  <c r="X78" i="33"/>
  <c r="X79" i="33"/>
  <c r="X80" i="33"/>
  <c r="X81" i="33"/>
  <c r="X82" i="33"/>
  <c r="X83" i="33"/>
  <c r="X84" i="33"/>
  <c r="X85" i="33"/>
  <c r="X86" i="33"/>
  <c r="X87" i="33"/>
  <c r="X88" i="33"/>
  <c r="X89" i="33"/>
  <c r="X90" i="33"/>
  <c r="X91" i="33"/>
  <c r="X92" i="33"/>
  <c r="X93" i="33"/>
  <c r="X94" i="33"/>
  <c r="X95" i="33"/>
  <c r="X96" i="33"/>
  <c r="X97" i="33"/>
  <c r="X98" i="33"/>
  <c r="X99" i="33"/>
  <c r="X100" i="33"/>
  <c r="X101" i="33"/>
  <c r="X102" i="33"/>
  <c r="X103" i="33"/>
  <c r="X104" i="33"/>
  <c r="X105" i="33"/>
  <c r="V62" i="33"/>
  <c r="V63" i="33"/>
  <c r="V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T62" i="33"/>
  <c r="T63" i="33"/>
  <c r="T64" i="33"/>
  <c r="T65" i="33"/>
  <c r="T66" i="33"/>
  <c r="T67" i="33"/>
  <c r="T68" i="33"/>
  <c r="T69" i="33"/>
  <c r="T70" i="33"/>
  <c r="T71" i="33"/>
  <c r="T72" i="33"/>
  <c r="T73" i="33"/>
  <c r="T74" i="33"/>
  <c r="T75" i="33"/>
  <c r="T76" i="33"/>
  <c r="T77" i="33"/>
  <c r="T78" i="33"/>
  <c r="T79" i="33"/>
  <c r="T80" i="33"/>
  <c r="T81" i="33"/>
  <c r="T82" i="33"/>
  <c r="T83" i="33"/>
  <c r="T84" i="33"/>
  <c r="T85" i="33"/>
  <c r="T86" i="33"/>
  <c r="T87" i="33"/>
  <c r="T88" i="33"/>
  <c r="T89" i="33"/>
  <c r="T90" i="33"/>
  <c r="T91" i="33"/>
  <c r="T92" i="33"/>
  <c r="T93" i="33"/>
  <c r="T94" i="33"/>
  <c r="T95" i="33"/>
  <c r="T96" i="33"/>
  <c r="T97" i="33"/>
  <c r="T98" i="33"/>
  <c r="T99" i="33"/>
  <c r="T100" i="33"/>
  <c r="T101" i="33"/>
  <c r="T102" i="33"/>
  <c r="T103" i="33"/>
  <c r="T104" i="33"/>
  <c r="T105" i="33"/>
  <c r="R62" i="33"/>
  <c r="R63" i="33"/>
  <c r="R64" i="33"/>
  <c r="R65" i="33"/>
  <c r="R66" i="33"/>
  <c r="R67" i="33"/>
  <c r="R68" i="33"/>
  <c r="R69" i="33"/>
  <c r="R70" i="33"/>
  <c r="R71" i="33"/>
  <c r="R72" i="33"/>
  <c r="R73" i="33"/>
  <c r="R74" i="33"/>
  <c r="R75" i="33"/>
  <c r="R76" i="33"/>
  <c r="R77" i="33"/>
  <c r="R78" i="33"/>
  <c r="R79" i="33"/>
  <c r="R80" i="33"/>
  <c r="R81" i="33"/>
  <c r="R82" i="33"/>
  <c r="R83" i="33"/>
  <c r="R84" i="33"/>
  <c r="R85" i="33"/>
  <c r="R86" i="33"/>
  <c r="R87" i="33"/>
  <c r="R88" i="33"/>
  <c r="R89" i="33"/>
  <c r="R90" i="33"/>
  <c r="R91" i="33"/>
  <c r="R92" i="33"/>
  <c r="R93" i="33"/>
  <c r="R101" i="33"/>
  <c r="R102" i="33"/>
  <c r="R103" i="33"/>
  <c r="R104" i="33"/>
  <c r="R105" i="33"/>
  <c r="P62" i="33"/>
  <c r="P63" i="33"/>
  <c r="P64" i="33"/>
  <c r="P65" i="33"/>
  <c r="P66" i="33"/>
  <c r="P67" i="33"/>
  <c r="P68" i="33"/>
  <c r="P69" i="33"/>
  <c r="P70" i="33"/>
  <c r="P71" i="33"/>
  <c r="P72" i="33"/>
  <c r="P73" i="33"/>
  <c r="P74" i="33"/>
  <c r="P75" i="33"/>
  <c r="P76" i="33"/>
  <c r="P77" i="33"/>
  <c r="P78" i="33"/>
  <c r="P79" i="33"/>
  <c r="P80" i="33"/>
  <c r="P81" i="33"/>
  <c r="P82" i="33"/>
  <c r="P83" i="33"/>
  <c r="P84" i="33"/>
  <c r="P85" i="33"/>
  <c r="P86" i="33"/>
  <c r="P87" i="33"/>
  <c r="P88" i="33"/>
  <c r="P89" i="33"/>
  <c r="P90" i="33"/>
  <c r="P91" i="33"/>
  <c r="P92" i="33"/>
  <c r="P93" i="33"/>
  <c r="P94" i="33"/>
  <c r="P95" i="33"/>
  <c r="P96" i="33"/>
  <c r="P97" i="33"/>
  <c r="P98" i="33"/>
  <c r="P99" i="33"/>
  <c r="P100" i="33"/>
  <c r="P101" i="33"/>
  <c r="P102" i="33"/>
  <c r="P103" i="33"/>
  <c r="P104" i="33"/>
  <c r="P105" i="33"/>
  <c r="X15" i="33"/>
  <c r="X17" i="33"/>
  <c r="J13" i="33"/>
  <c r="AF41" i="5"/>
  <c r="AG41" i="5" s="1"/>
  <c r="AF36" i="5"/>
  <c r="AG36" i="5" s="1"/>
  <c r="AF34" i="5"/>
  <c r="AG34" i="5" s="1"/>
  <c r="AF30" i="5"/>
  <c r="AG30" i="5" s="1"/>
  <c r="AF28" i="5"/>
  <c r="AG28" i="5" s="1"/>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AF26" i="5"/>
  <c r="AG26" i="5" s="1"/>
  <c r="AF22" i="5"/>
  <c r="AG22" i="5" s="1"/>
  <c r="Q22" i="8"/>
  <c r="Q23" i="8"/>
  <c r="W18" i="8"/>
  <c r="AB18" i="4"/>
  <c r="AB19" i="4"/>
  <c r="AB20" i="4"/>
  <c r="AB21" i="4"/>
  <c r="AB22" i="4"/>
  <c r="AB23" i="4"/>
  <c r="AB24" i="4"/>
  <c r="AJ18" i="3" s="1"/>
  <c r="AB25" i="4"/>
  <c r="AB26" i="4"/>
  <c r="AB27" i="4"/>
  <c r="AB28" i="4"/>
  <c r="AB29" i="4"/>
  <c r="AB30" i="4"/>
  <c r="AB31" i="4"/>
  <c r="AB32" i="4"/>
  <c r="AB33" i="4"/>
  <c r="AB34" i="4"/>
  <c r="AB35" i="4"/>
  <c r="AB36" i="4"/>
  <c r="AB37" i="4"/>
  <c r="AB38" i="4"/>
  <c r="AB40" i="4"/>
  <c r="AB41" i="4"/>
  <c r="AB42" i="4"/>
  <c r="AB43" i="4"/>
  <c r="AB44" i="4"/>
  <c r="AB45" i="4"/>
  <c r="AB46" i="4"/>
  <c r="AB47" i="4"/>
  <c r="AB48" i="4"/>
  <c r="AB49" i="4"/>
  <c r="AA18" i="4"/>
  <c r="AA19" i="4"/>
  <c r="AA20" i="4"/>
  <c r="AA21" i="4"/>
  <c r="AA22" i="4"/>
  <c r="AA23" i="4"/>
  <c r="AA24" i="4"/>
  <c r="AA25" i="4"/>
  <c r="AA26" i="4"/>
  <c r="AA27" i="4"/>
  <c r="AA28" i="4"/>
  <c r="AA29" i="4"/>
  <c r="AA30" i="4"/>
  <c r="AA31" i="4"/>
  <c r="AA32" i="4"/>
  <c r="AA33" i="4"/>
  <c r="AA34" i="4"/>
  <c r="AA35" i="4"/>
  <c r="AA36" i="4"/>
  <c r="AA37" i="4"/>
  <c r="AA38" i="4"/>
  <c r="AA40" i="4"/>
  <c r="AA41" i="4"/>
  <c r="AA42" i="4"/>
  <c r="AA43" i="4"/>
  <c r="AA44" i="4"/>
  <c r="AA45" i="4"/>
  <c r="AA46" i="4"/>
  <c r="AA47" i="4"/>
  <c r="AA48" i="4"/>
  <c r="AA49" i="4"/>
  <c r="Z18" i="4"/>
  <c r="Z19" i="4"/>
  <c r="Z20" i="4"/>
  <c r="Z21" i="4"/>
  <c r="Z22" i="4"/>
  <c r="Z23" i="4"/>
  <c r="Z24" i="4"/>
  <c r="Z25" i="4"/>
  <c r="Z26" i="4"/>
  <c r="Z27" i="4"/>
  <c r="Z28" i="4"/>
  <c r="Z29" i="4"/>
  <c r="Z30" i="4"/>
  <c r="Z31" i="4"/>
  <c r="Z32" i="4"/>
  <c r="Z33" i="4"/>
  <c r="Z34" i="4"/>
  <c r="Z35" i="4"/>
  <c r="Z36" i="4"/>
  <c r="Z37" i="4"/>
  <c r="Z38" i="4"/>
  <c r="Z40" i="4"/>
  <c r="Z41" i="4"/>
  <c r="Z42" i="4"/>
  <c r="Z43" i="4"/>
  <c r="Z44" i="4"/>
  <c r="Z45" i="4"/>
  <c r="Z46" i="4"/>
  <c r="Z47" i="4"/>
  <c r="Z48" i="4"/>
  <c r="Z49" i="4"/>
  <c r="Y18" i="4"/>
  <c r="Y19" i="4"/>
  <c r="Y20" i="4"/>
  <c r="AW20" i="3" s="1"/>
  <c r="Y21" i="4"/>
  <c r="Y22" i="4"/>
  <c r="Y23" i="4"/>
  <c r="Y24" i="4"/>
  <c r="Y25" i="4"/>
  <c r="Y26" i="4"/>
  <c r="Y27" i="4"/>
  <c r="Y28" i="4"/>
  <c r="Y29" i="4"/>
  <c r="Y30" i="4"/>
  <c r="Y31" i="4"/>
  <c r="Y32" i="4"/>
  <c r="Y33" i="4"/>
  <c r="Y34" i="4"/>
  <c r="Y35" i="4"/>
  <c r="Y36" i="4"/>
  <c r="Y37" i="4"/>
  <c r="Y38" i="4"/>
  <c r="Y40" i="4"/>
  <c r="Y41" i="4"/>
  <c r="Y42" i="4"/>
  <c r="Y43" i="4"/>
  <c r="Y44" i="4"/>
  <c r="Y45" i="4"/>
  <c r="Y46" i="4"/>
  <c r="Y47" i="4"/>
  <c r="Y48" i="4"/>
  <c r="Y49" i="4"/>
  <c r="X18" i="4"/>
  <c r="X19" i="4"/>
  <c r="X20" i="4"/>
  <c r="X21" i="4"/>
  <c r="X22" i="4"/>
  <c r="X23" i="4"/>
  <c r="X24" i="4"/>
  <c r="X25" i="4"/>
  <c r="X26" i="4"/>
  <c r="X27" i="4"/>
  <c r="X28" i="4"/>
  <c r="X29" i="4"/>
  <c r="X30" i="4"/>
  <c r="X31" i="4"/>
  <c r="X32" i="4"/>
  <c r="X33" i="4"/>
  <c r="X34" i="4"/>
  <c r="X35" i="4"/>
  <c r="X36" i="4"/>
  <c r="X37" i="4"/>
  <c r="X38" i="4"/>
  <c r="X40" i="4"/>
  <c r="X41" i="4"/>
  <c r="X42" i="4"/>
  <c r="X43" i="4"/>
  <c r="X44" i="4"/>
  <c r="X45" i="4"/>
  <c r="X46" i="4"/>
  <c r="X47" i="4"/>
  <c r="X48" i="4"/>
  <c r="X49" i="4"/>
  <c r="W18" i="4"/>
  <c r="W19" i="4"/>
  <c r="W20" i="4"/>
  <c r="AU20" i="3" s="1"/>
  <c r="W21" i="4"/>
  <c r="W22" i="4"/>
  <c r="W23" i="4"/>
  <c r="W24" i="4"/>
  <c r="W25" i="4"/>
  <c r="W26" i="4"/>
  <c r="W27" i="4"/>
  <c r="W28" i="4"/>
  <c r="W29" i="4"/>
  <c r="W30" i="4"/>
  <c r="W31" i="4"/>
  <c r="W32" i="4"/>
  <c r="W33" i="4"/>
  <c r="W34" i="4"/>
  <c r="W35" i="4"/>
  <c r="W36" i="4"/>
  <c r="W37" i="4"/>
  <c r="W38" i="4"/>
  <c r="W40" i="4"/>
  <c r="W41" i="4"/>
  <c r="W42" i="4"/>
  <c r="W43" i="4"/>
  <c r="W44" i="4"/>
  <c r="W45" i="4"/>
  <c r="W46" i="4"/>
  <c r="W47" i="4"/>
  <c r="W48" i="4"/>
  <c r="W49" i="4"/>
  <c r="V18" i="4"/>
  <c r="V19" i="4"/>
  <c r="V20" i="4"/>
  <c r="AT20" i="3" s="1"/>
  <c r="V21" i="4"/>
  <c r="V22" i="4"/>
  <c r="V23" i="4"/>
  <c r="V24" i="4"/>
  <c r="V25" i="4"/>
  <c r="V26" i="4"/>
  <c r="V27" i="4"/>
  <c r="V28" i="4"/>
  <c r="V29" i="4"/>
  <c r="V30" i="4"/>
  <c r="V31" i="4"/>
  <c r="V32" i="4"/>
  <c r="V33" i="4"/>
  <c r="V34" i="4"/>
  <c r="V35" i="4"/>
  <c r="V36" i="4"/>
  <c r="V37" i="4"/>
  <c r="V38" i="4"/>
  <c r="V40" i="4"/>
  <c r="V41" i="4"/>
  <c r="V42" i="4"/>
  <c r="V43" i="4"/>
  <c r="V44" i="4"/>
  <c r="V45" i="4"/>
  <c r="V46" i="4"/>
  <c r="V47" i="4"/>
  <c r="V48" i="4"/>
  <c r="V49" i="4"/>
  <c r="AS18" i="3"/>
  <c r="AR20" i="3"/>
  <c r="R19" i="6"/>
  <c r="X23" i="33"/>
  <c r="AD23" i="33" s="1"/>
  <c r="I34" i="33"/>
  <c r="I35" i="33"/>
  <c r="I36" i="33"/>
  <c r="BA33" i="4"/>
  <c r="AX37" i="4"/>
  <c r="BB37" i="4"/>
  <c r="AY42" i="4"/>
  <c r="AY44" i="4"/>
  <c r="AZ46" i="4"/>
  <c r="AZ48" i="4"/>
  <c r="BO33" i="11"/>
  <c r="BP33" i="11"/>
  <c r="I37" i="33"/>
  <c r="I33" i="33"/>
  <c r="BO25" i="11"/>
  <c r="BP25" i="11"/>
  <c r="BQ25" i="11"/>
  <c r="BO26" i="11"/>
  <c r="BP26" i="11"/>
  <c r="BQ26" i="11"/>
  <c r="BO27" i="11"/>
  <c r="BP27" i="11"/>
  <c r="BQ27" i="11"/>
  <c r="BO28" i="11"/>
  <c r="BP28" i="11"/>
  <c r="BQ28" i="11"/>
  <c r="BO29" i="11"/>
  <c r="BP29" i="11"/>
  <c r="BQ29" i="11"/>
  <c r="BO30" i="11"/>
  <c r="BP30" i="11"/>
  <c r="BQ30" i="11"/>
  <c r="BO31" i="11"/>
  <c r="BP31" i="11"/>
  <c r="BQ31" i="11"/>
  <c r="BO32" i="11"/>
  <c r="BP32" i="11"/>
  <c r="BQ32" i="11"/>
  <c r="BQ33" i="11"/>
  <c r="BO34" i="11"/>
  <c r="BP34" i="11"/>
  <c r="BQ34" i="11"/>
  <c r="BO35" i="11"/>
  <c r="BP35" i="11"/>
  <c r="BQ35" i="11"/>
  <c r="BO36" i="11"/>
  <c r="BP36" i="11"/>
  <c r="BQ36" i="11"/>
  <c r="BO37" i="11"/>
  <c r="BP37" i="11"/>
  <c r="BQ37" i="11"/>
  <c r="BO38" i="11"/>
  <c r="BP38" i="11"/>
  <c r="BQ38" i="11"/>
  <c r="BO39" i="11"/>
  <c r="BP39" i="11"/>
  <c r="BQ39" i="11"/>
  <c r="BO40" i="11"/>
  <c r="BP40" i="11"/>
  <c r="BQ40" i="11"/>
  <c r="BO41" i="11"/>
  <c r="BP41" i="11"/>
  <c r="BQ41" i="11"/>
  <c r="BO42" i="11"/>
  <c r="BP42" i="11"/>
  <c r="BQ42" i="11"/>
  <c r="BO43" i="11"/>
  <c r="BP43" i="11"/>
  <c r="BQ43" i="11"/>
  <c r="BO44" i="11"/>
  <c r="BP44" i="11"/>
  <c r="BQ44" i="11"/>
  <c r="BO45" i="11"/>
  <c r="BP45" i="11"/>
  <c r="BQ45" i="11"/>
  <c r="BB35" i="4"/>
  <c r="AF18" i="5"/>
  <c r="AG18" i="5" s="1"/>
  <c r="AF19" i="5"/>
  <c r="AG19" i="5" s="1"/>
  <c r="AF20" i="5"/>
  <c r="AG20" i="5" s="1"/>
  <c r="AF21" i="5"/>
  <c r="AG21" i="5" s="1"/>
  <c r="AF23" i="5"/>
  <c r="AG23" i="5" s="1"/>
  <c r="AF24" i="5"/>
  <c r="AG24" i="5" s="1"/>
  <c r="AF25" i="5"/>
  <c r="AG25" i="5" s="1"/>
  <c r="AF27" i="5"/>
  <c r="AG27" i="5" s="1"/>
  <c r="AF29" i="5"/>
  <c r="AG29" i="5" s="1"/>
  <c r="AF31" i="5"/>
  <c r="AG31" i="5" s="1"/>
  <c r="AF35" i="5"/>
  <c r="AG35" i="5" s="1"/>
  <c r="AF37" i="5"/>
  <c r="AG37" i="5" s="1"/>
  <c r="AF38" i="5"/>
  <c r="AG38" i="5" s="1"/>
  <c r="AF39" i="5"/>
  <c r="AG39" i="5" s="1"/>
  <c r="AF40" i="5"/>
  <c r="AG40" i="5" s="1"/>
  <c r="AF42" i="5"/>
  <c r="AG42" i="5" s="1"/>
  <c r="AF43" i="5"/>
  <c r="AG43" i="5" s="1"/>
  <c r="AF44" i="5"/>
  <c r="AG44" i="5" s="1"/>
  <c r="AF45" i="5"/>
  <c r="AG45" i="5" s="1"/>
  <c r="AF46" i="5"/>
  <c r="AG46" i="5" s="1"/>
  <c r="AF47" i="5"/>
  <c r="AG47" i="5" s="1"/>
  <c r="AF48" i="5"/>
  <c r="AG48" i="5" s="1"/>
  <c r="AF49" i="5"/>
  <c r="AG49" i="5" s="1"/>
  <c r="AF50" i="5"/>
  <c r="AG50" i="5" s="1"/>
  <c r="AF51" i="5"/>
  <c r="AG51" i="5" s="1"/>
  <c r="AF52" i="5"/>
  <c r="AG52" i="5" s="1"/>
  <c r="AF53" i="5"/>
  <c r="AG53" i="5" s="1"/>
  <c r="AF54" i="5"/>
  <c r="AG54" i="5" s="1"/>
  <c r="AF55" i="5"/>
  <c r="AG55" i="5" s="1"/>
  <c r="AF56" i="5"/>
  <c r="AG56" i="5" s="1"/>
  <c r="AF57" i="5"/>
  <c r="AG57" i="5" s="1"/>
  <c r="AF58" i="5"/>
  <c r="AG58" i="5" s="1"/>
  <c r="AF59" i="5"/>
  <c r="AG59" i="5" s="1"/>
  <c r="AF60" i="5"/>
  <c r="AG60" i="5" s="1"/>
  <c r="Q24" i="8"/>
  <c r="X14" i="33"/>
  <c r="AJ19" i="2" s="1"/>
  <c r="X16" i="33"/>
  <c r="I39" i="33"/>
  <c r="X22" i="33"/>
  <c r="AD22" i="33" s="1"/>
  <c r="X21" i="33"/>
  <c r="BO23" i="11"/>
  <c r="BP23" i="11"/>
  <c r="BQ23" i="11"/>
  <c r="BO24" i="11"/>
  <c r="BP24" i="11"/>
  <c r="BQ24" i="11"/>
  <c r="BO21" i="11"/>
  <c r="BO22" i="11"/>
  <c r="BP21" i="11"/>
  <c r="BP22" i="11"/>
  <c r="BQ21" i="11"/>
  <c r="BQ22" i="11"/>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Z29" i="4"/>
  <c r="BR19" i="4"/>
  <c r="BR21" i="4"/>
  <c r="BR23" i="4"/>
  <c r="BR24" i="4"/>
  <c r="BR27" i="4"/>
  <c r="BR29" i="4"/>
  <c r="BR31" i="4"/>
  <c r="BR32" i="4"/>
  <c r="BR34" i="4"/>
  <c r="BR35" i="4"/>
  <c r="BR38" i="4"/>
  <c r="AS18" i="5"/>
  <c r="BB18" i="4" s="1"/>
  <c r="BL18" i="3" s="1"/>
  <c r="AR18" i="5"/>
  <c r="BA18" i="4" s="1"/>
  <c r="AQ18" i="5"/>
  <c r="AZ18" i="4" s="1"/>
  <c r="AP18" i="5"/>
  <c r="AY18" i="4" s="1"/>
  <c r="AO18" i="5"/>
  <c r="AX18" i="4" s="1"/>
  <c r="AN18" i="5"/>
  <c r="AW18" i="4" s="1"/>
  <c r="AM18" i="5"/>
  <c r="AV18" i="4" s="1"/>
  <c r="AV31" i="4"/>
  <c r="AL18" i="5"/>
  <c r="AU18" i="4" s="1"/>
  <c r="AK18" i="5"/>
  <c r="AT18" i="4" s="1"/>
  <c r="AJ18" i="5"/>
  <c r="AS18" i="4" s="1"/>
  <c r="AI18" i="5"/>
  <c r="AR18" i="4" s="1"/>
  <c r="AH18" i="5"/>
  <c r="AQ18" i="4" s="1"/>
  <c r="J61" i="33"/>
  <c r="P59" i="4"/>
  <c r="W19" i="8"/>
  <c r="X18" i="33"/>
  <c r="AD18" i="33" s="1"/>
  <c r="X19" i="33"/>
  <c r="AD19" i="33" s="1"/>
  <c r="X20" i="33"/>
  <c r="X13" i="33"/>
  <c r="AA24" i="33"/>
  <c r="AL19" i="6" s="1"/>
  <c r="U24" i="33"/>
  <c r="R24" i="33"/>
  <c r="K24" i="33"/>
  <c r="AG19" i="6" s="1"/>
  <c r="D24" i="33"/>
  <c r="R61" i="33"/>
  <c r="T61" i="33"/>
  <c r="V61" i="33"/>
  <c r="X61" i="33"/>
  <c r="Z61" i="33"/>
  <c r="AB61" i="33"/>
  <c r="AD61" i="33"/>
  <c r="AF61" i="33"/>
  <c r="AH61" i="33"/>
  <c r="AJ61" i="33"/>
  <c r="P61" i="33"/>
  <c r="N61" i="33"/>
  <c r="BA24" i="2"/>
  <c r="C674" i="13"/>
  <c r="M674" i="13"/>
  <c r="BQ19" i="11"/>
  <c r="BQ20" i="11"/>
  <c r="BP19" i="11"/>
  <c r="BP20" i="11"/>
  <c r="BO19" i="11"/>
  <c r="BO20" i="11"/>
  <c r="V61" i="11"/>
  <c r="W61" i="11"/>
  <c r="X61" i="11"/>
  <c r="Y61" i="11"/>
  <c r="Z61" i="11"/>
  <c r="AA61" i="11"/>
  <c r="AB61" i="11"/>
  <c r="AC61" i="11"/>
  <c r="AD61" i="11"/>
  <c r="AE61" i="11"/>
  <c r="AF61" i="11"/>
  <c r="AT61" i="11"/>
  <c r="AU61" i="11"/>
  <c r="AV61" i="11"/>
  <c r="AX61" i="11"/>
  <c r="AY61" i="11"/>
  <c r="BB61" i="11"/>
  <c r="AZ61" i="11"/>
  <c r="BE61" i="11"/>
  <c r="BA61" i="11"/>
  <c r="AW61" i="11"/>
  <c r="BH61" i="11"/>
  <c r="BG61" i="11"/>
  <c r="BC61" i="11"/>
  <c r="BD61" i="11"/>
  <c r="BK61" i="11"/>
  <c r="BJ61" i="11"/>
  <c r="K59" i="4"/>
  <c r="J59" i="4"/>
  <c r="AD59" i="4"/>
  <c r="AE59" i="4"/>
  <c r="AF59" i="4"/>
  <c r="AG59" i="4"/>
  <c r="AH59" i="4"/>
  <c r="AI59" i="4"/>
  <c r="AJ59" i="4"/>
  <c r="AK59" i="4"/>
  <c r="AL59" i="4"/>
  <c r="AM59" i="4"/>
  <c r="AN59" i="4"/>
  <c r="AO59" i="4"/>
  <c r="BD59" i="4"/>
  <c r="BE59" i="4"/>
  <c r="BF59" i="4"/>
  <c r="BI59" i="4"/>
  <c r="BJ59" i="4"/>
  <c r="BK59" i="4"/>
  <c r="BL59" i="4"/>
  <c r="BM59" i="4"/>
  <c r="BN59" i="4"/>
  <c r="BO59" i="4"/>
  <c r="BF61" i="11"/>
  <c r="BI61" i="11"/>
  <c r="BN61" i="11"/>
  <c r="BL61" i="11"/>
  <c r="BM61" i="11"/>
  <c r="BB46" i="4"/>
  <c r="AZ47" i="4"/>
  <c r="AY48" i="4"/>
  <c r="AX41" i="4"/>
  <c r="AX42" i="4"/>
  <c r="AX43" i="4"/>
  <c r="AU49" i="4"/>
  <c r="AT43" i="4"/>
  <c r="AT46" i="4"/>
  <c r="BR18" i="4"/>
  <c r="BR41" i="4"/>
  <c r="BR42" i="4"/>
  <c r="BR43" i="4"/>
  <c r="BR45" i="4"/>
  <c r="BR46" i="4"/>
  <c r="BR47" i="4"/>
  <c r="BR49" i="4"/>
  <c r="BF24" i="2"/>
  <c r="AU24" i="2"/>
  <c r="E25" i="9"/>
  <c r="G36" i="3"/>
  <c r="I24" i="2"/>
  <c r="K36" i="3"/>
  <c r="L36" i="3"/>
  <c r="M36" i="3"/>
  <c r="N24" i="2"/>
  <c r="BB24" i="2"/>
  <c r="AH19" i="6" s="1"/>
  <c r="D21" i="4"/>
  <c r="D44" i="4"/>
  <c r="A36" i="3"/>
  <c r="AR42" i="4"/>
  <c r="AW19" i="4"/>
  <c r="AY19" i="4"/>
  <c r="AX40" i="4"/>
  <c r="BB25" i="4"/>
  <c r="AW25" i="4"/>
  <c r="AW36" i="4"/>
  <c r="AS24" i="2"/>
  <c r="Y19" i="6" s="1"/>
  <c r="C21" i="9"/>
  <c r="B21" i="9" s="1"/>
  <c r="BC24" i="2"/>
  <c r="AI19" i="6" s="1"/>
  <c r="BR30" i="4"/>
  <c r="AT75" i="5"/>
  <c r="AH24" i="2"/>
  <c r="T19" i="6" s="1"/>
  <c r="AD24" i="2"/>
  <c r="P19" i="6" s="1"/>
  <c r="AB24" i="2"/>
  <c r="N19" i="6" s="1"/>
  <c r="BG59" i="4"/>
  <c r="BR22" i="4"/>
  <c r="AG24" i="2"/>
  <c r="S19" i="6" s="1"/>
  <c r="BH59" i="4"/>
  <c r="BB19" i="4"/>
  <c r="BL19" i="3" s="1"/>
  <c r="AZ19" i="4"/>
  <c r="BJ19" i="3" s="1"/>
  <c r="AQ32" i="4"/>
  <c r="AV23" i="4"/>
  <c r="AX26" i="4"/>
  <c r="BA25" i="4"/>
  <c r="AV24" i="4"/>
  <c r="AT19" i="3"/>
  <c r="AU23" i="4"/>
  <c r="AR25" i="4"/>
  <c r="AZ31" i="4"/>
  <c r="BA24" i="4"/>
  <c r="AW26" i="4"/>
  <c r="BB24" i="4"/>
  <c r="AT24" i="4"/>
  <c r="BA31" i="4"/>
  <c r="AQ27" i="4"/>
  <c r="BB34" i="4"/>
  <c r="BA23" i="4"/>
  <c r="AD14" i="33"/>
  <c r="AQ23" i="4"/>
  <c r="AZ30" i="4"/>
  <c r="AT34" i="4"/>
  <c r="AX31" i="4"/>
  <c r="AY34" i="4"/>
  <c r="AZ32" i="4"/>
  <c r="AY24" i="4"/>
  <c r="AV25" i="4"/>
  <c r="AQ31" i="4"/>
  <c r="AU19" i="4"/>
  <c r="AY28" i="4"/>
  <c r="AU26" i="4"/>
  <c r="AZ23" i="4"/>
  <c r="AU31" i="4"/>
  <c r="AS44" i="4"/>
  <c r="AQ24" i="4"/>
  <c r="BA34" i="4"/>
  <c r="AU30" i="4"/>
  <c r="AY27" i="4"/>
  <c r="AS31" i="4"/>
  <c r="AY50" i="4" l="1"/>
  <c r="AW40" i="4"/>
  <c r="AJ23" i="2"/>
  <c r="AX33" i="4"/>
  <c r="AV39" i="4"/>
  <c r="BA38" i="4"/>
  <c r="B44" i="4"/>
  <c r="A44" i="4"/>
  <c r="A21" i="4"/>
  <c r="G21" i="4" s="1"/>
  <c r="B21" i="4"/>
  <c r="AV38" i="4"/>
  <c r="BB21" i="4"/>
  <c r="AZ33" i="4"/>
  <c r="BB41" i="4"/>
  <c r="V59" i="4"/>
  <c r="W59" i="4"/>
  <c r="X59" i="4"/>
  <c r="Y59" i="4"/>
  <c r="Z59" i="4"/>
  <c r="AA59" i="4"/>
  <c r="AB59" i="4"/>
  <c r="AR33" i="4"/>
  <c r="AQ21" i="4"/>
  <c r="AR21" i="4"/>
  <c r="AS21" i="4"/>
  <c r="AX21" i="4"/>
  <c r="BB39" i="4"/>
  <c r="AZ21" i="4"/>
  <c r="AT21" i="4"/>
  <c r="AU21" i="4"/>
  <c r="AV21" i="4"/>
  <c r="AW21" i="4"/>
  <c r="AZ36" i="4"/>
  <c r="U24" i="3"/>
  <c r="AV24" i="3" s="1"/>
  <c r="S22" i="3"/>
  <c r="AT22" i="3" s="1"/>
  <c r="V24" i="3"/>
  <c r="AW24" i="3" s="1"/>
  <c r="X25" i="3"/>
  <c r="AY25" i="3" s="1"/>
  <c r="AJ35" i="3"/>
  <c r="BJ35" i="3" s="1"/>
  <c r="CC23" i="2" s="1"/>
  <c r="AQ40" i="4"/>
  <c r="BA49" i="4"/>
  <c r="AJ18" i="2"/>
  <c r="AD13" i="33"/>
  <c r="BB31" i="4"/>
  <c r="BB36" i="4"/>
  <c r="AD20" i="33"/>
  <c r="AY40" i="4"/>
  <c r="AY38" i="4"/>
  <c r="BB29" i="4"/>
  <c r="AY31" i="4"/>
  <c r="AV29" i="4"/>
  <c r="AR35" i="4"/>
  <c r="AQ35" i="4"/>
  <c r="AU41" i="4"/>
  <c r="AU36" i="4"/>
  <c r="AX39" i="4"/>
  <c r="BA39" i="4"/>
  <c r="BA22" i="4"/>
  <c r="AQ39" i="4"/>
  <c r="AR40" i="4"/>
  <c r="AS33" i="4"/>
  <c r="AT39" i="4"/>
  <c r="AV22" i="4"/>
  <c r="AY37" i="4"/>
  <c r="AR49" i="4"/>
  <c r="AW38" i="4"/>
  <c r="AZ39" i="4"/>
  <c r="AQ49" i="4"/>
  <c r="AT52" i="4"/>
  <c r="AT57" i="4"/>
  <c r="AW39" i="4"/>
  <c r="AW29" i="4"/>
  <c r="AX35" i="4"/>
  <c r="AY33" i="4"/>
  <c r="AZ40" i="4"/>
  <c r="AR39" i="4"/>
  <c r="AS52" i="4"/>
  <c r="AS57" i="4"/>
  <c r="AT51" i="4"/>
  <c r="AT56" i="4"/>
  <c r="AT38" i="4"/>
  <c r="AT22" i="4"/>
  <c r="AW37" i="4"/>
  <c r="AX51" i="4"/>
  <c r="AX56" i="4"/>
  <c r="AY52" i="4"/>
  <c r="AY57" i="4"/>
  <c r="AI35" i="3" s="1"/>
  <c r="BI35" i="3" s="1"/>
  <c r="AY35" i="4"/>
  <c r="BA36" i="4"/>
  <c r="BB38" i="4"/>
  <c r="BB22" i="4"/>
  <c r="AQ33" i="4"/>
  <c r="AR50" i="4"/>
  <c r="AR37" i="4"/>
  <c r="AS39" i="4"/>
  <c r="AU39" i="4"/>
  <c r="AU29" i="4"/>
  <c r="AE26" i="3" s="1"/>
  <c r="BE26" i="3" s="1"/>
  <c r="AV35" i="4"/>
  <c r="AW41" i="4"/>
  <c r="AW33" i="4"/>
  <c r="AX50" i="4"/>
  <c r="AY39" i="4"/>
  <c r="AZ37" i="4"/>
  <c r="BB54" i="4"/>
  <c r="AT53" i="4"/>
  <c r="AT58" i="4"/>
  <c r="BC58" i="4" s="1"/>
  <c r="AW52" i="4"/>
  <c r="AW57" i="4"/>
  <c r="AA35" i="3"/>
  <c r="AV43" i="4"/>
  <c r="AV51" i="4"/>
  <c r="AW45" i="4"/>
  <c r="AW53" i="4"/>
  <c r="AX47" i="4"/>
  <c r="AX55" i="4"/>
  <c r="AZ44" i="4"/>
  <c r="AZ52" i="4"/>
  <c r="BA46" i="4"/>
  <c r="BA54" i="4"/>
  <c r="AQ46" i="4"/>
  <c r="AQ54" i="4"/>
  <c r="AQ38" i="4"/>
  <c r="AQ22" i="4"/>
  <c r="AR48" i="4"/>
  <c r="AR41" i="4"/>
  <c r="AR29" i="4"/>
  <c r="AS43" i="4"/>
  <c r="AS51" i="4"/>
  <c r="AS35" i="4"/>
  <c r="AT37" i="4"/>
  <c r="AU47" i="4"/>
  <c r="AU55" i="4"/>
  <c r="AE35" i="3" s="1"/>
  <c r="BE35" i="3" s="1"/>
  <c r="BX23" i="2" s="1"/>
  <c r="AU40" i="4"/>
  <c r="AU33" i="4"/>
  <c r="AV49" i="4"/>
  <c r="AV42" i="4"/>
  <c r="AV50" i="4"/>
  <c r="AX46" i="4"/>
  <c r="AX54" i="4"/>
  <c r="AX38" i="4"/>
  <c r="AX22" i="4"/>
  <c r="AY41" i="4"/>
  <c r="AY29" i="4"/>
  <c r="AZ43" i="4"/>
  <c r="AZ51" i="4"/>
  <c r="AZ35" i="4"/>
  <c r="BA45" i="4"/>
  <c r="BA53" i="4"/>
  <c r="BA37" i="4"/>
  <c r="BB47" i="4"/>
  <c r="BB55" i="4"/>
  <c r="AL35" i="3" s="1"/>
  <c r="BL35" i="3" s="1"/>
  <c r="BB40" i="4"/>
  <c r="BB33" i="4"/>
  <c r="AQ45" i="4"/>
  <c r="AQ53" i="4"/>
  <c r="AQ37" i="4"/>
  <c r="AR47" i="4"/>
  <c r="AR55" i="4"/>
  <c r="AB35" i="3" s="1"/>
  <c r="BB35" i="3" s="1"/>
  <c r="AS42" i="4"/>
  <c r="AS50" i="4"/>
  <c r="AT36" i="4"/>
  <c r="AU46" i="4"/>
  <c r="AU54" i="4"/>
  <c r="AU38" i="4"/>
  <c r="AU22" i="4"/>
  <c r="AV41" i="4"/>
  <c r="AW43" i="4"/>
  <c r="AW51" i="4"/>
  <c r="AW35" i="4"/>
  <c r="AX45" i="4"/>
  <c r="AX53" i="4"/>
  <c r="AY47" i="4"/>
  <c r="AY55" i="4"/>
  <c r="AZ42" i="4"/>
  <c r="AZ50" i="4"/>
  <c r="BA44" i="4"/>
  <c r="BA52" i="4"/>
  <c r="AQ44" i="4"/>
  <c r="AQ52" i="4"/>
  <c r="AQ36" i="4"/>
  <c r="AR46" i="4"/>
  <c r="AR54" i="4"/>
  <c r="AR38" i="4"/>
  <c r="AR22" i="4"/>
  <c r="AS48" i="4"/>
  <c r="AS29" i="4"/>
  <c r="AT35" i="4"/>
  <c r="AU45" i="4"/>
  <c r="AU53" i="4"/>
  <c r="AU37" i="4"/>
  <c r="AV47" i="4"/>
  <c r="AV55" i="4"/>
  <c r="AF35" i="3" s="1"/>
  <c r="BF35" i="3" s="1"/>
  <c r="AV40" i="4"/>
  <c r="AV33" i="4"/>
  <c r="AW49" i="4"/>
  <c r="AW42" i="4"/>
  <c r="AW50" i="4"/>
  <c r="AX44" i="4"/>
  <c r="AX52" i="4"/>
  <c r="AX36" i="4"/>
  <c r="AY46" i="4"/>
  <c r="AY54" i="4"/>
  <c r="AY22" i="4"/>
  <c r="AZ41" i="4"/>
  <c r="BA43" i="4"/>
  <c r="BA51" i="4"/>
  <c r="BB45" i="4"/>
  <c r="BB53" i="4"/>
  <c r="AQ43" i="4"/>
  <c r="AQ51" i="4"/>
  <c r="AR45" i="4"/>
  <c r="AR53" i="4"/>
  <c r="AS47" i="4"/>
  <c r="AS55" i="4"/>
  <c r="AT42" i="4"/>
  <c r="AT50" i="4"/>
  <c r="AU44" i="4"/>
  <c r="AU52" i="4"/>
  <c r="AV46" i="4"/>
  <c r="AV54" i="4"/>
  <c r="AY45" i="4"/>
  <c r="AY53" i="4"/>
  <c r="BA42" i="4"/>
  <c r="BA50" i="4"/>
  <c r="BB44" i="4"/>
  <c r="BB52" i="4"/>
  <c r="AQ42" i="4"/>
  <c r="AQ50" i="4"/>
  <c r="AR44" i="4"/>
  <c r="AR52" i="4"/>
  <c r="AR36" i="4"/>
  <c r="AS46" i="4"/>
  <c r="AS54" i="4"/>
  <c r="AS38" i="4"/>
  <c r="AS22" i="4"/>
  <c r="AT29" i="4"/>
  <c r="AU43" i="4"/>
  <c r="AU51" i="4"/>
  <c r="AU35" i="4"/>
  <c r="AV45" i="4"/>
  <c r="AV53" i="4"/>
  <c r="AV37" i="4"/>
  <c r="AW47" i="4"/>
  <c r="AW55" i="4"/>
  <c r="AY36" i="4"/>
  <c r="AZ38" i="4"/>
  <c r="AZ22" i="4"/>
  <c r="BA41" i="4"/>
  <c r="BA29" i="4"/>
  <c r="BB43" i="4"/>
  <c r="BB51" i="4"/>
  <c r="AQ48" i="4"/>
  <c r="AQ41" i="4"/>
  <c r="AQ29" i="4"/>
  <c r="AR43" i="4"/>
  <c r="AR51" i="4"/>
  <c r="AS45" i="4"/>
  <c r="AS53" i="4"/>
  <c r="AS37" i="4"/>
  <c r="AT47" i="4"/>
  <c r="AD31" i="3" s="1"/>
  <c r="BD31" i="3" s="1"/>
  <c r="AT55" i="4"/>
  <c r="AT40" i="4"/>
  <c r="AT33" i="4"/>
  <c r="AU42" i="4"/>
  <c r="AU50" i="4"/>
  <c r="AV44" i="4"/>
  <c r="AV52" i="4"/>
  <c r="AV36" i="4"/>
  <c r="AW46" i="4"/>
  <c r="AW54" i="4"/>
  <c r="AW22" i="4"/>
  <c r="AX48" i="4"/>
  <c r="AX29" i="4"/>
  <c r="AY43" i="4"/>
  <c r="AY51" i="4"/>
  <c r="AZ45" i="4"/>
  <c r="AZ53" i="4"/>
  <c r="AJ34" i="3" s="1"/>
  <c r="BJ34" i="3" s="1"/>
  <c r="BA47" i="4"/>
  <c r="BA55" i="4"/>
  <c r="AK35" i="3" s="1"/>
  <c r="BK35" i="3" s="1"/>
  <c r="BA40" i="4"/>
  <c r="BB49" i="4"/>
  <c r="BB42" i="4"/>
  <c r="BB50" i="4"/>
  <c r="G44" i="4"/>
  <c r="C21" i="4"/>
  <c r="T25" i="3"/>
  <c r="AU25" i="3" s="1"/>
  <c r="W25" i="3"/>
  <c r="AX25" i="3" s="1"/>
  <c r="V29" i="3"/>
  <c r="AW29" i="3" s="1"/>
  <c r="W28" i="3"/>
  <c r="AX28" i="3" s="1"/>
  <c r="X32" i="3"/>
  <c r="AY32" i="3" s="1"/>
  <c r="V25" i="3"/>
  <c r="AW25" i="3" s="1"/>
  <c r="X22" i="3"/>
  <c r="AY22" i="3" s="1"/>
  <c r="T27" i="3"/>
  <c r="AU27" i="3" s="1"/>
  <c r="W30" i="3"/>
  <c r="AX30" i="3" s="1"/>
  <c r="Y29" i="3"/>
  <c r="AZ29" i="3" s="1"/>
  <c r="V23" i="3"/>
  <c r="AW23" i="3" s="1"/>
  <c r="N31" i="3"/>
  <c r="AO31" i="3" s="1"/>
  <c r="N26" i="3"/>
  <c r="AO26" i="3" s="1"/>
  <c r="W32" i="3"/>
  <c r="AX32" i="3" s="1"/>
  <c r="U23" i="3"/>
  <c r="AV23" i="3" s="1"/>
  <c r="V21" i="3"/>
  <c r="AW21" i="3" s="1"/>
  <c r="S29" i="3"/>
  <c r="AT29" i="3" s="1"/>
  <c r="Y31" i="3"/>
  <c r="AZ31" i="3" s="1"/>
  <c r="Y28" i="3"/>
  <c r="AZ28" i="3" s="1"/>
  <c r="Y22" i="3"/>
  <c r="AZ22" i="3" s="1"/>
  <c r="N30" i="3"/>
  <c r="AO30" i="3" s="1"/>
  <c r="U30" i="3"/>
  <c r="AV30" i="3" s="1"/>
  <c r="T30" i="3"/>
  <c r="AU30" i="3" s="1"/>
  <c r="X31" i="3"/>
  <c r="AY31" i="3" s="1"/>
  <c r="V30" i="3"/>
  <c r="AW30" i="3" s="1"/>
  <c r="U26" i="3"/>
  <c r="AV26" i="3" s="1"/>
  <c r="N21" i="3"/>
  <c r="U21" i="3"/>
  <c r="AV21" i="3" s="1"/>
  <c r="S23" i="3"/>
  <c r="AT23" i="3" s="1"/>
  <c r="Y23" i="3"/>
  <c r="AZ23" i="3" s="1"/>
  <c r="X21" i="3"/>
  <c r="AY21" i="3" s="1"/>
  <c r="AB20" i="3"/>
  <c r="AB18" i="3"/>
  <c r="BB18" i="3" s="1"/>
  <c r="AB19" i="3"/>
  <c r="AW19" i="3"/>
  <c r="AE18" i="3"/>
  <c r="BE18" i="3" s="1"/>
  <c r="AE19" i="3"/>
  <c r="BE19" i="3" s="1"/>
  <c r="AE20" i="3"/>
  <c r="AS19" i="3"/>
  <c r="AH20" i="3"/>
  <c r="AH19" i="3"/>
  <c r="AH18" i="3"/>
  <c r="W18" i="3"/>
  <c r="AX18" i="3" s="1"/>
  <c r="W19" i="3"/>
  <c r="AX19" i="3" s="1"/>
  <c r="W20" i="3"/>
  <c r="AX20" i="3" s="1"/>
  <c r="AD18" i="3"/>
  <c r="AD19" i="3"/>
  <c r="AD20" i="3"/>
  <c r="AF18" i="3"/>
  <c r="AF19" i="3"/>
  <c r="AF20" i="3"/>
  <c r="AR19" i="3"/>
  <c r="AG18" i="3"/>
  <c r="BG18" i="3" s="1"/>
  <c r="AG19" i="3"/>
  <c r="BG19" i="3" s="1"/>
  <c r="AG20" i="3"/>
  <c r="AU19" i="3"/>
  <c r="AC19" i="3"/>
  <c r="AC20" i="3"/>
  <c r="AC18" i="3"/>
  <c r="J24" i="33"/>
  <c r="X21" i="9"/>
  <c r="I21" i="9"/>
  <c r="S21" i="9" s="1"/>
  <c r="A21" i="9"/>
  <c r="AD21" i="9" s="1"/>
  <c r="AI21" i="9"/>
  <c r="AJ21" i="9"/>
  <c r="AJ21" i="2"/>
  <c r="AD15" i="33"/>
  <c r="AJ20" i="2"/>
  <c r="AD17" i="33"/>
  <c r="AJ22" i="2"/>
  <c r="F21" i="9"/>
  <c r="AG21" i="9"/>
  <c r="AH21" i="9"/>
  <c r="AF21" i="9"/>
  <c r="W21" i="9"/>
  <c r="U21" i="9"/>
  <c r="V21" i="9"/>
  <c r="T21" i="9"/>
  <c r="BJ18" i="3"/>
  <c r="AU18" i="3"/>
  <c r="AW18" i="3"/>
  <c r="AT18" i="3"/>
  <c r="BL18" i="2" s="1"/>
  <c r="AV18" i="3"/>
  <c r="AD16" i="33"/>
  <c r="AH19" i="33"/>
  <c r="C38" i="11"/>
  <c r="A38" i="11" s="1"/>
  <c r="F38" i="11" s="1"/>
  <c r="C24" i="11"/>
  <c r="A24" i="11" s="1"/>
  <c r="F24" i="11" s="1"/>
  <c r="E27" i="5"/>
  <c r="J19" i="6"/>
  <c r="D23" i="4"/>
  <c r="D18" i="4"/>
  <c r="B18" i="4" s="1"/>
  <c r="C19" i="9"/>
  <c r="B19" i="9" s="1"/>
  <c r="C19" i="8"/>
  <c r="B19" i="8" s="1"/>
  <c r="D48" i="4"/>
  <c r="C24" i="8"/>
  <c r="B24" i="8" s="1"/>
  <c r="H24" i="8" s="1"/>
  <c r="D37" i="4"/>
  <c r="D46" i="4"/>
  <c r="E19" i="5"/>
  <c r="E55" i="5"/>
  <c r="C43" i="11"/>
  <c r="B43" i="11" s="1"/>
  <c r="C40" i="11"/>
  <c r="A40" i="11" s="1"/>
  <c r="F40" i="11" s="1"/>
  <c r="C34" i="11"/>
  <c r="B34" i="11" s="1"/>
  <c r="D34" i="4"/>
  <c r="E58" i="5"/>
  <c r="C41" i="11"/>
  <c r="A41" i="11" s="1"/>
  <c r="F41" i="11" s="1"/>
  <c r="C26" i="11"/>
  <c r="A26" i="11" s="1"/>
  <c r="F26" i="11" s="1"/>
  <c r="C35" i="11"/>
  <c r="A35" i="11" s="1"/>
  <c r="F35" i="11" s="1"/>
  <c r="D27" i="4"/>
  <c r="C24" i="3"/>
  <c r="C23" i="11"/>
  <c r="B23" i="11" s="1"/>
  <c r="C23" i="9"/>
  <c r="B23" i="9" s="1"/>
  <c r="C19" i="11"/>
  <c r="A19" i="11" s="1"/>
  <c r="F19" i="11" s="1"/>
  <c r="C21" i="3"/>
  <c r="C20" i="8"/>
  <c r="B20" i="8" s="1"/>
  <c r="H20" i="8" s="1"/>
  <c r="D45" i="4"/>
  <c r="C26" i="3"/>
  <c r="E54" i="5"/>
  <c r="F19" i="6"/>
  <c r="I19" i="6"/>
  <c r="G19" i="6"/>
  <c r="E19" i="6"/>
  <c r="D19" i="6"/>
  <c r="H19" i="6"/>
  <c r="C19" i="6"/>
  <c r="C27" i="11"/>
  <c r="A27" i="11" s="1"/>
  <c r="F27" i="11" s="1"/>
  <c r="C22" i="9"/>
  <c r="B22" i="9" s="1"/>
  <c r="D36" i="4"/>
  <c r="C22" i="8"/>
  <c r="B22" i="8" s="1"/>
  <c r="H22" i="8" s="1"/>
  <c r="C20" i="11"/>
  <c r="A20" i="11" s="1"/>
  <c r="F20" i="11" s="1"/>
  <c r="D29" i="4"/>
  <c r="C25" i="11"/>
  <c r="A25" i="11" s="1"/>
  <c r="F25" i="11" s="1"/>
  <c r="C25" i="3"/>
  <c r="A25" i="3" s="1"/>
  <c r="C37" i="11"/>
  <c r="B37" i="11" s="1"/>
  <c r="C45" i="11"/>
  <c r="C30" i="11"/>
  <c r="B30" i="11" s="1"/>
  <c r="C20" i="9"/>
  <c r="B20" i="9" s="1"/>
  <c r="D35" i="4"/>
  <c r="D30" i="4"/>
  <c r="C31" i="3"/>
  <c r="D19" i="4"/>
  <c r="E18" i="5"/>
  <c r="A18" i="5" s="1"/>
  <c r="C21" i="11"/>
  <c r="D31" i="4"/>
  <c r="D26" i="4"/>
  <c r="D25" i="4"/>
  <c r="D47" i="4"/>
  <c r="D24" i="4"/>
  <c r="E56" i="5"/>
  <c r="C29" i="11"/>
  <c r="A29" i="11" s="1"/>
  <c r="F29" i="11" s="1"/>
  <c r="C23" i="8"/>
  <c r="B23" i="8" s="1"/>
  <c r="H23" i="8" s="1"/>
  <c r="C21" i="8"/>
  <c r="B21" i="8" s="1"/>
  <c r="H21" i="8" s="1"/>
  <c r="C29" i="3"/>
  <c r="E60" i="5"/>
  <c r="C28" i="11"/>
  <c r="B28" i="11" s="1"/>
  <c r="C42" i="11"/>
  <c r="A42" i="11" s="1"/>
  <c r="F42" i="11" s="1"/>
  <c r="D32" i="4"/>
  <c r="C23" i="3"/>
  <c r="C28" i="3"/>
  <c r="C22" i="11"/>
  <c r="A22" i="11" s="1"/>
  <c r="F22" i="11" s="1"/>
  <c r="C30" i="3"/>
  <c r="C18" i="8"/>
  <c r="B18" i="8" s="1"/>
  <c r="E59" i="5"/>
  <c r="C31" i="11"/>
  <c r="B31" i="11" s="1"/>
  <c r="C32" i="11"/>
  <c r="A32" i="11" s="1"/>
  <c r="F32" i="11" s="1"/>
  <c r="C33" i="11"/>
  <c r="A33" i="11" s="1"/>
  <c r="F33" i="11" s="1"/>
  <c r="C22" i="3"/>
  <c r="D22" i="4"/>
  <c r="D41" i="4"/>
  <c r="D20" i="4"/>
  <c r="C24" i="9"/>
  <c r="B24" i="9" s="1"/>
  <c r="D28" i="4"/>
  <c r="E57" i="5"/>
  <c r="C36" i="11"/>
  <c r="B36" i="11" s="1"/>
  <c r="C39" i="11"/>
  <c r="A39" i="11" s="1"/>
  <c r="F39" i="11" s="1"/>
  <c r="C44" i="11"/>
  <c r="A44" i="11" s="1"/>
  <c r="F44" i="11" s="1"/>
  <c r="D33" i="4"/>
  <c r="D42" i="4"/>
  <c r="C27" i="3"/>
  <c r="D49" i="4"/>
  <c r="D38" i="4"/>
  <c r="C32" i="3"/>
  <c r="D43" i="4"/>
  <c r="D40" i="4"/>
  <c r="S26" i="3"/>
  <c r="AT26" i="3" s="1"/>
  <c r="Y32" i="3"/>
  <c r="AZ32" i="3" s="1"/>
  <c r="Y26" i="3"/>
  <c r="AZ26" i="3" s="1"/>
  <c r="T29" i="3"/>
  <c r="AU29" i="3" s="1"/>
  <c r="T23" i="3"/>
  <c r="AU23" i="3" s="1"/>
  <c r="BM23" i="2" s="1"/>
  <c r="V27" i="3"/>
  <c r="AW27" i="3" s="1"/>
  <c r="W24" i="3"/>
  <c r="AX24" i="3" s="1"/>
  <c r="W21" i="3"/>
  <c r="AX21" i="3" s="1"/>
  <c r="T32" i="3"/>
  <c r="AU32" i="3" s="1"/>
  <c r="T24" i="3"/>
  <c r="AU24" i="3" s="1"/>
  <c r="X28" i="3"/>
  <c r="AY28" i="3" s="1"/>
  <c r="W31" i="3"/>
  <c r="AX31" i="3" s="1"/>
  <c r="Y25" i="3"/>
  <c r="AZ25" i="3" s="1"/>
  <c r="BR23" i="2" s="1"/>
  <c r="N23" i="3"/>
  <c r="AO23" i="3" s="1"/>
  <c r="S25" i="3"/>
  <c r="AT25" i="3" s="1"/>
  <c r="W22" i="3"/>
  <c r="AX22" i="3" s="1"/>
  <c r="X27" i="3"/>
  <c r="AY27" i="3" s="1"/>
  <c r="U27" i="3"/>
  <c r="AV27" i="3" s="1"/>
  <c r="S32" i="3"/>
  <c r="AT32" i="3" s="1"/>
  <c r="BL22" i="2" s="1"/>
  <c r="T21" i="3"/>
  <c r="AU21" i="3" s="1"/>
  <c r="X26" i="3"/>
  <c r="AY26" i="3" s="1"/>
  <c r="N29" i="3"/>
  <c r="AO29" i="3" s="1"/>
  <c r="V31" i="3"/>
  <c r="AW31" i="3" s="1"/>
  <c r="S30" i="3"/>
  <c r="AT30" i="3" s="1"/>
  <c r="W27" i="3"/>
  <c r="AX27" i="3" s="1"/>
  <c r="N27" i="3"/>
  <c r="AO27" i="3" s="1"/>
  <c r="S28" i="3"/>
  <c r="AT28" i="3" s="1"/>
  <c r="T26" i="3"/>
  <c r="AU26" i="3" s="1"/>
  <c r="U31" i="3"/>
  <c r="AV31" i="3" s="1"/>
  <c r="N24" i="3"/>
  <c r="AO24" i="3" s="1"/>
  <c r="AD21" i="33"/>
  <c r="E49" i="5"/>
  <c r="E35" i="5"/>
  <c r="BA32" i="4"/>
  <c r="AK27" i="3" s="1"/>
  <c r="BK27" i="3" s="1"/>
  <c r="W29" i="3"/>
  <c r="AX29" i="3" s="1"/>
  <c r="E31" i="5"/>
  <c r="E39" i="5"/>
  <c r="E41" i="5"/>
  <c r="E21" i="5"/>
  <c r="E45" i="5"/>
  <c r="E25" i="5"/>
  <c r="E47" i="5"/>
  <c r="E29" i="5"/>
  <c r="E52" i="5"/>
  <c r="AT20" i="4"/>
  <c r="Y30" i="3"/>
  <c r="AZ30" i="3" s="1"/>
  <c r="X24" i="3"/>
  <c r="AY24" i="3" s="1"/>
  <c r="AU28" i="4"/>
  <c r="AW28" i="4"/>
  <c r="W26" i="3"/>
  <c r="AX26" i="3" s="1"/>
  <c r="W23" i="3"/>
  <c r="AX23" i="3" s="1"/>
  <c r="BP23" i="2" s="1"/>
  <c r="X30" i="3"/>
  <c r="AY30" i="3" s="1"/>
  <c r="X23" i="3"/>
  <c r="AY23" i="3" s="1"/>
  <c r="BQ23" i="2" s="1"/>
  <c r="Y27" i="3"/>
  <c r="AZ27" i="3" s="1"/>
  <c r="Y24" i="3"/>
  <c r="AZ24" i="3" s="1"/>
  <c r="C44" i="4"/>
  <c r="X24" i="33"/>
  <c r="U19" i="6" s="1"/>
  <c r="T61" i="11"/>
  <c r="U61" i="11"/>
  <c r="Y21" i="3"/>
  <c r="AZ21" i="3" s="1"/>
  <c r="N24" i="33"/>
  <c r="B41" i="11"/>
  <c r="AZ28" i="4"/>
  <c r="E24" i="5"/>
  <c r="E30" i="5"/>
  <c r="E38" i="5"/>
  <c r="E44" i="5"/>
  <c r="E50" i="5"/>
  <c r="U29" i="3"/>
  <c r="AV29" i="3" s="1"/>
  <c r="E20" i="5"/>
  <c r="E26" i="5"/>
  <c r="E46" i="5"/>
  <c r="E51" i="5"/>
  <c r="N32" i="3"/>
  <c r="AO32" i="3" s="1"/>
  <c r="N22" i="3"/>
  <c r="AO22" i="3" s="1"/>
  <c r="S31" i="3"/>
  <c r="AT31" i="3" s="1"/>
  <c r="S27" i="3"/>
  <c r="AT27" i="3" s="1"/>
  <c r="S24" i="3"/>
  <c r="AT24" i="3" s="1"/>
  <c r="S21" i="3"/>
  <c r="AT21" i="3" s="1"/>
  <c r="T31" i="3"/>
  <c r="AU31" i="3" s="1"/>
  <c r="U32" i="3"/>
  <c r="AV32" i="3" s="1"/>
  <c r="U28" i="3"/>
  <c r="AV28" i="3" s="1"/>
  <c r="U25" i="3"/>
  <c r="AV25" i="3" s="1"/>
  <c r="BN23" i="2" s="1"/>
  <c r="U22" i="3"/>
  <c r="AV22" i="3" s="1"/>
  <c r="V32" i="3"/>
  <c r="AW32" i="3" s="1"/>
  <c r="V28" i="3"/>
  <c r="AW28" i="3" s="1"/>
  <c r="V22" i="3"/>
  <c r="AW22" i="3" s="1"/>
  <c r="E22" i="5"/>
  <c r="E28" i="5"/>
  <c r="E36" i="5"/>
  <c r="E42" i="5"/>
  <c r="E48" i="5"/>
  <c r="E53" i="5"/>
  <c r="AY24" i="2"/>
  <c r="AE19" i="6" s="1"/>
  <c r="AZ20" i="4"/>
  <c r="BJ20" i="3" s="1"/>
  <c r="AW34" i="4"/>
  <c r="AQ34" i="4"/>
  <c r="AS27" i="4"/>
  <c r="AW20" i="4"/>
  <c r="AX32" i="4"/>
  <c r="AR30" i="4"/>
  <c r="AR34" i="4"/>
  <c r="AR24" i="4"/>
  <c r="AS26" i="4"/>
  <c r="AT41" i="5"/>
  <c r="AU41" i="5" s="1"/>
  <c r="BE24" i="2"/>
  <c r="AK19" i="6" s="1"/>
  <c r="AC24" i="2"/>
  <c r="O19" i="6" s="1"/>
  <c r="P61" i="11"/>
  <c r="AR19" i="4"/>
  <c r="BD24" i="2"/>
  <c r="AJ19" i="6" s="1"/>
  <c r="AZ24" i="2"/>
  <c r="AF19" i="6" s="1"/>
  <c r="AT49" i="5"/>
  <c r="AU49" i="5" s="1"/>
  <c r="AT27" i="5"/>
  <c r="AU27" i="5" s="1"/>
  <c r="AX34" i="4"/>
  <c r="AQ28" i="4"/>
  <c r="AR20" i="4"/>
  <c r="AS23" i="4"/>
  <c r="AY25" i="4"/>
  <c r="BB20" i="4"/>
  <c r="BL20" i="3" s="1"/>
  <c r="CE18" i="2" s="1"/>
  <c r="AT45" i="5"/>
  <c r="AU45" i="5" s="1"/>
  <c r="AQ26" i="4"/>
  <c r="AA22" i="3" s="1"/>
  <c r="BA22" i="3" s="1"/>
  <c r="AS19" i="4"/>
  <c r="AU34" i="4"/>
  <c r="AT44" i="5"/>
  <c r="AU44" i="5" s="1"/>
  <c r="AQ20" i="4"/>
  <c r="AR23" i="4"/>
  <c r="AS25" i="4"/>
  <c r="AV30" i="4"/>
  <c r="AV20" i="4"/>
  <c r="AX25" i="4"/>
  <c r="BA30" i="4"/>
  <c r="BA20" i="4"/>
  <c r="BB23" i="4"/>
  <c r="AU27" i="4"/>
  <c r="AW32" i="4"/>
  <c r="BB32" i="4"/>
  <c r="AR31" i="4"/>
  <c r="AT52" i="5"/>
  <c r="AU52" i="5" s="1"/>
  <c r="AT56" i="5"/>
  <c r="AU56" i="5" s="1"/>
  <c r="AT36" i="5"/>
  <c r="AU36" i="5" s="1"/>
  <c r="AS32" i="4"/>
  <c r="BA27" i="4"/>
  <c r="AT22" i="5"/>
  <c r="AU22" i="5" s="1"/>
  <c r="AT35" i="5"/>
  <c r="AU35" i="5" s="1"/>
  <c r="AS30" i="4"/>
  <c r="AS20" i="4"/>
  <c r="AT23" i="4"/>
  <c r="AU25" i="4"/>
  <c r="AX30" i="4"/>
  <c r="AX20" i="4"/>
  <c r="AZ25" i="4"/>
  <c r="AY32" i="4"/>
  <c r="BB27" i="4"/>
  <c r="AX28" i="4"/>
  <c r="AT30" i="4"/>
  <c r="AQ19" i="4"/>
  <c r="AS24" i="4"/>
  <c r="AT26" i="4"/>
  <c r="AV19" i="4"/>
  <c r="BA19" i="4"/>
  <c r="BK19" i="3" s="1"/>
  <c r="AT25" i="4"/>
  <c r="AW30" i="4"/>
  <c r="AX23" i="4"/>
  <c r="BB30" i="4"/>
  <c r="AT59" i="5"/>
  <c r="AU59" i="5" s="1"/>
  <c r="AW27" i="4"/>
  <c r="AT26" i="5"/>
  <c r="AU26" i="5" s="1"/>
  <c r="AW23" i="4"/>
  <c r="AT43" i="5"/>
  <c r="AU43" i="5" s="1"/>
  <c r="AT47" i="5"/>
  <c r="AU47" i="5" s="1"/>
  <c r="AT39" i="5"/>
  <c r="AU39" i="5" s="1"/>
  <c r="AZ27" i="4"/>
  <c r="AT46" i="5"/>
  <c r="AU46" i="5" s="1"/>
  <c r="AS34" i="4"/>
  <c r="AT28" i="5"/>
  <c r="AU28" i="5" s="1"/>
  <c r="AX24" i="4"/>
  <c r="AY26" i="4"/>
  <c r="AW44" i="4"/>
  <c r="BA28" i="4"/>
  <c r="AV27" i="4"/>
  <c r="AR28" i="4"/>
  <c r="AT31" i="5"/>
  <c r="AU31" i="5" s="1"/>
  <c r="AT37" i="5"/>
  <c r="AU37" i="5" s="1"/>
  <c r="AU24" i="4"/>
  <c r="AV26" i="4"/>
  <c r="AX19" i="4"/>
  <c r="AZ34" i="4"/>
  <c r="AZ24" i="4"/>
  <c r="BA26" i="4"/>
  <c r="AS28" i="4"/>
  <c r="AY30" i="4"/>
  <c r="AR26" i="4"/>
  <c r="AT19" i="4"/>
  <c r="AT54" i="5"/>
  <c r="AU54" i="5" s="1"/>
  <c r="AT32" i="4"/>
  <c r="AT55" i="5"/>
  <c r="AU55" i="5" s="1"/>
  <c r="AS36" i="4"/>
  <c r="AT48" i="5"/>
  <c r="AU48" i="5" s="1"/>
  <c r="AT41" i="4"/>
  <c r="AT19" i="5"/>
  <c r="AU19" i="5" s="1"/>
  <c r="AZ26" i="4"/>
  <c r="BB28" i="4"/>
  <c r="AT29" i="5"/>
  <c r="AU29" i="5" s="1"/>
  <c r="AY23" i="4"/>
  <c r="AQ30" i="4"/>
  <c r="AT38" i="5"/>
  <c r="AU38" i="5" s="1"/>
  <c r="AT51" i="5"/>
  <c r="AU51" i="5" s="1"/>
  <c r="AT40" i="5"/>
  <c r="AU40" i="5" s="1"/>
  <c r="AT25" i="5"/>
  <c r="AU25" i="5" s="1"/>
  <c r="AT30" i="5"/>
  <c r="AU30" i="5" s="1"/>
  <c r="AX27" i="4"/>
  <c r="AT60" i="5"/>
  <c r="AU60" i="5" s="1"/>
  <c r="AQ47" i="4"/>
  <c r="BB26" i="4"/>
  <c r="AT28" i="4"/>
  <c r="AT23" i="5"/>
  <c r="AU23" i="5" s="1"/>
  <c r="AV32" i="4"/>
  <c r="AT53" i="5"/>
  <c r="AU53" i="5" s="1"/>
  <c r="AW24" i="4"/>
  <c r="AV28" i="4"/>
  <c r="BO61" i="11"/>
  <c r="BQ61" i="11"/>
  <c r="T28" i="3"/>
  <c r="AU28" i="3" s="1"/>
  <c r="N25" i="3"/>
  <c r="AO25" i="3" s="1"/>
  <c r="V26" i="3"/>
  <c r="AW26" i="3" s="1"/>
  <c r="BR33" i="4"/>
  <c r="BR25" i="4"/>
  <c r="BR48" i="4"/>
  <c r="BR40" i="4"/>
  <c r="AJ26" i="3"/>
  <c r="BJ26" i="3" s="1"/>
  <c r="BR37" i="4"/>
  <c r="N28" i="3"/>
  <c r="AO28" i="3" s="1"/>
  <c r="T22" i="3"/>
  <c r="AU22" i="3" s="1"/>
  <c r="BR26" i="4"/>
  <c r="AT24" i="2"/>
  <c r="Z19" i="6" s="1"/>
  <c r="AU20" i="4"/>
  <c r="AT18" i="5"/>
  <c r="AU18" i="5" s="1"/>
  <c r="AT57" i="5"/>
  <c r="AU57" i="5" s="1"/>
  <c r="AT20" i="5"/>
  <c r="AU20" i="5" s="1"/>
  <c r="AR32" i="4"/>
  <c r="AT50" i="5"/>
  <c r="AU50" i="5" s="1"/>
  <c r="AR27" i="4"/>
  <c r="AT24" i="5"/>
  <c r="AU24" i="5" s="1"/>
  <c r="AT34" i="5"/>
  <c r="AU34" i="5" s="1"/>
  <c r="AT58" i="5"/>
  <c r="AU58" i="5" s="1"/>
  <c r="AT42" i="5"/>
  <c r="AU42" i="5" s="1"/>
  <c r="AE22" i="2"/>
  <c r="AI24" i="2"/>
  <c r="BR28" i="4"/>
  <c r="BR36" i="4"/>
  <c r="BR20" i="4"/>
  <c r="X29" i="3"/>
  <c r="AY29" i="3" s="1"/>
  <c r="E23" i="5"/>
  <c r="E34" i="5"/>
  <c r="E37" i="5"/>
  <c r="E40" i="5"/>
  <c r="E43" i="5"/>
  <c r="AQ61" i="11"/>
  <c r="AR61" i="11"/>
  <c r="AS61" i="11"/>
  <c r="BP61" i="11"/>
  <c r="AT21" i="5"/>
  <c r="AU21" i="5" s="1"/>
  <c r="AF61" i="5"/>
  <c r="AK19" i="33"/>
  <c r="W25" i="8"/>
  <c r="AS20" i="3"/>
  <c r="AV20" i="3"/>
  <c r="AR18" i="3"/>
  <c r="AV19" i="3"/>
  <c r="BR44" i="4"/>
  <c r="BP59" i="4"/>
  <c r="BC18" i="4"/>
  <c r="AG61" i="5"/>
  <c r="P81" i="11" l="1"/>
  <c r="AO21" i="3"/>
  <c r="AB36" i="3"/>
  <c r="AC36" i="3"/>
  <c r="AH36" i="3"/>
  <c r="AM36" i="3"/>
  <c r="AF36" i="3"/>
  <c r="AG36" i="3"/>
  <c r="AL36" i="3"/>
  <c r="AJ36" i="3"/>
  <c r="AK36" i="3"/>
  <c r="AE36" i="3"/>
  <c r="AN36" i="3"/>
  <c r="AD36" i="3"/>
  <c r="AI36" i="3"/>
  <c r="AE25" i="3"/>
  <c r="BE25" i="3" s="1"/>
  <c r="AJ25" i="3"/>
  <c r="BJ25" i="3" s="1"/>
  <c r="C19" i="5"/>
  <c r="A19" i="5"/>
  <c r="J19" i="5" s="1"/>
  <c r="B19" i="5"/>
  <c r="A40" i="5"/>
  <c r="B40" i="5"/>
  <c r="C40" i="5"/>
  <c r="A28" i="5"/>
  <c r="C28" i="5"/>
  <c r="B28" i="5"/>
  <c r="C51" i="5"/>
  <c r="A51" i="5"/>
  <c r="J51" i="5" s="1"/>
  <c r="B51" i="5"/>
  <c r="B30" i="5"/>
  <c r="C30" i="5"/>
  <c r="A30" i="5"/>
  <c r="C47" i="5"/>
  <c r="A47" i="5"/>
  <c r="J47" i="5" s="1"/>
  <c r="B47" i="5"/>
  <c r="A42" i="4"/>
  <c r="G42" i="4" s="1"/>
  <c r="B42" i="4"/>
  <c r="A20" i="4"/>
  <c r="G20" i="4" s="1"/>
  <c r="B20" i="4"/>
  <c r="A60" i="5"/>
  <c r="B60" i="5"/>
  <c r="C60" i="5"/>
  <c r="A25" i="4"/>
  <c r="B25" i="4"/>
  <c r="A35" i="4"/>
  <c r="G35" i="4" s="1"/>
  <c r="B35" i="4"/>
  <c r="A46" i="4"/>
  <c r="G46" i="4" s="1"/>
  <c r="B46" i="4"/>
  <c r="A23" i="4"/>
  <c r="G23" i="4" s="1"/>
  <c r="B23" i="4"/>
  <c r="F32" i="5"/>
  <c r="F33" i="5"/>
  <c r="B24" i="5"/>
  <c r="C24" i="5"/>
  <c r="A24" i="5"/>
  <c r="J24" i="5" s="1"/>
  <c r="B26" i="4"/>
  <c r="A26" i="4"/>
  <c r="G24" i="4" s="1"/>
  <c r="A26" i="5"/>
  <c r="C26" i="5"/>
  <c r="B26" i="5"/>
  <c r="B22" i="4"/>
  <c r="I22" i="4" s="1"/>
  <c r="A22" i="4"/>
  <c r="G22" i="4" s="1"/>
  <c r="B46" i="5"/>
  <c r="C46" i="5"/>
  <c r="A46" i="5"/>
  <c r="J46" i="5" s="1"/>
  <c r="A37" i="4"/>
  <c r="B37" i="4"/>
  <c r="C27" i="5"/>
  <c r="A27" i="5"/>
  <c r="J27" i="5" s="1"/>
  <c r="B27" i="5"/>
  <c r="A21" i="5"/>
  <c r="J21" i="5" s="1"/>
  <c r="B21" i="5"/>
  <c r="L21" i="5" s="1"/>
  <c r="C21" i="5"/>
  <c r="A43" i="4"/>
  <c r="B43" i="4"/>
  <c r="A36" i="5"/>
  <c r="J36" i="5" s="1"/>
  <c r="B36" i="5"/>
  <c r="C36" i="5"/>
  <c r="C29" i="5"/>
  <c r="A29" i="5"/>
  <c r="B29" i="5"/>
  <c r="A47" i="4"/>
  <c r="G47" i="4" s="1"/>
  <c r="B47" i="4"/>
  <c r="A29" i="4"/>
  <c r="G27" i="4" s="1"/>
  <c r="B29" i="4"/>
  <c r="D58" i="5"/>
  <c r="B99" i="33" s="1"/>
  <c r="G99" i="33" s="1"/>
  <c r="A58" i="5"/>
  <c r="B58" i="5"/>
  <c r="C58" i="5"/>
  <c r="B45" i="5"/>
  <c r="A45" i="5"/>
  <c r="J45" i="5" s="1"/>
  <c r="C45" i="5"/>
  <c r="B40" i="4"/>
  <c r="A40" i="4"/>
  <c r="G40" i="4" s="1"/>
  <c r="A31" i="4"/>
  <c r="G29" i="4" s="1"/>
  <c r="B31" i="4"/>
  <c r="B36" i="4"/>
  <c r="A36" i="4"/>
  <c r="G36" i="4" s="1"/>
  <c r="B34" i="4"/>
  <c r="A34" i="4"/>
  <c r="G32" i="4" s="1"/>
  <c r="C53" i="5"/>
  <c r="A53" i="5"/>
  <c r="B53" i="5"/>
  <c r="A41" i="5"/>
  <c r="J41" i="5" s="1"/>
  <c r="B41" i="5"/>
  <c r="C41" i="5"/>
  <c r="B54" i="5"/>
  <c r="C54" i="5"/>
  <c r="A54" i="5"/>
  <c r="B48" i="4"/>
  <c r="A48" i="4"/>
  <c r="G48" i="4" s="1"/>
  <c r="C43" i="5"/>
  <c r="A43" i="5"/>
  <c r="J43" i="5" s="1"/>
  <c r="B43" i="5"/>
  <c r="B38" i="5"/>
  <c r="C38" i="5"/>
  <c r="A38" i="5"/>
  <c r="J38" i="5" s="1"/>
  <c r="C59" i="5"/>
  <c r="B59" i="5"/>
  <c r="A59" i="5"/>
  <c r="J59" i="5" s="1"/>
  <c r="A30" i="4"/>
  <c r="G28" i="4" s="1"/>
  <c r="B30" i="4"/>
  <c r="A20" i="5"/>
  <c r="C20" i="5"/>
  <c r="B20" i="5"/>
  <c r="B48" i="5"/>
  <c r="A48" i="5"/>
  <c r="J48" i="5" s="1"/>
  <c r="C48" i="5"/>
  <c r="A50" i="5"/>
  <c r="B50" i="5"/>
  <c r="C50" i="5"/>
  <c r="B39" i="5"/>
  <c r="A39" i="5"/>
  <c r="J39" i="5" s="1"/>
  <c r="C39" i="5"/>
  <c r="A38" i="4"/>
  <c r="G38" i="4" s="1"/>
  <c r="B38" i="4"/>
  <c r="D57" i="5"/>
  <c r="B98" i="33" s="1"/>
  <c r="H98" i="33" s="1"/>
  <c r="A57" i="5"/>
  <c r="J57" i="5" s="1"/>
  <c r="B57" i="5"/>
  <c r="C57" i="5"/>
  <c r="B32" i="4"/>
  <c r="A32" i="4"/>
  <c r="G30" i="4" s="1"/>
  <c r="A56" i="5"/>
  <c r="B56" i="5"/>
  <c r="C56" i="5"/>
  <c r="A19" i="4"/>
  <c r="G19" i="4" s="1"/>
  <c r="B19" i="4"/>
  <c r="A27" i="4"/>
  <c r="G25" i="4" s="1"/>
  <c r="B27" i="4"/>
  <c r="C37" i="5"/>
  <c r="A37" i="5"/>
  <c r="J37" i="5" s="1"/>
  <c r="B37" i="5"/>
  <c r="B22" i="5"/>
  <c r="L22" i="5" s="1"/>
  <c r="C22" i="5"/>
  <c r="A22" i="5"/>
  <c r="J22" i="5" s="1"/>
  <c r="A25" i="5"/>
  <c r="J25" i="5" s="1"/>
  <c r="B25" i="5"/>
  <c r="C25" i="5"/>
  <c r="C35" i="5"/>
  <c r="A35" i="5"/>
  <c r="J35" i="5" s="1"/>
  <c r="B35" i="5"/>
  <c r="A33" i="4"/>
  <c r="B33" i="4"/>
  <c r="A41" i="4"/>
  <c r="G41" i="4" s="1"/>
  <c r="B41" i="4"/>
  <c r="B34" i="5"/>
  <c r="C34" i="5"/>
  <c r="A34" i="5"/>
  <c r="J34" i="5" s="1"/>
  <c r="A49" i="5"/>
  <c r="J49" i="5" s="1"/>
  <c r="B49" i="5"/>
  <c r="C49" i="5"/>
  <c r="C23" i="5"/>
  <c r="A23" i="5"/>
  <c r="J23" i="5" s="1"/>
  <c r="B23" i="5"/>
  <c r="L23" i="5" s="1"/>
  <c r="C42" i="5"/>
  <c r="B42" i="5"/>
  <c r="A42" i="5"/>
  <c r="J42" i="5" s="1"/>
  <c r="A44" i="5"/>
  <c r="C44" i="5"/>
  <c r="B44" i="5"/>
  <c r="A52" i="5"/>
  <c r="J52" i="5" s="1"/>
  <c r="B52" i="5"/>
  <c r="C52" i="5"/>
  <c r="A31" i="5"/>
  <c r="J31" i="5" s="1"/>
  <c r="B31" i="5"/>
  <c r="C31" i="5"/>
  <c r="A49" i="4"/>
  <c r="G49" i="4" s="1"/>
  <c r="B49" i="4"/>
  <c r="B28" i="4"/>
  <c r="A28" i="4"/>
  <c r="G26" i="4" s="1"/>
  <c r="B24" i="4"/>
  <c r="I24" i="4" s="1"/>
  <c r="A24" i="4"/>
  <c r="A45" i="4"/>
  <c r="G45" i="4" s="1"/>
  <c r="B45" i="4"/>
  <c r="A55" i="5"/>
  <c r="J55" i="5" s="1"/>
  <c r="C55" i="5"/>
  <c r="B55" i="5"/>
  <c r="AJ27" i="3"/>
  <c r="BJ27" i="3" s="1"/>
  <c r="AE27" i="3"/>
  <c r="BE27" i="3" s="1"/>
  <c r="AA27" i="3"/>
  <c r="BA27" i="3" s="1"/>
  <c r="AC35" i="3"/>
  <c r="BC35" i="3" s="1"/>
  <c r="BV23" i="2" s="1"/>
  <c r="AD27" i="3"/>
  <c r="BD27" i="3" s="1"/>
  <c r="BC21" i="4"/>
  <c r="AL28" i="3"/>
  <c r="BL28" i="3" s="1"/>
  <c r="AK28" i="3"/>
  <c r="BK28" i="3" s="1"/>
  <c r="AH35" i="3"/>
  <c r="BH35" i="3" s="1"/>
  <c r="CA23" i="2" s="1"/>
  <c r="AK32" i="3"/>
  <c r="BK32" i="3" s="1"/>
  <c r="AI27" i="3"/>
  <c r="BI27" i="3" s="1"/>
  <c r="AD24" i="3"/>
  <c r="BD24" i="3" s="1"/>
  <c r="AK29" i="3"/>
  <c r="BK29" i="3" s="1"/>
  <c r="AI28" i="3"/>
  <c r="BI28" i="3" s="1"/>
  <c r="AD35" i="3"/>
  <c r="BD35" i="3" s="1"/>
  <c r="BW23" i="2" s="1"/>
  <c r="AJ29" i="3"/>
  <c r="BJ29" i="3" s="1"/>
  <c r="AJ32" i="3"/>
  <c r="BJ32" i="3" s="1"/>
  <c r="AH28" i="3"/>
  <c r="BH28" i="3" s="1"/>
  <c r="AB28" i="3"/>
  <c r="BB28" i="3" s="1"/>
  <c r="AG35" i="3"/>
  <c r="BG35" i="3" s="1"/>
  <c r="BZ23" i="2" s="1"/>
  <c r="BP22" i="2"/>
  <c r="BC31" i="4"/>
  <c r="AI25" i="3"/>
  <c r="BI25" i="3" s="1"/>
  <c r="AK22" i="3"/>
  <c r="BK22" i="3" s="1"/>
  <c r="AF22" i="3"/>
  <c r="BF22" i="3" s="1"/>
  <c r="AG28" i="3"/>
  <c r="BG28" i="3" s="1"/>
  <c r="AD32" i="3"/>
  <c r="BD32" i="3" s="1"/>
  <c r="AI24" i="3"/>
  <c r="BI24" i="3" s="1"/>
  <c r="AA24" i="3"/>
  <c r="BA24" i="3" s="1"/>
  <c r="AI29" i="3"/>
  <c r="BI29" i="3" s="1"/>
  <c r="AE32" i="3"/>
  <c r="BE32" i="3" s="1"/>
  <c r="AH30" i="3"/>
  <c r="BH30" i="3" s="1"/>
  <c r="AI32" i="3"/>
  <c r="BI32" i="3" s="1"/>
  <c r="CB23" i="2"/>
  <c r="AG29" i="3"/>
  <c r="BG29" i="3" s="1"/>
  <c r="CE23" i="2"/>
  <c r="BU23" i="2"/>
  <c r="BY23" i="2"/>
  <c r="CD23" i="2"/>
  <c r="BN22" i="2"/>
  <c r="BQ22" i="2"/>
  <c r="BO22" i="2"/>
  <c r="BR22" i="2"/>
  <c r="BW21" i="2"/>
  <c r="AK20" i="3"/>
  <c r="BK20" i="3" s="1"/>
  <c r="F59" i="5"/>
  <c r="D57" i="11"/>
  <c r="D49" i="11"/>
  <c r="D56" i="11"/>
  <c r="D48" i="11"/>
  <c r="D55" i="11"/>
  <c r="D47" i="11"/>
  <c r="D54" i="11"/>
  <c r="D46" i="11"/>
  <c r="D58" i="11"/>
  <c r="D53" i="11"/>
  <c r="D45" i="11"/>
  <c r="D59" i="11"/>
  <c r="D52" i="11"/>
  <c r="D44" i="11"/>
  <c r="D60" i="11"/>
  <c r="D51" i="11"/>
  <c r="D50" i="11"/>
  <c r="D20" i="3"/>
  <c r="D18" i="3"/>
  <c r="D19" i="3"/>
  <c r="E54" i="4"/>
  <c r="E39" i="4"/>
  <c r="E51" i="4"/>
  <c r="E56" i="4"/>
  <c r="E55" i="4"/>
  <c r="D35" i="3"/>
  <c r="E57" i="4"/>
  <c r="D34" i="3"/>
  <c r="E52" i="4"/>
  <c r="D33" i="3"/>
  <c r="E50" i="4"/>
  <c r="E53" i="4"/>
  <c r="E58" i="4"/>
  <c r="A21" i="3"/>
  <c r="F21" i="3" s="1"/>
  <c r="B21" i="3"/>
  <c r="A30" i="3"/>
  <c r="F30" i="3" s="1"/>
  <c r="B29" i="3"/>
  <c r="I29" i="3" s="1"/>
  <c r="A29" i="3"/>
  <c r="F29" i="3" s="1"/>
  <c r="A22" i="3"/>
  <c r="F22" i="3" s="1"/>
  <c r="B22" i="3"/>
  <c r="I22" i="3" s="1"/>
  <c r="B32" i="3"/>
  <c r="I32" i="3" s="1"/>
  <c r="A32" i="3"/>
  <c r="F32" i="3" s="1"/>
  <c r="A28" i="3"/>
  <c r="F28" i="3" s="1"/>
  <c r="A45" i="11"/>
  <c r="F45" i="11" s="1"/>
  <c r="B45" i="11"/>
  <c r="AL29" i="3"/>
  <c r="BL29" i="3" s="1"/>
  <c r="A23" i="3"/>
  <c r="F23" i="3" s="1"/>
  <c r="B23" i="3"/>
  <c r="I23" i="3" s="1"/>
  <c r="A24" i="3"/>
  <c r="F24" i="3" s="1"/>
  <c r="B26" i="3"/>
  <c r="I26" i="3" s="1"/>
  <c r="A26" i="3"/>
  <c r="F26" i="3" s="1"/>
  <c r="B27" i="3"/>
  <c r="I27" i="3" s="1"/>
  <c r="A27" i="3"/>
  <c r="F27" i="3" s="1"/>
  <c r="A31" i="3"/>
  <c r="F31" i="3" s="1"/>
  <c r="AD33" i="3"/>
  <c r="BD33" i="3" s="1"/>
  <c r="AE31" i="3"/>
  <c r="BE31" i="3" s="1"/>
  <c r="BX21" i="2" s="1"/>
  <c r="AA32" i="3"/>
  <c r="BA32" i="3" s="1"/>
  <c r="AH33" i="3"/>
  <c r="BH33" i="3" s="1"/>
  <c r="AJ31" i="3"/>
  <c r="BJ31" i="3" s="1"/>
  <c r="CC21" i="2" s="1"/>
  <c r="AB32" i="3"/>
  <c r="BB32" i="3" s="1"/>
  <c r="AB29" i="3"/>
  <c r="BB29" i="3" s="1"/>
  <c r="AI33" i="3"/>
  <c r="BI33" i="3" s="1"/>
  <c r="BC57" i="4"/>
  <c r="BC56" i="4"/>
  <c r="BC39" i="4"/>
  <c r="AC31" i="3"/>
  <c r="BC31" i="3" s="1"/>
  <c r="AF32" i="3"/>
  <c r="BF32" i="3" s="1"/>
  <c r="AE29" i="3"/>
  <c r="BE29" i="3" s="1"/>
  <c r="AC33" i="3"/>
  <c r="BC33" i="3" s="1"/>
  <c r="AI31" i="3"/>
  <c r="BI31" i="3" s="1"/>
  <c r="CB21" i="2" s="1"/>
  <c r="AH32" i="3"/>
  <c r="BH32" i="3" s="1"/>
  <c r="AG32" i="3"/>
  <c r="BG32" i="3" s="1"/>
  <c r="AO18" i="3"/>
  <c r="AO19" i="3"/>
  <c r="AO20" i="3"/>
  <c r="BG19" i="2" s="1"/>
  <c r="AK31" i="3"/>
  <c r="BK31" i="3" s="1"/>
  <c r="CD21" i="2" s="1"/>
  <c r="AB30" i="3"/>
  <c r="BB30" i="3" s="1"/>
  <c r="AB34" i="3"/>
  <c r="BB34" i="3" s="1"/>
  <c r="BC48" i="4"/>
  <c r="AI30" i="3"/>
  <c r="BI30" i="3" s="1"/>
  <c r="AE30" i="3"/>
  <c r="BE30" i="3" s="1"/>
  <c r="BC43" i="4"/>
  <c r="BC45" i="4"/>
  <c r="BC37" i="4"/>
  <c r="AL31" i="3"/>
  <c r="BL31" i="3" s="1"/>
  <c r="AF31" i="3"/>
  <c r="BF31" i="3" s="1"/>
  <c r="AE33" i="3"/>
  <c r="BE33" i="3" s="1"/>
  <c r="AB31" i="3"/>
  <c r="BB31" i="3" s="1"/>
  <c r="AJ30" i="3"/>
  <c r="BJ30" i="3" s="1"/>
  <c r="AA31" i="3"/>
  <c r="BA31" i="3" s="1"/>
  <c r="AH31" i="3"/>
  <c r="BH31" i="3" s="1"/>
  <c r="AH29" i="3"/>
  <c r="BH29" i="3" s="1"/>
  <c r="AL32" i="3"/>
  <c r="BL32" i="3" s="1"/>
  <c r="BC49" i="4"/>
  <c r="AG30" i="3"/>
  <c r="BG30" i="3" s="1"/>
  <c r="BC42" i="4"/>
  <c r="AC32" i="3"/>
  <c r="BC32" i="3" s="1"/>
  <c r="BC40" i="4"/>
  <c r="AD28" i="3"/>
  <c r="BD28" i="3" s="1"/>
  <c r="AA29" i="3"/>
  <c r="BA29" i="3" s="1"/>
  <c r="AF30" i="3"/>
  <c r="BF30" i="3" s="1"/>
  <c r="AC30" i="3"/>
  <c r="BC30" i="3" s="1"/>
  <c r="BC29" i="4"/>
  <c r="AK30" i="3"/>
  <c r="BK30" i="3" s="1"/>
  <c r="BC38" i="4"/>
  <c r="AA30" i="3"/>
  <c r="BA30" i="3" s="1"/>
  <c r="BC35" i="4"/>
  <c r="AL30" i="3"/>
  <c r="BL30" i="3" s="1"/>
  <c r="AC28" i="3"/>
  <c r="BC28" i="3" s="1"/>
  <c r="AA26" i="3"/>
  <c r="BA26" i="3" s="1"/>
  <c r="BC41" i="4"/>
  <c r="AL33" i="3"/>
  <c r="BL33" i="3" s="1"/>
  <c r="BC22" i="4"/>
  <c r="AF34" i="3"/>
  <c r="BF34" i="3" s="1"/>
  <c r="AL34" i="3"/>
  <c r="BL34" i="3" s="1"/>
  <c r="AJ33" i="3"/>
  <c r="BJ33" i="3" s="1"/>
  <c r="BC33" i="4"/>
  <c r="AF29" i="3"/>
  <c r="BF29" i="3" s="1"/>
  <c r="AH34" i="3"/>
  <c r="BH34" i="3" s="1"/>
  <c r="AE34" i="3"/>
  <c r="BE34" i="3" s="1"/>
  <c r="AF28" i="3"/>
  <c r="BF28" i="3" s="1"/>
  <c r="BC46" i="4"/>
  <c r="AF33" i="3"/>
  <c r="BF33" i="3" s="1"/>
  <c r="AC34" i="3"/>
  <c r="BC34" i="3" s="1"/>
  <c r="AB33" i="3"/>
  <c r="BB33" i="3" s="1"/>
  <c r="AI34" i="3"/>
  <c r="BI34" i="3" s="1"/>
  <c r="J26" i="5"/>
  <c r="J40" i="5"/>
  <c r="AK33" i="3"/>
  <c r="BK33" i="3" s="1"/>
  <c r="BC51" i="4"/>
  <c r="AG33" i="3"/>
  <c r="BG33" i="3" s="1"/>
  <c r="AD34" i="3"/>
  <c r="BD34" i="3" s="1"/>
  <c r="BC53" i="4"/>
  <c r="AA34" i="3"/>
  <c r="AK34" i="3"/>
  <c r="BK34" i="3" s="1"/>
  <c r="J44" i="5"/>
  <c r="J29" i="5"/>
  <c r="BC50" i="4"/>
  <c r="AA33" i="3"/>
  <c r="BC54" i="4"/>
  <c r="J28" i="5"/>
  <c r="BC55" i="4"/>
  <c r="J30" i="5"/>
  <c r="BC52" i="4"/>
  <c r="AG34" i="3"/>
  <c r="BG34" i="3" s="1"/>
  <c r="BA35" i="3"/>
  <c r="BT23" i="2" s="1"/>
  <c r="AJ28" i="3"/>
  <c r="BJ28" i="3" s="1"/>
  <c r="C31" i="4"/>
  <c r="G37" i="4"/>
  <c r="C41" i="4"/>
  <c r="C45" i="4"/>
  <c r="C27" i="4"/>
  <c r="C29" i="4"/>
  <c r="C22" i="4"/>
  <c r="AA28" i="3"/>
  <c r="BA28" i="3" s="1"/>
  <c r="AB21" i="3"/>
  <c r="BB21" i="3" s="1"/>
  <c r="C30" i="4"/>
  <c r="G43" i="4"/>
  <c r="C28" i="4"/>
  <c r="C35" i="4"/>
  <c r="C46" i="4"/>
  <c r="AF26" i="3"/>
  <c r="BF26" i="3" s="1"/>
  <c r="AG25" i="3"/>
  <c r="BG25" i="3" s="1"/>
  <c r="AE28" i="3"/>
  <c r="BE28" i="3" s="1"/>
  <c r="AL26" i="3"/>
  <c r="BL26" i="3" s="1"/>
  <c r="AC29" i="3"/>
  <c r="BC29" i="3" s="1"/>
  <c r="AD26" i="3"/>
  <c r="BD26" i="3" s="1"/>
  <c r="AH27" i="3"/>
  <c r="BH27" i="3" s="1"/>
  <c r="AF27" i="3"/>
  <c r="BF27" i="3" s="1"/>
  <c r="AH21" i="3"/>
  <c r="BH21" i="3" s="1"/>
  <c r="AK26" i="3"/>
  <c r="BK26" i="3" s="1"/>
  <c r="AC26" i="3"/>
  <c r="BC26" i="3" s="1"/>
  <c r="AF25" i="3"/>
  <c r="BF25" i="3" s="1"/>
  <c r="AL25" i="3"/>
  <c r="BL25" i="3" s="1"/>
  <c r="AG26" i="3"/>
  <c r="BG26" i="3" s="1"/>
  <c r="AB25" i="3"/>
  <c r="BB25" i="3" s="1"/>
  <c r="AI26" i="3"/>
  <c r="BI26" i="3" s="1"/>
  <c r="AE21" i="3"/>
  <c r="BE21" i="3" s="1"/>
  <c r="AH26" i="3"/>
  <c r="BH26" i="3" s="1"/>
  <c r="AL22" i="3"/>
  <c r="BL22" i="3" s="1"/>
  <c r="AC25" i="3"/>
  <c r="BC25" i="3" s="1"/>
  <c r="AC21" i="3"/>
  <c r="BC21" i="3" s="1"/>
  <c r="AD25" i="3"/>
  <c r="BD25" i="3" s="1"/>
  <c r="AK25" i="3"/>
  <c r="BK25" i="3" s="1"/>
  <c r="AH25" i="3"/>
  <c r="BH25" i="3" s="1"/>
  <c r="AL27" i="3"/>
  <c r="BL27" i="3" s="1"/>
  <c r="AB27" i="3"/>
  <c r="BB27" i="3" s="1"/>
  <c r="AG27" i="3"/>
  <c r="BG27" i="3" s="1"/>
  <c r="C32" i="4"/>
  <c r="AK21" i="3"/>
  <c r="BK21" i="3" s="1"/>
  <c r="BR20" i="2"/>
  <c r="AA21" i="3"/>
  <c r="BA21" i="3" s="1"/>
  <c r="AH23" i="3"/>
  <c r="BH23" i="3" s="1"/>
  <c r="AD21" i="3"/>
  <c r="BD21" i="3" s="1"/>
  <c r="AF21" i="3"/>
  <c r="BF21" i="3" s="1"/>
  <c r="AJ21" i="3"/>
  <c r="BJ21" i="3" s="1"/>
  <c r="AG31" i="3"/>
  <c r="BG31" i="3" s="1"/>
  <c r="BE20" i="3"/>
  <c r="BX18" i="2" s="1"/>
  <c r="AD30" i="3"/>
  <c r="BD30" i="3" s="1"/>
  <c r="AI21" i="3"/>
  <c r="BI21" i="3" s="1"/>
  <c r="BB20" i="3"/>
  <c r="BH20" i="3"/>
  <c r="AC23" i="3"/>
  <c r="BC23" i="3" s="1"/>
  <c r="BH19" i="3"/>
  <c r="BF19" i="3"/>
  <c r="AE23" i="3"/>
  <c r="BE23" i="3" s="1"/>
  <c r="AL23" i="3"/>
  <c r="BL23" i="3" s="1"/>
  <c r="AG23" i="3"/>
  <c r="BG23" i="3" s="1"/>
  <c r="AG21" i="3"/>
  <c r="BG21" i="3" s="1"/>
  <c r="AL21" i="3"/>
  <c r="BL21" i="3" s="1"/>
  <c r="BB19" i="3"/>
  <c r="BF20" i="3"/>
  <c r="BK18" i="2"/>
  <c r="BM18" i="2"/>
  <c r="BC19" i="3"/>
  <c r="BC20" i="3"/>
  <c r="BG20" i="3"/>
  <c r="BZ18" i="2" s="1"/>
  <c r="BD20" i="3"/>
  <c r="BD19" i="3"/>
  <c r="BJ18" i="2"/>
  <c r="BP18" i="2"/>
  <c r="BO18" i="2"/>
  <c r="BL23" i="2"/>
  <c r="BO21" i="2"/>
  <c r="BN20" i="2"/>
  <c r="BL20" i="2"/>
  <c r="BP20" i="2"/>
  <c r="BM20" i="2"/>
  <c r="BQ20" i="2"/>
  <c r="BO20" i="2"/>
  <c r="BG20" i="2"/>
  <c r="BL19" i="2"/>
  <c r="BM19" i="2"/>
  <c r="CC18" i="2"/>
  <c r="BN18" i="2"/>
  <c r="AE21" i="9"/>
  <c r="B18" i="5"/>
  <c r="D27" i="5"/>
  <c r="B70" i="33" s="1"/>
  <c r="H70" i="33" s="1"/>
  <c r="H47" i="33"/>
  <c r="M47" i="33" s="1"/>
  <c r="A23" i="11"/>
  <c r="F23" i="11" s="1"/>
  <c r="BO19" i="2"/>
  <c r="BP19" i="2"/>
  <c r="BN21" i="2"/>
  <c r="AJ24" i="9"/>
  <c r="X24" i="9"/>
  <c r="A24" i="9"/>
  <c r="AD24" i="9" s="1"/>
  <c r="I24" i="9"/>
  <c r="AE24" i="9" s="1"/>
  <c r="AJ24" i="2"/>
  <c r="X20" i="9"/>
  <c r="A20" i="9"/>
  <c r="AD20" i="9" s="1"/>
  <c r="AI20" i="9"/>
  <c r="AJ20" i="9"/>
  <c r="I20" i="9"/>
  <c r="S20" i="9" s="1"/>
  <c r="AH19" i="9"/>
  <c r="X19" i="9"/>
  <c r="AI19" i="9"/>
  <c r="AJ19" i="9"/>
  <c r="A19" i="9"/>
  <c r="O32" i="33" s="1"/>
  <c r="I19" i="9"/>
  <c r="S19" i="9" s="1"/>
  <c r="I22" i="9"/>
  <c r="S22" i="9" s="1"/>
  <c r="AJ22" i="9"/>
  <c r="X22" i="9"/>
  <c r="AI22" i="9"/>
  <c r="A22" i="9"/>
  <c r="AD22" i="9" s="1"/>
  <c r="I23" i="9"/>
  <c r="A23" i="9"/>
  <c r="AD23" i="9" s="1"/>
  <c r="AJ23" i="9"/>
  <c r="X23" i="9"/>
  <c r="AI23" i="9"/>
  <c r="B38" i="11"/>
  <c r="B42" i="11"/>
  <c r="Y21" i="9"/>
  <c r="F19" i="9"/>
  <c r="AF19" i="9"/>
  <c r="AG19" i="9"/>
  <c r="AK21" i="9"/>
  <c r="B24" i="11"/>
  <c r="J18" i="5"/>
  <c r="F22" i="9"/>
  <c r="W22" i="9"/>
  <c r="AF22" i="9"/>
  <c r="V22" i="9"/>
  <c r="AH22" i="9"/>
  <c r="U22" i="9"/>
  <c r="AG22" i="9"/>
  <c r="T22" i="9"/>
  <c r="F23" i="9"/>
  <c r="AG23" i="9"/>
  <c r="W23" i="9"/>
  <c r="U23" i="9"/>
  <c r="T23" i="9"/>
  <c r="V23" i="9"/>
  <c r="AH23" i="9"/>
  <c r="AF23" i="9"/>
  <c r="F20" i="9"/>
  <c r="AH20" i="9"/>
  <c r="AF20" i="9"/>
  <c r="AG20" i="9"/>
  <c r="C18" i="5"/>
  <c r="A36" i="11"/>
  <c r="F36" i="11" s="1"/>
  <c r="F24" i="9"/>
  <c r="AH24" i="9"/>
  <c r="AF24" i="9"/>
  <c r="W24" i="9"/>
  <c r="AG24" i="9"/>
  <c r="V24" i="9"/>
  <c r="T24" i="9"/>
  <c r="AI24" i="9"/>
  <c r="U24" i="9"/>
  <c r="D55" i="5"/>
  <c r="B96" i="33" s="1"/>
  <c r="E96" i="33" s="1"/>
  <c r="F21" i="8"/>
  <c r="J21" i="8"/>
  <c r="I21" i="8"/>
  <c r="I22" i="8"/>
  <c r="J22" i="8"/>
  <c r="E22" i="8"/>
  <c r="F22" i="8"/>
  <c r="I23" i="8"/>
  <c r="J23" i="8"/>
  <c r="E23" i="8"/>
  <c r="F23" i="8"/>
  <c r="E24" i="8"/>
  <c r="F24" i="8"/>
  <c r="I24" i="8"/>
  <c r="J24" i="8"/>
  <c r="F20" i="8"/>
  <c r="I20" i="8"/>
  <c r="J20" i="8"/>
  <c r="H48" i="33"/>
  <c r="M48" i="33" s="1"/>
  <c r="H50" i="33"/>
  <c r="M50" i="33" s="1"/>
  <c r="H51" i="33"/>
  <c r="M51" i="33" s="1"/>
  <c r="H52" i="33"/>
  <c r="M52" i="33" s="1"/>
  <c r="H53" i="33"/>
  <c r="M53" i="33" s="1"/>
  <c r="H49" i="33"/>
  <c r="M49" i="33" s="1"/>
  <c r="BH18" i="3"/>
  <c r="BD18" i="3"/>
  <c r="BC18" i="3"/>
  <c r="BF18" i="3"/>
  <c r="BO23" i="2"/>
  <c r="BG23" i="2"/>
  <c r="BG21" i="2"/>
  <c r="BG22" i="2"/>
  <c r="BM21" i="2"/>
  <c r="BM22" i="2"/>
  <c r="BL21" i="2"/>
  <c r="BR21" i="2"/>
  <c r="F18" i="8"/>
  <c r="J18" i="8"/>
  <c r="I18" i="8"/>
  <c r="H18" i="8"/>
  <c r="I19" i="8"/>
  <c r="F19" i="8"/>
  <c r="H19" i="8"/>
  <c r="J19" i="8"/>
  <c r="T19" i="9"/>
  <c r="W19" i="9"/>
  <c r="V19" i="9"/>
  <c r="U19" i="9"/>
  <c r="U20" i="9"/>
  <c r="V20" i="9"/>
  <c r="W20" i="9"/>
  <c r="T20" i="9"/>
  <c r="AN19" i="33"/>
  <c r="C37" i="4"/>
  <c r="A37" i="11"/>
  <c r="F37" i="11" s="1"/>
  <c r="B29" i="11"/>
  <c r="C47" i="4"/>
  <c r="E98" i="33"/>
  <c r="G98" i="33"/>
  <c r="D98" i="33"/>
  <c r="D18" i="5"/>
  <c r="B61" i="33" s="1"/>
  <c r="G61" i="33" s="1"/>
  <c r="E41" i="4"/>
  <c r="D31" i="11"/>
  <c r="E24" i="4"/>
  <c r="E25" i="4"/>
  <c r="E48" i="4"/>
  <c r="C18" i="4"/>
  <c r="E40" i="4"/>
  <c r="A18" i="4"/>
  <c r="G18" i="4" s="1"/>
  <c r="B26" i="11"/>
  <c r="D23" i="11"/>
  <c r="F34" i="5"/>
  <c r="F24" i="5"/>
  <c r="F30" i="5"/>
  <c r="E32" i="4"/>
  <c r="F19" i="5"/>
  <c r="E35" i="4"/>
  <c r="F60" i="5"/>
  <c r="E31" i="4"/>
  <c r="E42" i="4"/>
  <c r="D36" i="11"/>
  <c r="E49" i="4"/>
  <c r="C34" i="4"/>
  <c r="B19" i="11"/>
  <c r="E43" i="4"/>
  <c r="F56" i="5"/>
  <c r="D19" i="11"/>
  <c r="F53" i="5"/>
  <c r="D33" i="11"/>
  <c r="D20" i="2"/>
  <c r="D22" i="9"/>
  <c r="D27" i="11"/>
  <c r="F25" i="5"/>
  <c r="D30" i="11"/>
  <c r="D23" i="3"/>
  <c r="F23" i="5"/>
  <c r="E28" i="4"/>
  <c r="C49" i="4"/>
  <c r="D26" i="11"/>
  <c r="D39" i="11"/>
  <c r="D19" i="9"/>
  <c r="B103" i="33"/>
  <c r="E103" i="33" s="1"/>
  <c r="E36" i="4"/>
  <c r="F52" i="5"/>
  <c r="F27" i="5"/>
  <c r="E22" i="4"/>
  <c r="F26" i="5"/>
  <c r="F41" i="5"/>
  <c r="C36" i="4"/>
  <c r="E38" i="4"/>
  <c r="D20" i="11"/>
  <c r="D22" i="3"/>
  <c r="D19" i="8"/>
  <c r="F40" i="5"/>
  <c r="F31" i="5"/>
  <c r="D22" i="8"/>
  <c r="D29" i="11"/>
  <c r="F29" i="5"/>
  <c r="D42" i="11"/>
  <c r="D31" i="3"/>
  <c r="E20" i="4"/>
  <c r="E46" i="4"/>
  <c r="F20" i="5"/>
  <c r="A34" i="11"/>
  <c r="F34" i="11" s="1"/>
  <c r="F28" i="5"/>
  <c r="D19" i="2"/>
  <c r="D21" i="8"/>
  <c r="F47" i="5"/>
  <c r="D29" i="3"/>
  <c r="B24" i="3"/>
  <c r="I24" i="3" s="1"/>
  <c r="AV20" i="2"/>
  <c r="B104" i="33"/>
  <c r="E104" i="33" s="1"/>
  <c r="F49" i="5"/>
  <c r="D28" i="11"/>
  <c r="F42" i="5"/>
  <c r="E34" i="4"/>
  <c r="E21" i="4"/>
  <c r="D43" i="11"/>
  <c r="D18" i="8"/>
  <c r="D30" i="3"/>
  <c r="D21" i="11"/>
  <c r="D32" i="11"/>
  <c r="D21" i="9"/>
  <c r="F45" i="5"/>
  <c r="D38" i="11"/>
  <c r="AV19" i="2"/>
  <c r="A30" i="11"/>
  <c r="F30" i="11" s="1"/>
  <c r="B20" i="11"/>
  <c r="C48" i="4"/>
  <c r="F54" i="5"/>
  <c r="D24" i="11"/>
  <c r="E19" i="4"/>
  <c r="D25" i="11"/>
  <c r="D24" i="9"/>
  <c r="D23" i="8"/>
  <c r="E45" i="4"/>
  <c r="D23" i="2"/>
  <c r="F21" i="5"/>
  <c r="B40" i="11"/>
  <c r="J58" i="5"/>
  <c r="AX24" i="2"/>
  <c r="AD19" i="6" s="1"/>
  <c r="A18" i="3"/>
  <c r="F18" i="3" s="1"/>
  <c r="B28" i="3"/>
  <c r="I28" i="3" s="1"/>
  <c r="B30" i="3"/>
  <c r="I30" i="3" s="1"/>
  <c r="Z24" i="2"/>
  <c r="L19" i="6" s="1"/>
  <c r="B33" i="11"/>
  <c r="AV18" i="2"/>
  <c r="A28" i="11"/>
  <c r="F28" i="11" s="1"/>
  <c r="C40" i="4"/>
  <c r="AR24" i="2"/>
  <c r="X19" i="6" s="1"/>
  <c r="B102" i="33"/>
  <c r="G102" i="33" s="1"/>
  <c r="D19" i="5"/>
  <c r="B62" i="33" s="1"/>
  <c r="D62" i="33" s="1"/>
  <c r="AW24" i="2"/>
  <c r="AC19" i="6" s="1"/>
  <c r="C42" i="4"/>
  <c r="C23" i="4"/>
  <c r="D59" i="5"/>
  <c r="B100" i="33" s="1"/>
  <c r="G100" i="33" s="1"/>
  <c r="A43" i="11"/>
  <c r="F43" i="11" s="1"/>
  <c r="AA24" i="2"/>
  <c r="M19" i="6" s="1"/>
  <c r="B44" i="11"/>
  <c r="B25" i="11"/>
  <c r="B32" i="11"/>
  <c r="F18" i="5"/>
  <c r="E23" i="4"/>
  <c r="D41" i="11"/>
  <c r="F58" i="5"/>
  <c r="D23" i="9"/>
  <c r="D18" i="2"/>
  <c r="D22" i="11"/>
  <c r="E18" i="4"/>
  <c r="D22" i="2"/>
  <c r="E27" i="4"/>
  <c r="C24" i="4"/>
  <c r="B25" i="3"/>
  <c r="I25" i="3" s="1"/>
  <c r="F25" i="3"/>
  <c r="B27" i="11"/>
  <c r="C25" i="4"/>
  <c r="F19" i="3"/>
  <c r="D56" i="5"/>
  <c r="B97" i="33" s="1"/>
  <c r="G97" i="33" s="1"/>
  <c r="C43" i="4"/>
  <c r="D34" i="11"/>
  <c r="D27" i="3"/>
  <c r="D26" i="3"/>
  <c r="D32" i="3"/>
  <c r="D28" i="3"/>
  <c r="D60" i="5"/>
  <c r="B101" i="33" s="1"/>
  <c r="E101" i="33" s="1"/>
  <c r="C38" i="4"/>
  <c r="J60" i="5"/>
  <c r="E26" i="4"/>
  <c r="F51" i="5"/>
  <c r="F48" i="5"/>
  <c r="D37" i="11"/>
  <c r="F37" i="5"/>
  <c r="F43" i="5"/>
  <c r="D35" i="11"/>
  <c r="D20" i="9"/>
  <c r="D21" i="2"/>
  <c r="C19" i="4"/>
  <c r="D40" i="11"/>
  <c r="F22" i="5"/>
  <c r="F50" i="5"/>
  <c r="C33" i="4"/>
  <c r="D54" i="5"/>
  <c r="B95" i="33" s="1"/>
  <c r="J54" i="5"/>
  <c r="B22" i="11"/>
  <c r="C20" i="4"/>
  <c r="A31" i="11"/>
  <c r="F31" i="11" s="1"/>
  <c r="B39" i="11"/>
  <c r="B21" i="11"/>
  <c r="A21" i="11"/>
  <c r="F21" i="11" s="1"/>
  <c r="B35" i="11"/>
  <c r="F46" i="5"/>
  <c r="F44" i="5"/>
  <c r="J56" i="5"/>
  <c r="F55" i="5"/>
  <c r="E37" i="4"/>
  <c r="B31" i="3"/>
  <c r="I31" i="3" s="1"/>
  <c r="E47" i="4"/>
  <c r="D24" i="3"/>
  <c r="F39" i="5"/>
  <c r="D25" i="3"/>
  <c r="D24" i="8"/>
  <c r="F36" i="5"/>
  <c r="F35" i="5"/>
  <c r="D21" i="3"/>
  <c r="E29" i="4"/>
  <c r="F57" i="5"/>
  <c r="F38" i="5"/>
  <c r="E44" i="4"/>
  <c r="D20" i="8"/>
  <c r="E30" i="4"/>
  <c r="E33" i="4"/>
  <c r="C26" i="4"/>
  <c r="BP21" i="2"/>
  <c r="BQ21" i="2"/>
  <c r="N36" i="3"/>
  <c r="AA36" i="3"/>
  <c r="AD24" i="33"/>
  <c r="D35" i="5"/>
  <c r="B76" i="33" s="1"/>
  <c r="D49" i="5"/>
  <c r="B90" i="33" s="1"/>
  <c r="D21" i="5"/>
  <c r="B64" i="33" s="1"/>
  <c r="D41" i="5"/>
  <c r="B82" i="33" s="1"/>
  <c r="D52" i="5"/>
  <c r="B93" i="33" s="1"/>
  <c r="D29" i="5"/>
  <c r="B72" i="33" s="1"/>
  <c r="D39" i="5"/>
  <c r="B80" i="33" s="1"/>
  <c r="D47" i="5"/>
  <c r="B88" i="33" s="1"/>
  <c r="B105" i="33"/>
  <c r="D25" i="5"/>
  <c r="B68" i="33" s="1"/>
  <c r="D31" i="5"/>
  <c r="B74" i="33" s="1"/>
  <c r="D45" i="5"/>
  <c r="B86" i="33" s="1"/>
  <c r="AJ24" i="3"/>
  <c r="BJ24" i="3" s="1"/>
  <c r="AG24" i="3"/>
  <c r="BG24" i="3" s="1"/>
  <c r="AE24" i="3"/>
  <c r="BE24" i="3" s="1"/>
  <c r="AE23" i="2"/>
  <c r="AV21" i="2"/>
  <c r="AE20" i="2"/>
  <c r="D51" i="5"/>
  <c r="B92" i="33" s="1"/>
  <c r="D38" i="5"/>
  <c r="B79" i="33" s="1"/>
  <c r="D53" i="5"/>
  <c r="B94" i="33" s="1"/>
  <c r="J53" i="5"/>
  <c r="D46" i="5"/>
  <c r="B87" i="33" s="1"/>
  <c r="D30" i="5"/>
  <c r="B73" i="33" s="1"/>
  <c r="AE19" i="2"/>
  <c r="D48" i="5"/>
  <c r="B89" i="33" s="1"/>
  <c r="D26" i="5"/>
  <c r="B69" i="33" s="1"/>
  <c r="D24" i="5"/>
  <c r="B67" i="33" s="1"/>
  <c r="D42" i="5"/>
  <c r="B83" i="33" s="1"/>
  <c r="D20" i="5"/>
  <c r="B63" i="33" s="1"/>
  <c r="J20" i="5"/>
  <c r="D36" i="5"/>
  <c r="B77" i="33" s="1"/>
  <c r="D28" i="5"/>
  <c r="B71" i="33" s="1"/>
  <c r="D22" i="5"/>
  <c r="B65" i="33" s="1"/>
  <c r="D50" i="5"/>
  <c r="B91" i="33" s="1"/>
  <c r="J50" i="5"/>
  <c r="D44" i="5"/>
  <c r="B85" i="33" s="1"/>
  <c r="AC24" i="3"/>
  <c r="BC24" i="3" s="1"/>
  <c r="AE22" i="3"/>
  <c r="BE22" i="3" s="1"/>
  <c r="AB22" i="3"/>
  <c r="BB22" i="3" s="1"/>
  <c r="AK24" i="3"/>
  <c r="BK24" i="3" s="1"/>
  <c r="AD23" i="3"/>
  <c r="BD23" i="3" s="1"/>
  <c r="R61" i="11"/>
  <c r="BC47" i="4"/>
  <c r="AF23" i="3"/>
  <c r="BF23" i="3" s="1"/>
  <c r="AD22" i="3"/>
  <c r="BD22" i="3" s="1"/>
  <c r="AK23" i="3"/>
  <c r="BK23" i="3" s="1"/>
  <c r="AJ22" i="3"/>
  <c r="BJ22" i="3" s="1"/>
  <c r="AC22" i="3"/>
  <c r="BC22" i="3" s="1"/>
  <c r="AF24" i="3"/>
  <c r="BF24" i="3" s="1"/>
  <c r="AI22" i="3"/>
  <c r="BI22" i="3" s="1"/>
  <c r="BC19" i="4"/>
  <c r="BC25" i="4"/>
  <c r="AH24" i="3"/>
  <c r="BH24" i="3" s="1"/>
  <c r="AI23" i="3"/>
  <c r="BI23" i="3" s="1"/>
  <c r="AH22" i="3"/>
  <c r="BH22" i="3" s="1"/>
  <c r="AL24" i="3"/>
  <c r="BL24" i="3" s="1"/>
  <c r="AB26" i="3"/>
  <c r="BB26" i="3" s="1"/>
  <c r="AB23" i="3"/>
  <c r="BB23" i="3" s="1"/>
  <c r="BC30" i="4"/>
  <c r="BC20" i="4"/>
  <c r="AB24" i="3"/>
  <c r="BB24" i="3" s="1"/>
  <c r="BC24" i="4"/>
  <c r="BC34" i="4"/>
  <c r="AC27" i="3"/>
  <c r="BC27" i="3" s="1"/>
  <c r="AG22" i="3"/>
  <c r="BG22" i="3" s="1"/>
  <c r="BC23" i="4"/>
  <c r="BC36" i="4"/>
  <c r="AA23" i="3"/>
  <c r="BA23" i="3" s="1"/>
  <c r="BC32" i="4"/>
  <c r="BC44" i="4"/>
  <c r="BC26" i="4"/>
  <c r="BC27" i="4"/>
  <c r="AD29" i="3"/>
  <c r="BD29" i="3" s="1"/>
  <c r="BC28" i="4"/>
  <c r="AJ23" i="3"/>
  <c r="BJ23" i="3" s="1"/>
  <c r="AA25" i="3"/>
  <c r="BA25" i="3" s="1"/>
  <c r="AT61" i="5"/>
  <c r="AP22" i="2"/>
  <c r="T22" i="2"/>
  <c r="AP21" i="2"/>
  <c r="T21" i="2"/>
  <c r="AP23" i="2"/>
  <c r="T23" i="2"/>
  <c r="D23" i="5"/>
  <c r="B66" i="33" s="1"/>
  <c r="D43" i="5"/>
  <c r="B84" i="33" s="1"/>
  <c r="BN19" i="2"/>
  <c r="D40" i="5"/>
  <c r="B81" i="33" s="1"/>
  <c r="AE21" i="2"/>
  <c r="D37" i="5"/>
  <c r="B78" i="33" s="1"/>
  <c r="D34" i="5"/>
  <c r="B75" i="33" s="1"/>
  <c r="AV23" i="2"/>
  <c r="T18" i="2"/>
  <c r="CI18" i="2" s="1"/>
  <c r="T20" i="2"/>
  <c r="AP20" i="2"/>
  <c r="AV22" i="2"/>
  <c r="AP19" i="2"/>
  <c r="T19" i="2"/>
  <c r="N26" i="5" l="1"/>
  <c r="E99" i="33"/>
  <c r="H99" i="33"/>
  <c r="D99" i="33"/>
  <c r="N27" i="5"/>
  <c r="N28" i="5"/>
  <c r="I40" i="4"/>
  <c r="L32" i="5"/>
  <c r="CE21" i="2"/>
  <c r="N29" i="5"/>
  <c r="N32" i="5"/>
  <c r="N33" i="5"/>
  <c r="N18" i="5"/>
  <c r="N55" i="5"/>
  <c r="N31" i="5"/>
  <c r="N52" i="5"/>
  <c r="N44" i="5"/>
  <c r="N42" i="5"/>
  <c r="N23" i="5"/>
  <c r="N49" i="5"/>
  <c r="N34" i="5"/>
  <c r="N35" i="5"/>
  <c r="N25" i="5"/>
  <c r="N22" i="5"/>
  <c r="N37" i="5"/>
  <c r="N56" i="5"/>
  <c r="N57" i="5"/>
  <c r="N39" i="5"/>
  <c r="N50" i="5"/>
  <c r="N48" i="5"/>
  <c r="N20" i="5"/>
  <c r="N59" i="5"/>
  <c r="N38" i="5"/>
  <c r="N43" i="5"/>
  <c r="N54" i="5"/>
  <c r="N41" i="5"/>
  <c r="N53" i="5"/>
  <c r="N45" i="5"/>
  <c r="N58" i="5"/>
  <c r="N36" i="5"/>
  <c r="N21" i="5"/>
  <c r="N46" i="5"/>
  <c r="N24" i="5"/>
  <c r="N60" i="5"/>
  <c r="N47" i="5"/>
  <c r="N30" i="5"/>
  <c r="N51" i="5"/>
  <c r="N40" i="5"/>
  <c r="N19" i="5"/>
  <c r="AE20" i="9"/>
  <c r="L33" i="5"/>
  <c r="I39" i="4"/>
  <c r="I41" i="4"/>
  <c r="I21" i="3"/>
  <c r="I25" i="4" s="1"/>
  <c r="I58" i="4"/>
  <c r="I56" i="4"/>
  <c r="I54" i="4"/>
  <c r="I53" i="4"/>
  <c r="I55" i="4"/>
  <c r="I57" i="4"/>
  <c r="I43" i="4"/>
  <c r="I28" i="4"/>
  <c r="I27" i="4"/>
  <c r="I47" i="4"/>
  <c r="I44" i="4"/>
  <c r="I34" i="4"/>
  <c r="I36" i="4"/>
  <c r="I31" i="4"/>
  <c r="I30" i="4"/>
  <c r="I46" i="4"/>
  <c r="I38" i="4"/>
  <c r="I32" i="4"/>
  <c r="I26" i="4"/>
  <c r="I35" i="4"/>
  <c r="I48" i="4"/>
  <c r="I49" i="4"/>
  <c r="I45" i="4"/>
  <c r="I33" i="4"/>
  <c r="I42" i="4"/>
  <c r="I37" i="4"/>
  <c r="I29" i="4"/>
  <c r="I51" i="4"/>
  <c r="I52" i="4"/>
  <c r="I50" i="4"/>
  <c r="CD20" i="2"/>
  <c r="CC22" i="2"/>
  <c r="AM35" i="3"/>
  <c r="BW22" i="2"/>
  <c r="CB22" i="2"/>
  <c r="CA21" i="2"/>
  <c r="BT21" i="2"/>
  <c r="BZ21" i="2"/>
  <c r="BU21" i="2"/>
  <c r="BV21" i="2"/>
  <c r="BY21" i="2"/>
  <c r="L29" i="5"/>
  <c r="L20" i="5"/>
  <c r="L26" i="5"/>
  <c r="L24" i="5"/>
  <c r="L30" i="5"/>
  <c r="L19" i="5"/>
  <c r="BG18" i="2"/>
  <c r="CA22" i="2"/>
  <c r="BV22" i="2"/>
  <c r="BX22" i="2"/>
  <c r="CB20" i="2"/>
  <c r="BU22" i="2"/>
  <c r="L47" i="5"/>
  <c r="BU20" i="2"/>
  <c r="L50" i="5"/>
  <c r="L49" i="5"/>
  <c r="L52" i="5"/>
  <c r="L55" i="5"/>
  <c r="L53" i="5"/>
  <c r="L60" i="5"/>
  <c r="BX20" i="2"/>
  <c r="L59" i="5"/>
  <c r="L44" i="5"/>
  <c r="L41" i="5"/>
  <c r="L45" i="5"/>
  <c r="L48" i="5"/>
  <c r="L57" i="5"/>
  <c r="L38" i="5"/>
  <c r="L39" i="5"/>
  <c r="L43" i="5"/>
  <c r="L58" i="5"/>
  <c r="L28" i="5"/>
  <c r="L42" i="5"/>
  <c r="L40" i="5"/>
  <c r="L46" i="5"/>
  <c r="L31" i="5"/>
  <c r="L36" i="5"/>
  <c r="L56" i="5"/>
  <c r="L51" i="5"/>
  <c r="L54" i="5"/>
  <c r="L34" i="5"/>
  <c r="L37" i="5"/>
  <c r="L35" i="5"/>
  <c r="CC20" i="2"/>
  <c r="CE20" i="2"/>
  <c r="CA20" i="2"/>
  <c r="AM32" i="3"/>
  <c r="BT20" i="2"/>
  <c r="BZ20" i="2"/>
  <c r="L27" i="5"/>
  <c r="BY20" i="2"/>
  <c r="BY22" i="2"/>
  <c r="BV20" i="2"/>
  <c r="CE22" i="2"/>
  <c r="BA33" i="3"/>
  <c r="AM33" i="3"/>
  <c r="BA34" i="3"/>
  <c r="AM34" i="3"/>
  <c r="G70" i="33"/>
  <c r="BZ22" i="2"/>
  <c r="CD22" i="2"/>
  <c r="D70" i="33"/>
  <c r="G34" i="4"/>
  <c r="I20" i="4"/>
  <c r="AM28" i="3"/>
  <c r="I21" i="4"/>
  <c r="I23" i="4"/>
  <c r="G31" i="4"/>
  <c r="G33" i="4"/>
  <c r="BW20" i="2"/>
  <c r="AM30" i="3"/>
  <c r="I18" i="4"/>
  <c r="I19" i="4"/>
  <c r="AM31" i="3"/>
  <c r="BU18" i="2"/>
  <c r="AM21" i="3"/>
  <c r="CA18" i="2"/>
  <c r="BV18" i="2"/>
  <c r="BY18" i="2"/>
  <c r="CE19" i="2"/>
  <c r="BW18" i="2"/>
  <c r="BY19" i="2"/>
  <c r="BZ19" i="2"/>
  <c r="CC19" i="2"/>
  <c r="CA19" i="2"/>
  <c r="BX19" i="2"/>
  <c r="BV19" i="2"/>
  <c r="CD19" i="2"/>
  <c r="BW19" i="2"/>
  <c r="BU19" i="2"/>
  <c r="AE22" i="9"/>
  <c r="CI19" i="2"/>
  <c r="E70" i="33"/>
  <c r="H61" i="33"/>
  <c r="AD19" i="9"/>
  <c r="AE19" i="9" s="1"/>
  <c r="O34" i="33"/>
  <c r="S34" i="33" s="1"/>
  <c r="S32" i="33"/>
  <c r="O33" i="33"/>
  <c r="S33" i="33" s="1"/>
  <c r="O35" i="33"/>
  <c r="S35" i="33" s="1"/>
  <c r="AI25" i="9"/>
  <c r="AK24" i="9"/>
  <c r="Y24" i="9"/>
  <c r="AK20" i="9"/>
  <c r="Y22" i="9"/>
  <c r="AK19" i="9"/>
  <c r="AF25" i="9"/>
  <c r="AK23" i="9"/>
  <c r="D96" i="33"/>
  <c r="AJ25" i="9"/>
  <c r="H96" i="33"/>
  <c r="AG25" i="9"/>
  <c r="G96" i="33"/>
  <c r="AK22" i="9"/>
  <c r="Y23" i="9"/>
  <c r="AH25" i="9"/>
  <c r="D61" i="33"/>
  <c r="E61" i="33"/>
  <c r="H104" i="33"/>
  <c r="D103" i="33"/>
  <c r="D101" i="33"/>
  <c r="W25" i="9"/>
  <c r="V25" i="9"/>
  <c r="X25" i="9"/>
  <c r="U25" i="9"/>
  <c r="Y19" i="9"/>
  <c r="T25" i="9"/>
  <c r="Y20" i="9"/>
  <c r="E97" i="33"/>
  <c r="G104" i="33"/>
  <c r="D97" i="33"/>
  <c r="H97" i="33"/>
  <c r="D104" i="33"/>
  <c r="H103" i="33"/>
  <c r="G103" i="33"/>
  <c r="G101" i="33"/>
  <c r="H102" i="33"/>
  <c r="D102" i="33"/>
  <c r="H101" i="33"/>
  <c r="E102" i="33"/>
  <c r="AE18" i="2"/>
  <c r="AE24" i="2" s="1"/>
  <c r="AQ24" i="2"/>
  <c r="W19" i="6" s="1"/>
  <c r="AB19" i="6" s="1"/>
  <c r="D100" i="33"/>
  <c r="H62" i="33"/>
  <c r="G62" i="33"/>
  <c r="E62" i="33"/>
  <c r="H100" i="33"/>
  <c r="E100" i="33"/>
  <c r="H95" i="33"/>
  <c r="D95" i="33"/>
  <c r="E95" i="33"/>
  <c r="G95" i="33"/>
  <c r="Q19" i="6"/>
  <c r="G76" i="33"/>
  <c r="E76" i="33"/>
  <c r="H76" i="33"/>
  <c r="D76" i="33"/>
  <c r="G90" i="33"/>
  <c r="E90" i="33"/>
  <c r="H90" i="33"/>
  <c r="D90" i="33"/>
  <c r="H105" i="33"/>
  <c r="D105" i="33"/>
  <c r="G105" i="33"/>
  <c r="E105" i="33"/>
  <c r="D82" i="33"/>
  <c r="H82" i="33"/>
  <c r="E82" i="33"/>
  <c r="G82" i="33"/>
  <c r="D80" i="33"/>
  <c r="H80" i="33"/>
  <c r="G80" i="33"/>
  <c r="E80" i="33"/>
  <c r="G86" i="33"/>
  <c r="H86" i="33"/>
  <c r="E86" i="33"/>
  <c r="D86" i="33"/>
  <c r="G68" i="33"/>
  <c r="E68" i="33"/>
  <c r="H68" i="33"/>
  <c r="D68" i="33"/>
  <c r="G93" i="33"/>
  <c r="H93" i="33"/>
  <c r="D93" i="33"/>
  <c r="E93" i="33"/>
  <c r="H74" i="33"/>
  <c r="D74" i="33"/>
  <c r="G74" i="33"/>
  <c r="E74" i="33"/>
  <c r="E88" i="33"/>
  <c r="G88" i="33"/>
  <c r="H88" i="33"/>
  <c r="D88" i="33"/>
  <c r="E72" i="33"/>
  <c r="H72" i="33"/>
  <c r="G72" i="33"/>
  <c r="D72" i="33"/>
  <c r="G64" i="33"/>
  <c r="D64" i="33"/>
  <c r="H64" i="33"/>
  <c r="E64" i="33"/>
  <c r="H91" i="33"/>
  <c r="D91" i="33"/>
  <c r="G91" i="33"/>
  <c r="E91" i="33"/>
  <c r="G79" i="33"/>
  <c r="D79" i="33"/>
  <c r="E79" i="33"/>
  <c r="H79" i="33"/>
  <c r="D71" i="33"/>
  <c r="H71" i="33"/>
  <c r="G71" i="33"/>
  <c r="E71" i="33"/>
  <c r="D83" i="33"/>
  <c r="E83" i="33"/>
  <c r="H83" i="33"/>
  <c r="G83" i="33"/>
  <c r="D69" i="33"/>
  <c r="E69" i="33"/>
  <c r="G69" i="33"/>
  <c r="H69" i="33"/>
  <c r="G73" i="33"/>
  <c r="D73" i="33"/>
  <c r="E73" i="33"/>
  <c r="H73" i="33"/>
  <c r="E94" i="33"/>
  <c r="H94" i="33"/>
  <c r="D94" i="33"/>
  <c r="G94" i="33"/>
  <c r="E85" i="33"/>
  <c r="D85" i="33"/>
  <c r="G85" i="33"/>
  <c r="H85" i="33"/>
  <c r="G65" i="33"/>
  <c r="D65" i="33"/>
  <c r="H65" i="33"/>
  <c r="E65" i="33"/>
  <c r="H92" i="33"/>
  <c r="D92" i="33"/>
  <c r="E92" i="33"/>
  <c r="G92" i="33"/>
  <c r="D77" i="33"/>
  <c r="E77" i="33"/>
  <c r="H77" i="33"/>
  <c r="G77" i="33"/>
  <c r="D63" i="33"/>
  <c r="G63" i="33"/>
  <c r="H63" i="33"/>
  <c r="E63" i="33"/>
  <c r="H67" i="33"/>
  <c r="G67" i="33"/>
  <c r="D67" i="33"/>
  <c r="E67" i="33"/>
  <c r="H89" i="33"/>
  <c r="E89" i="33"/>
  <c r="G89" i="33"/>
  <c r="D89" i="33"/>
  <c r="D87" i="33"/>
  <c r="G87" i="33"/>
  <c r="H87" i="33"/>
  <c r="E87" i="33"/>
  <c r="AE23" i="9"/>
  <c r="CI20" i="2"/>
  <c r="AM25" i="3"/>
  <c r="AM27" i="3"/>
  <c r="AM26" i="3"/>
  <c r="AM24" i="3"/>
  <c r="AM22" i="3"/>
  <c r="CF23" i="2"/>
  <c r="AM29" i="3"/>
  <c r="AM23" i="3"/>
  <c r="CI23" i="2"/>
  <c r="G75" i="33"/>
  <c r="H75" i="33"/>
  <c r="D75" i="33"/>
  <c r="E75" i="33"/>
  <c r="E78" i="33"/>
  <c r="G78" i="33"/>
  <c r="H78" i="33"/>
  <c r="D78" i="33"/>
  <c r="CI21" i="2"/>
  <c r="H81" i="33"/>
  <c r="D81" i="33"/>
  <c r="E81" i="33"/>
  <c r="G81" i="33"/>
  <c r="CI22" i="2"/>
  <c r="AV24" i="2"/>
  <c r="D66" i="33"/>
  <c r="H66" i="33"/>
  <c r="G66" i="33"/>
  <c r="E66" i="33"/>
  <c r="D84" i="33"/>
  <c r="H84" i="33"/>
  <c r="E84" i="33"/>
  <c r="G84" i="33"/>
  <c r="I40" i="33"/>
  <c r="L25" i="5" l="1"/>
  <c r="CF20" i="2"/>
  <c r="BT22" i="2"/>
  <c r="CF22" i="2" s="1"/>
  <c r="AM38" i="3"/>
  <c r="L18" i="5"/>
  <c r="AK25" i="9"/>
  <c r="Y25" i="9"/>
  <c r="S61" i="11"/>
  <c r="CF21" i="2"/>
  <c r="O34" i="3" l="1"/>
  <c r="AP34" i="3" s="1"/>
  <c r="O25" i="3"/>
  <c r="AP25" i="3" s="1"/>
  <c r="O26" i="3"/>
  <c r="AC25" i="4"/>
  <c r="BQ25" i="4" s="1"/>
  <c r="AC52" i="4"/>
  <c r="BQ52" i="4" s="1"/>
  <c r="AC34" i="4"/>
  <c r="BQ34" i="4" s="1"/>
  <c r="AC26" i="4"/>
  <c r="BQ26" i="4" s="1"/>
  <c r="AC48" i="4"/>
  <c r="BQ48" i="4" s="1"/>
  <c r="O28" i="3"/>
  <c r="O31" i="3"/>
  <c r="O27" i="3"/>
  <c r="O33" i="3"/>
  <c r="O30" i="3"/>
  <c r="O29" i="3"/>
  <c r="O22" i="3"/>
  <c r="O32" i="3"/>
  <c r="AC51" i="4"/>
  <c r="BQ51" i="4" s="1"/>
  <c r="X20" i="3"/>
  <c r="AY20" i="3" s="1"/>
  <c r="BQ19" i="2" s="1"/>
  <c r="O23" i="3"/>
  <c r="O35" i="3"/>
  <c r="I41" i="33"/>
  <c r="P34" i="3" l="1"/>
  <c r="O24" i="3"/>
  <c r="AP24" i="3" s="1"/>
  <c r="P26" i="3"/>
  <c r="AQ26" i="3" s="1"/>
  <c r="AP26" i="3"/>
  <c r="AC37" i="4"/>
  <c r="BQ37" i="4" s="1"/>
  <c r="AC57" i="4"/>
  <c r="BQ57" i="4" s="1"/>
  <c r="AC21" i="4"/>
  <c r="BQ21" i="4" s="1"/>
  <c r="AC49" i="4"/>
  <c r="BQ49" i="4" s="1"/>
  <c r="AC22" i="4"/>
  <c r="BQ22" i="4" s="1"/>
  <c r="AC58" i="4"/>
  <c r="BQ58" i="4" s="1"/>
  <c r="AC20" i="4"/>
  <c r="BQ20" i="4" s="1"/>
  <c r="AC38" i="4"/>
  <c r="BQ38" i="4" s="1"/>
  <c r="AC42" i="4"/>
  <c r="BQ42" i="4" s="1"/>
  <c r="AC40" i="4"/>
  <c r="BQ40" i="4" s="1"/>
  <c r="AQ20" i="3"/>
  <c r="AQ19" i="3"/>
  <c r="AP27" i="3"/>
  <c r="AP31" i="3"/>
  <c r="BH21" i="2" s="1"/>
  <c r="AP23" i="3"/>
  <c r="AP22" i="3"/>
  <c r="AP30" i="3"/>
  <c r="P33" i="3"/>
  <c r="AQ33" i="3" s="1"/>
  <c r="P32" i="3"/>
  <c r="AQ32" i="3" s="1"/>
  <c r="X18" i="3"/>
  <c r="AP35" i="3"/>
  <c r="BH23" i="2" s="1"/>
  <c r="P25" i="3"/>
  <c r="Q25" i="3"/>
  <c r="AR25" i="3" s="1"/>
  <c r="AC24" i="4"/>
  <c r="BQ24" i="4" s="1"/>
  <c r="AC41" i="4"/>
  <c r="BQ41" i="4" s="1"/>
  <c r="P23" i="3"/>
  <c r="AQ23" i="3" s="1"/>
  <c r="AC45" i="4"/>
  <c r="BQ45" i="4" s="1"/>
  <c r="AC43" i="4"/>
  <c r="BQ43" i="4" s="1"/>
  <c r="AC30" i="4"/>
  <c r="BQ30" i="4" s="1"/>
  <c r="P22" i="3"/>
  <c r="AQ22" i="3" s="1"/>
  <c r="P30" i="3"/>
  <c r="AQ30" i="3" s="1"/>
  <c r="AC55" i="4"/>
  <c r="BQ55" i="4" s="1"/>
  <c r="P31" i="3"/>
  <c r="AQ31" i="3" s="1"/>
  <c r="BI21" i="2" s="1"/>
  <c r="AP28" i="3"/>
  <c r="AC46" i="4"/>
  <c r="BQ46" i="4" s="1"/>
  <c r="P29" i="3"/>
  <c r="AQ29" i="3" s="1"/>
  <c r="AC35" i="4"/>
  <c r="BQ35" i="4" s="1"/>
  <c r="P35" i="3"/>
  <c r="AQ35" i="3" s="1"/>
  <c r="BI23" i="2" s="1"/>
  <c r="Y19" i="3"/>
  <c r="AZ19" i="3" s="1"/>
  <c r="O21" i="3"/>
  <c r="AP32" i="3"/>
  <c r="AP29" i="3"/>
  <c r="X19" i="3"/>
  <c r="AY19" i="3" s="1"/>
  <c r="Z18" i="3"/>
  <c r="AP33" i="3"/>
  <c r="P27" i="3"/>
  <c r="AQ27" i="3" s="1"/>
  <c r="AC23" i="4"/>
  <c r="BQ23" i="4" s="1"/>
  <c r="P28" i="3"/>
  <c r="AQ28" i="3" s="1"/>
  <c r="Q29" i="3"/>
  <c r="AR29" i="3" s="1"/>
  <c r="AP19" i="3"/>
  <c r="AP20" i="3"/>
  <c r="AP18" i="3"/>
  <c r="O36" i="3" l="1"/>
  <c r="AQ34" i="3"/>
  <c r="BI22" i="2" s="1"/>
  <c r="Q34" i="3"/>
  <c r="AR34" i="3" s="1"/>
  <c r="Z19" i="3"/>
  <c r="P24" i="3"/>
  <c r="AQ24" i="3" s="1"/>
  <c r="AC31" i="4"/>
  <c r="BQ31" i="4" s="1"/>
  <c r="Q26" i="3"/>
  <c r="AR26" i="3" s="1"/>
  <c r="Y20" i="3"/>
  <c r="AZ20" i="3" s="1"/>
  <c r="BR19" i="2" s="1"/>
  <c r="Z20" i="3"/>
  <c r="BH22" i="2"/>
  <c r="R35" i="3"/>
  <c r="AS35" i="3" s="1"/>
  <c r="BK23" i="2" s="1"/>
  <c r="Q35" i="3"/>
  <c r="AR35" i="3" s="1"/>
  <c r="BJ23" i="2" s="1"/>
  <c r="R30" i="3"/>
  <c r="AS30" i="3" s="1"/>
  <c r="Q30" i="3"/>
  <c r="AQ25" i="3"/>
  <c r="AQ18" i="3"/>
  <c r="BI18" i="2" s="1"/>
  <c r="R32" i="3"/>
  <c r="AS32" i="3" s="1"/>
  <c r="Q32" i="3"/>
  <c r="R28" i="3"/>
  <c r="AS28" i="3" s="1"/>
  <c r="Q28" i="3"/>
  <c r="AP21" i="3"/>
  <c r="BH19" i="2" s="1"/>
  <c r="R27" i="3"/>
  <c r="AS27" i="3" s="1"/>
  <c r="Q27" i="3"/>
  <c r="AR27" i="3" s="1"/>
  <c r="P21" i="3"/>
  <c r="AQ21" i="3" s="1"/>
  <c r="Q24" i="3"/>
  <c r="R22" i="3"/>
  <c r="AS22" i="3" s="1"/>
  <c r="Q22" i="3"/>
  <c r="AR22" i="3" s="1"/>
  <c r="Q33" i="3"/>
  <c r="AC19" i="4"/>
  <c r="BQ19" i="4" s="1"/>
  <c r="AC56" i="4"/>
  <c r="BQ56" i="4" s="1"/>
  <c r="R29" i="3"/>
  <c r="AC39" i="4"/>
  <c r="BQ39" i="4" s="1"/>
  <c r="AC18" i="4"/>
  <c r="BI20" i="2"/>
  <c r="Y18" i="3"/>
  <c r="R31" i="3"/>
  <c r="AS31" i="3" s="1"/>
  <c r="BK21" i="2" s="1"/>
  <c r="Q31" i="3"/>
  <c r="AR31" i="3" s="1"/>
  <c r="BJ21" i="2" s="1"/>
  <c r="R23" i="3"/>
  <c r="AS23" i="3" s="1"/>
  <c r="Q23" i="3"/>
  <c r="AY18" i="3"/>
  <c r="BQ18" i="2" s="1"/>
  <c r="BH20" i="2"/>
  <c r="BH18" i="2"/>
  <c r="R34" i="3" l="1"/>
  <c r="AS34" i="3" s="1"/>
  <c r="AC54" i="4"/>
  <c r="BQ54" i="4" s="1"/>
  <c r="R25" i="3"/>
  <c r="R26" i="3"/>
  <c r="AS26" i="3" s="1"/>
  <c r="AC32" i="4"/>
  <c r="BQ32" i="4" s="1"/>
  <c r="AC44" i="4"/>
  <c r="BQ44" i="4" s="1"/>
  <c r="BI19" i="2"/>
  <c r="AC50" i="4"/>
  <c r="BQ50" i="4" s="1"/>
  <c r="BS23" i="2"/>
  <c r="CG23" i="2" s="1"/>
  <c r="BS21" i="2"/>
  <c r="CG21" i="2" s="1"/>
  <c r="BQ18" i="4"/>
  <c r="AC36" i="4"/>
  <c r="BQ36" i="4" s="1"/>
  <c r="R33" i="3"/>
  <c r="AS33" i="3" s="1"/>
  <c r="AC53" i="4"/>
  <c r="R21" i="3"/>
  <c r="Q21" i="3"/>
  <c r="AS29" i="3"/>
  <c r="BK20" i="2" s="1"/>
  <c r="Z29" i="3"/>
  <c r="AN29" i="3" s="1"/>
  <c r="AC47" i="4"/>
  <c r="BQ47" i="4" s="1"/>
  <c r="AZ18" i="3"/>
  <c r="BR18" i="2" s="1"/>
  <c r="BS18" i="2" s="1"/>
  <c r="Z31" i="3"/>
  <c r="AN31" i="3" s="1"/>
  <c r="AC27" i="4"/>
  <c r="BQ27" i="4" s="1"/>
  <c r="AR32" i="3"/>
  <c r="Z32" i="3"/>
  <c r="AN32" i="3" s="1"/>
  <c r="P36" i="3"/>
  <c r="Z27" i="3"/>
  <c r="AN27" i="3" s="1"/>
  <c r="AR30" i="3"/>
  <c r="Z30" i="3"/>
  <c r="AN30" i="3" s="1"/>
  <c r="AC33" i="4"/>
  <c r="BQ33" i="4" s="1"/>
  <c r="AR23" i="3"/>
  <c r="Z23" i="3"/>
  <c r="AN23" i="3" s="1"/>
  <c r="AR33" i="3"/>
  <c r="AR24" i="3"/>
  <c r="Z35" i="3"/>
  <c r="AN35" i="3" s="1"/>
  <c r="AC28" i="4"/>
  <c r="BQ28" i="4" s="1"/>
  <c r="Z22" i="3"/>
  <c r="AN22" i="3" s="1"/>
  <c r="AC29" i="4"/>
  <c r="BQ29" i="4" s="1"/>
  <c r="AR28" i="3"/>
  <c r="Z28" i="3"/>
  <c r="AN28" i="3" s="1"/>
  <c r="BQ53" i="4" l="1"/>
  <c r="AK18" i="3"/>
  <c r="BK18" i="3" s="1"/>
  <c r="CD18" i="2" s="1"/>
  <c r="BK22" i="2"/>
  <c r="Z34" i="3"/>
  <c r="AN34" i="3" s="1"/>
  <c r="R24" i="3"/>
  <c r="V36" i="3" s="1"/>
  <c r="AS25" i="3"/>
  <c r="Z25" i="3"/>
  <c r="AN25" i="3" s="1"/>
  <c r="Z33" i="3"/>
  <c r="AN33" i="3" s="1"/>
  <c r="Z26" i="3"/>
  <c r="AN26" i="3" s="1"/>
  <c r="AA18" i="3"/>
  <c r="BA18" i="3" s="1"/>
  <c r="BJ20" i="2"/>
  <c r="BS20" i="2" s="1"/>
  <c r="CG20" i="2" s="1"/>
  <c r="AA19" i="3"/>
  <c r="BA19" i="3" s="1"/>
  <c r="AA20" i="3"/>
  <c r="BA20" i="3" s="1"/>
  <c r="BT19" i="2" s="1"/>
  <c r="AR21" i="3"/>
  <c r="BJ19" i="2" s="1"/>
  <c r="Q36" i="3"/>
  <c r="Z21" i="3"/>
  <c r="AN21" i="3" s="1"/>
  <c r="BJ22" i="2"/>
  <c r="AS21" i="3"/>
  <c r="Y36" i="3" l="1"/>
  <c r="X36" i="3"/>
  <c r="W36" i="3"/>
  <c r="Z36" i="3"/>
  <c r="U36" i="3"/>
  <c r="T36" i="3"/>
  <c r="S36" i="3"/>
  <c r="AC59" i="4"/>
  <c r="R36" i="3"/>
  <c r="BS22" i="2"/>
  <c r="CG22" i="2" s="1"/>
  <c r="AI19" i="3"/>
  <c r="BI19" i="3" s="1"/>
  <c r="AS24" i="3"/>
  <c r="BK19" i="2" s="1"/>
  <c r="BS19" i="2" s="1"/>
  <c r="Z24" i="3"/>
  <c r="AN24" i="3" s="1"/>
  <c r="AI18" i="3"/>
  <c r="BI18" i="3" s="1"/>
  <c r="AI20" i="3"/>
  <c r="BI20" i="3" s="1"/>
  <c r="CB19" i="2" s="1"/>
  <c r="CF19" i="2" s="1"/>
  <c r="BT18" i="2"/>
  <c r="CB18" i="2" l="1"/>
  <c r="CF18" i="2" s="1"/>
  <c r="CG18" i="2" s="1"/>
  <c r="AM19" i="3"/>
  <c r="AN19" i="3" s="1"/>
  <c r="AM18" i="3"/>
  <c r="AN18" i="3" s="1"/>
  <c r="AM20" i="3"/>
  <c r="AN20" i="3" s="1"/>
  <c r="CG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tc={B6D490A0-6418-415A-9E6D-82C4333E178B}</author>
  </authors>
  <commentList>
    <comment ref="K26" authorId="0" shapeId="0" xr:uid="{00000000-0006-0000-0C00-000001000000}">
      <text>
        <r>
          <rPr>
            <sz val="11"/>
            <color theme="1"/>
            <rFont val="Comic Sans MS"/>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MODIFICAR TAREA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Felipe Garavito</author>
    <author>Claudia Milena Garcés</author>
  </authors>
  <commentList>
    <comment ref="P17" authorId="0" shapeId="0" xr:uid="{00000000-0006-0000-0F00-000001000000}">
      <text>
        <r>
          <rPr>
            <b/>
            <sz val="9"/>
            <color indexed="81"/>
            <rFont val="Tahoma"/>
            <family val="2"/>
          </rPr>
          <t>Felipe Garavito:</t>
        </r>
        <r>
          <rPr>
            <sz val="9"/>
            <color indexed="81"/>
            <rFont val="Tahoma"/>
            <family val="2"/>
          </rPr>
          <t xml:space="preserve">
NUEVO
* Móvil
* Virtual
* Física
* Nivel central</t>
        </r>
      </text>
    </comment>
    <comment ref="D413" authorId="1" shapeId="0" xr:uid="{00000000-0006-0000-0F00-000002000000}">
      <text>
        <r>
          <rPr>
            <b/>
            <sz val="9"/>
            <color rgb="FF000000"/>
            <rFont val="Tahoma"/>
            <family val="2"/>
          </rPr>
          <t>Claudia Milena Garcés:</t>
        </r>
        <r>
          <rPr>
            <sz val="9"/>
            <color rgb="FF000000"/>
            <rFont val="Tahoma"/>
            <family val="2"/>
          </rPr>
          <t xml:space="preserve">
</t>
        </r>
        <r>
          <rPr>
            <sz val="9"/>
            <color rgb="FF000000"/>
            <rFont val="Tahoma"/>
            <family val="2"/>
          </rPr>
          <t>CODIGO DE PREDIO PARA ESTE JARDÍN LUEGO DE LA ENTREGA DEL N UEVO PREDIO ES 98</t>
        </r>
      </text>
    </comment>
  </commentList>
</comments>
</file>

<file path=xl/sharedStrings.xml><?xml version="1.0" encoding="utf-8"?>
<sst xmlns="http://schemas.openxmlformats.org/spreadsheetml/2006/main" count="16226" uniqueCount="3886">
  <si>
    <t>LLAVEPDD</t>
  </si>
  <si>
    <t>LLAVE</t>
  </si>
  <si>
    <t>PROYECTO</t>
  </si>
  <si>
    <t>META</t>
  </si>
  <si>
    <t>METAPDD</t>
  </si>
  <si>
    <t>Suma de APROPIACION</t>
  </si>
  <si>
    <t>Suma de CRP</t>
  </si>
  <si>
    <t>Suma de PAGOS_ACUM</t>
  </si>
  <si>
    <t>vigencia</t>
  </si>
  <si>
    <t>SUCURSAL</t>
  </si>
  <si>
    <t>META PROYECTO</t>
  </si>
  <si>
    <t>Suma de VALOR_INICIAL</t>
  </si>
  <si>
    <t>Suma de TOTAL LIBERACIONES</t>
  </si>
  <si>
    <t>RESERVAS DEFINITIVAS</t>
  </si>
  <si>
    <t>GIROS RESERVAS</t>
  </si>
  <si>
    <t>VIGENCIA</t>
  </si>
  <si>
    <t>LLAVEMGA</t>
  </si>
  <si>
    <t>LLAVEMETAPDD</t>
  </si>
  <si>
    <t>LLAVEMETAPROY</t>
  </si>
  <si>
    <t>Código proyecto (ID Proyecto)</t>
  </si>
  <si>
    <t>Código BPIN</t>
  </si>
  <si>
    <t>Nombre proyecto de inversión</t>
  </si>
  <si>
    <t>Propósito</t>
  </si>
  <si>
    <t>Logro de ciudad</t>
  </si>
  <si>
    <t>Programa Estratégico</t>
  </si>
  <si>
    <t>Programa</t>
  </si>
  <si>
    <t>Objetivo General</t>
  </si>
  <si>
    <t>Código Objetivo específico</t>
  </si>
  <si>
    <t>Objetivo específicos</t>
  </si>
  <si>
    <t>Dependencia</t>
  </si>
  <si>
    <t>No Meta proyecto</t>
  </si>
  <si>
    <t>Descripción meta proyecto de inversión</t>
  </si>
  <si>
    <t>Tipo de meta</t>
  </si>
  <si>
    <t>No Meta sectorial</t>
  </si>
  <si>
    <t>Meta Sectorial</t>
  </si>
  <si>
    <t>Nombre indicador propósito</t>
  </si>
  <si>
    <t>Tipo Indicador</t>
  </si>
  <si>
    <t>Código producto MGA</t>
  </si>
  <si>
    <t>Nombre Producto MGA</t>
  </si>
  <si>
    <t>Indicador de producto</t>
  </si>
  <si>
    <t>Unidad de medida del producto</t>
  </si>
  <si>
    <t>ODS primario</t>
  </si>
  <si>
    <t>Código ODS</t>
  </si>
  <si>
    <t>Mejoramiento de la capacidad de respuesta institucional de las Comisarías de Familia en Bogotá</t>
  </si>
  <si>
    <t>Inspirar confianza y legitimidad para vivir sin miedo y ser epicentro de cultura ciudadana, paz y reconciliación</t>
  </si>
  <si>
    <t>Reducir la aceptación cultural e institucional del machismo y las violencias contra las mujeres, y garantizar el acceso efectivo a la justicia</t>
  </si>
  <si>
    <t xml:space="preserve">Seguridad, convivencia y justicia </t>
  </si>
  <si>
    <t>Plataforma institucional para la seguridad y justicia</t>
  </si>
  <si>
    <t>Mejorar la capacidad de respuesta de las Comisarías de Familia para el acceso a la justicia y la protección de derechos de las víctimas de violencia intrafamiliar</t>
  </si>
  <si>
    <t>Gestionar la reestructuración organizativa, la arquitectura institucional y la infraestructura física de las Comisarías de Familia, para responder efectivamente a sus competencias</t>
  </si>
  <si>
    <t>Subdirección para la Familia</t>
  </si>
  <si>
    <t>Implementar un plan de acción para el fortalecimiento de las Comisarias de Familia en la atención integral para el acceso a la justicia y la garantía de derechos frente a la violencia intrafamiliar</t>
  </si>
  <si>
    <t>Creciente</t>
  </si>
  <si>
    <t>Fortalecer el 100% de las Comisarías de Familia en su estructura organizacional y su capacidad operativa humana y tecnológica para garantizar a las víctimas de violencia intrafamiliar el oportuno acceso a la justicia y la garantía integral de sus derechos</t>
  </si>
  <si>
    <t>% de Comisarías de Familia fortalecidas</t>
  </si>
  <si>
    <t>Documentos de lineamientos técnicos</t>
  </si>
  <si>
    <t>Número de documentos</t>
  </si>
  <si>
    <t>Número</t>
  </si>
  <si>
    <t>16. Paz, justicia e instituciones sólidas</t>
  </si>
  <si>
    <t>Promover procesos de coordinación y articulación intrainstitucional, orientados a la mejor prestación del servicio de acceso a la justicia y articulación interinstitucional e intersectorial, para el cumplimiento de las órdenes adoptadas dentro de las acciones de protección en favor de las víctimas de violencia intrafamiliar</t>
  </si>
  <si>
    <t>Atender oportunamente el 100% de las víctimas de violencia intrafamiliar</t>
  </si>
  <si>
    <t>Documentos metodológicos</t>
  </si>
  <si>
    <t>Suministro de espacios adecuados, inclusivos y seguros para el desarrollo social integral en Bogotá</t>
  </si>
  <si>
    <t>Hacer un nuevo contrato social con igualdad de oportunidades para la inclusión social, productiva y política</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</si>
  <si>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</si>
  <si>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Sistema Distrital de cuidado</t>
  </si>
  <si>
    <t>Sistema Distrital del Cuidado</t>
  </si>
  <si>
    <t>Suministrar infraestructura social incluyente con estándares de calidad para garantizar la prestación de los servicios sociales en condiciones adecuadas y seguras</t>
  </si>
  <si>
    <t xml:space="preserve">Construir infraestructura social que garantice una adecuada prestación de los servicios sociales </t>
  </si>
  <si>
    <t>Subdirección de Plantas Físicas</t>
  </si>
  <si>
    <t xml:space="preserve">Construir 3 centros día para la atención al adulto mayor que cumplan con la normatividad vigente </t>
  </si>
  <si>
    <t>Suma</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</si>
  <si>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</si>
  <si>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Porcentaje de unidades operativas optimizadas</t>
  </si>
  <si>
    <t>Sedes construídas</t>
  </si>
  <si>
    <t>9. Industria, innovación e infraestructura</t>
  </si>
  <si>
    <t>Construir 1 Centro de Protección para Adulto Mayor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</si>
  <si>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</si>
  <si>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</si>
  <si>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Optimización de la infraestructura social administrada por la Secretaria Distrital de Integración Social garantizando espacios adecuados y seguros para la prestación oportuna y pertinente de los programas sociales</t>
  </si>
  <si>
    <t>Reforzar y/o restituir 6 equipamientos administrados por la SDIS para la prestación de los servicios sociales</t>
  </si>
  <si>
    <t xml:space="preserve">Sedes con reforzamiento estructural </t>
  </si>
  <si>
    <t>Adecuar el 100% de los equipamientos solicitados para atención transitoria o permanente con ocasión a situaciones de impacto poblacional debido a emergencias sanitarias o sociales</t>
  </si>
  <si>
    <t>Constante</t>
  </si>
  <si>
    <t>Sedes adecuadas</t>
  </si>
  <si>
    <t>Realizar las intervenciones de mantenimiento a la infraestructura de la SDIS, en cumplimiento de la normatividad vigente</t>
  </si>
  <si>
    <t xml:space="preserve">Realizar mantenimiento al 60% de los equipamientos de SDIS </t>
  </si>
  <si>
    <t>Sedes Mantenidas</t>
  </si>
  <si>
    <t>Gestionar la consecución y contratación de infraestructura adecuada para la prestación de los servicios sociales, en cumplimiento de la misionalidad de la SDIS</t>
  </si>
  <si>
    <t xml:space="preserve">Atender el 100% de solicitudes de viabilidades de equipamientos para garantizar infraestructura en condiciones adecuadas y seguras </t>
  </si>
  <si>
    <t>Realizar las acciones necesarias a los equipamientos sociales que permitan gestionar el saneamiento jurídico y urbanístico.</t>
  </si>
  <si>
    <t>Realizar a 10  predios administrados por la SDIS,  el saneamiento jurídico y urbanístico</t>
  </si>
  <si>
    <t>Sedes adquiridas</t>
  </si>
  <si>
    <t>Avanzar en el 100% de etapa de preconstrucción para el reforzamiento estructural y/o restitución de equipamientos administrados por la SDIS</t>
  </si>
  <si>
    <t>Avanzar en el 100% en la etapa de Preconstrucción para Centros de Protección para población Vulnerable</t>
  </si>
  <si>
    <t>Servicio de atención a la población proveniente de flujos migratorios mixtos en Bogotá</t>
  </si>
  <si>
    <t>Prevención de la exclusión por razones étnicas, religiosas, sociales, políticas y de orientación sexual</t>
  </si>
  <si>
    <t>Aportar a la integración socioeconómica y/o cultural de la población migrante-refugiada-retornada a partir de la oferta de servicios sociales integrales  y la referenciación a rutas de atención efectivas en las 20 localidades de Bogotá</t>
  </si>
  <si>
    <t xml:space="preserve">Ampliar y transformar la oferta de servicios sociales en las 20 localidades de Bogotá para la población migrante - retornada - refugiada. </t>
  </si>
  <si>
    <t>Subdirección para la Identificación, Caracterización e Integación</t>
  </si>
  <si>
    <t xml:space="preserve">Implementar  un (1) modelo itinerante e intersectorial distrital con la vinculación de agentes comunitarios de la población proveniente de flujos migratorios mixtos, que permita la ampliación de servicios integrales a dicha población </t>
  </si>
  <si>
    <t>Atender en las 20 localidades del distrito a la población en flujos migratorios mixtos y retornados que solicitan la oferta de servicios de la SDIS</t>
  </si>
  <si>
    <t>Número de personas en flujos migratorios mixtos y retornados atendidas en las 20 localidades del distrito</t>
  </si>
  <si>
    <t>Servicio de monitoreo y seguimiento a las intervenciones implementadas para la inclusión social y productiva de la población en situación de vulnerabilidad</t>
  </si>
  <si>
    <t>Informes de monitoreo y seguimiento elaborados</t>
  </si>
  <si>
    <t xml:space="preserve">10. Reducción de las desigualdades </t>
  </si>
  <si>
    <t>Promover la articulación interinstitucional y las alianzas estratégicas, para la atención integral a la población proveniente de flujos migratorios mixtos.</t>
  </si>
  <si>
    <t>Promover 16 alianzas estratégicas para generar medios de vida, procesos de participación y de fortalecimiento dirigidos a la población de flujos migratorios mixtos</t>
  </si>
  <si>
    <t>Servicio de asistencia técnica a las entidades territoriales en la formulación de sus marcos de lucha contra la pobreza</t>
  </si>
  <si>
    <t>Entidades territoriales asistidas técnicamente</t>
  </si>
  <si>
    <t xml:space="preserve"> Implementar acciones para la integración socio-económica, cultural y comunitaria de la población proveniente de flujos migratorios mixtos, a partir de los servicios de la Secretaría Distrital de Integración Social. </t>
  </si>
  <si>
    <t>Beneficiar a 51369 personas de flujos migratorios mixtos  mediante estabilización e inclusión socioeconómica y cultural</t>
  </si>
  <si>
    <t>Servicio de gestión de oferta social para la población vulnerable</t>
  </si>
  <si>
    <t>Beneficiarios potenciales para quienes se gestiona la oferta social</t>
  </si>
  <si>
    <t>Fortalecimiento institucional para una gestión pública efectiva y transparente en la ciudad de Bogotá</t>
  </si>
  <si>
    <t>Construir Bogotá Región con gobierno abierto, transparente y ciudadanía consciente</t>
  </si>
  <si>
    <t>Incrementar la efectividad de la gestión pública distrital y local</t>
  </si>
  <si>
    <t xml:space="preserve">Gestión pública efectiva, abierta y transparente </t>
  </si>
  <si>
    <t>Gestión Pública Efectiva</t>
  </si>
  <si>
    <t>Fortalecer la capacidad institucional para dar respuesta a las demandas ciudadanas en cumplimiento de las políticas públicas de atención a la ciudadanía y transparencia en el marco de la misionalidad de la Secretaría Distrital de Integración Social</t>
  </si>
  <si>
    <t>Ampliar el seguimiento y la verificación de los criterios de calidad en las instituciones públicas y privadas que prestan servicios sociales en el marco de la misionalidad de la Entidad</t>
  </si>
  <si>
    <t>Subsecretaria</t>
  </si>
  <si>
    <t>Aumentar el 43% la inspección y vigilancia en los servicios y programas prestados por la Secretaria Distrital de Integración Social que cuentan con estándares de calidad</t>
  </si>
  <si>
    <t>Aumentar en un 43% la inspección y vigilancia en los servicios y programas prestados por la Secretaría Distrital de Integración Social que cuentan con estándares de calidad</t>
  </si>
  <si>
    <t xml:space="preserve">Porcentaje de servicios sociales con inspección y vigilancia  </t>
  </si>
  <si>
    <t>Documentos de inspección y vigilancia</t>
  </si>
  <si>
    <t>Informes de la gestión de la inspección, vigilancia y control</t>
  </si>
  <si>
    <t>Fortalecer el acceso a la información pública y mecanismos de transparencia para la ciudadanía, y servidores
y servidoras</t>
  </si>
  <si>
    <t>Gestionar el 100% de las peticiones ciudadanas allegadas a través de los canales de interacción dispuestos por la SDIS</t>
  </si>
  <si>
    <t>Aumentar 5 puntos en la calificación del índice distrital de servicio a la ciudadanía, de la Secretaria Distrital de Integración Social</t>
  </si>
  <si>
    <t>Índice distrital de servicios a la ciudadanía</t>
  </si>
  <si>
    <t>Documentos de seguimiento</t>
  </si>
  <si>
    <t>Documentos de seguimiento elaborados</t>
  </si>
  <si>
    <t>Implementar el 100% de las acciones del plan de acción de la Política Pública de Transparencia de la Secretaría Distrital de Integración Social</t>
  </si>
  <si>
    <t>Fortalecer la información que aporta la Secretaria como líder de las políticas públicas sociales a los grupos de
interés</t>
  </si>
  <si>
    <t>Realizar el análisis de la gestión al 100% de las políticas públicas que lidera la SDIS</t>
  </si>
  <si>
    <t>Documentos de lineamientos técnicos elaborados</t>
  </si>
  <si>
    <t>Fortalecimiento de los procesos territoriales y la construcción de respuestas integradoras e innovadoras en los territorios de Bogotá - Región</t>
  </si>
  <si>
    <t>Gestión Pública Local</t>
  </si>
  <si>
    <t>Fortalecer la gestión local, institucional y comunitaria para brindar respuestas integradoras en los territorios, involucrando la participación incidente de redes y organizaciones sociales, e innovando en las interacciones de la Bogotá - Región.</t>
  </si>
  <si>
    <t>Diseñar e implementar  la estrategia territorial integral social ETIS para la gestión del territorio con el  involucramiento de actores institucionales, sociales, poblacionales, sectores sociales y comunitarios.</t>
  </si>
  <si>
    <t>Subdirección para la Gestión Integral Local</t>
  </si>
  <si>
    <t>Diseñar e implementar Una (1) estratégia territorial integral social -ETIS - , para la gestión del territorio con el  involucramiento de sus actores institucionales, sociales y comunitarios</t>
  </si>
  <si>
    <t xml:space="preserve">Fortalecer procesos territoriales en las 20 localidades, a partir de la Estrategia Territorial Social - ETIS, vinculando instancias de participación local, formas organizativas  solidarias  y comunitarias de la ciudadanía </t>
  </si>
  <si>
    <t>Número de localidades fortalecidas en procesos territoriales</t>
  </si>
  <si>
    <t>Documento de lineamientos técnicos</t>
  </si>
  <si>
    <t>17. Alianzas para Lograr los Objetivos</t>
  </si>
  <si>
    <t>Fortalecer procesos sociales territoriales en las comunidades, en sus capacidades organizativas, técnicas y materiales para el agenciamiento social, su participación, interlocución, interacción e incidencia en los asuntos locales.</t>
  </si>
  <si>
    <t>Fortalecer  técnica y/o financieramente 100 procesos territoriales y organizaciones sociales</t>
  </si>
  <si>
    <t>Servicio de asistencia técnica para el emprendimiento</t>
  </si>
  <si>
    <t>Proyectos productivos formulados</t>
  </si>
  <si>
    <t>Promover acciones transectoriales de innovación social como respuestas integradoras a las necesidades emergentes de los territorios de Bogotá y de ésta con la Región Central.</t>
  </si>
  <si>
    <t>Diseñar e implementar Una (1) estratégia de innovación social</t>
  </si>
  <si>
    <t xml:space="preserve"> Implementar (1) una estrategia de innovación social que permita la construcción de acciones transectoriales para aprender y responder a las necesidades emergentes de los territorios de Bogotá y de ésta con la Región Central</t>
  </si>
  <si>
    <t>Nivel de avance de la estrategia de innovación social</t>
  </si>
  <si>
    <t>Documentos de investigación</t>
  </si>
  <si>
    <t>Documentos de investigación realizados</t>
  </si>
  <si>
    <t>Generar mejores condiciones para el acceso al desarrollo de capacidades institucionales, individuales y colectivas y la generación de oportunidades, que respondan a las realidades poblacionales y territoriales de la Bogotá Región.</t>
  </si>
  <si>
    <t>Realizar 280000 atenciones a personas por medio del servicio social Centros de Desarrollo de Comunitario</t>
  </si>
  <si>
    <t>Servicio de asistencia en temas de desarrollo de habilidades no cognitivas para la inclusión productiva</t>
  </si>
  <si>
    <t xml:space="preserve">Personas asistidas en temas  de desarrollo de habilidades no cognitivas </t>
  </si>
  <si>
    <t>Asistir 20 Alcaldías Locales en los procesos de formulación, implementación y seguimiento de los proyectos de inversión - Fondos de Desarrollo Local-</t>
  </si>
  <si>
    <t>Generación JÓVENES CON DERECHOS en Bogotá</t>
  </si>
  <si>
    <t xml:space="preserve">Disminuir el porcentaje de jóvenes que ni estudian ni trabajan con énfasis en jóvenes de bajos ingresos y vulnerables </t>
  </si>
  <si>
    <t>Oportunidades de educación, salud y cultura para mujeres, jóvenes, niños, niñas y adolescentes</t>
  </si>
  <si>
    <t>Jóvenes con capacidades: Proyecto de vida para la ciudadanía, la innovación y el trabajo del siglo XXI</t>
  </si>
  <si>
    <t>Ampliar las oportunidades de inclusión social, con especial atención en los y las jóvenes que se encuentran en riesgo social, vulnerabilidad y pobreza manifiesta</t>
  </si>
  <si>
    <t>Promover espacios de convivencia, participación y reconocimiento de los derechos e identidades juveniles</t>
  </si>
  <si>
    <t>Subdirección para la Juventud</t>
  </si>
  <si>
    <t>Coordinar 1 implementación en el distrito de  la Política Pública de Juventud y el funcionamiento del Sistema Distrital de Juventud</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</si>
  <si>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</si>
  <si>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Porcentaje de Jóvenes atendidos por la Secretaría de Integración Social</t>
  </si>
  <si>
    <t>Número de informes</t>
  </si>
  <si>
    <t>1. Fin de la Pobreza</t>
  </si>
  <si>
    <t>Diseñar e implementar  1 estrategia de comunicación y difusión de los servicios sociales dirigidos a la población joven</t>
  </si>
  <si>
    <t>Generar oportunidades de inclusión de los jóvenes en las dinámicas económicas y educativas de la ciudad</t>
  </si>
  <si>
    <t>Entregar a 27538 jóvenes transferencias monetarias condicionadas en el marco de la estrategia de oportunidades juveniles</t>
  </si>
  <si>
    <t>Implementar una estrategia de oportunidades juveniles, por medio de la entrega de transferencias monetarias condicionadas a 5900 jóvenes con alto grado de vulnerabilidad</t>
  </si>
  <si>
    <t>Número de Jóvenes beneficiados con Transferencias Monetarias condicionadas</t>
  </si>
  <si>
    <t>Servicio de apoyo financiero para la entrega de transferencias monetarias condicionadas</t>
  </si>
  <si>
    <t>Personas beneficiadas con transferencias monetarias condicionadas</t>
  </si>
  <si>
    <t>Ampliar la cobertura de los servicios sociales dirigidos a la población juvenil</t>
  </si>
  <si>
    <t>Incrementar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</si>
  <si>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Número de beneficiarios</t>
  </si>
  <si>
    <t>Atender 100% a jóvenes y adolescentes con sanciones no privativas de la libertad que requieren el apoyo para el restablecimiento de sus derechos a través de centros forjar</t>
  </si>
  <si>
    <t xml:space="preserve">Atender 2400 adolescentes y jóvenes con sanciones no privativas de la libertad o en apoyo al restablecimiento en administración de justicia en los Centros Forjar, con oportunidades que favorezcan sus proyectos de vida e inclusión social </t>
  </si>
  <si>
    <t xml:space="preserve">Número de jóvenes atendidos con sanciones no privativas de la libertad o en apoyo al restablecimiento de derechos en administración de justicia en los Centros Forjar </t>
  </si>
  <si>
    <t>Fortalecimiento de la gestión de la información y el conocimiento con enfoque participativo y territorial de la Secretaria Distrital de Integración Social en Bogotá</t>
  </si>
  <si>
    <t>Posicionar al Gobierno Abierto de Bogotá-GABO como una nueva forma de gobernanza que reduce el riesgo de corrupción e incrementa el control ciudadano del gobierno.</t>
  </si>
  <si>
    <t>Gobierno Abierto</t>
  </si>
  <si>
    <t>Fortalecer la capacidad Institucional para la gestión oportuna de la información y el conocimiento, que permita la toma de decisiones para una intervención pública acertada, que promueva la participación de la ciudadanía.</t>
  </si>
  <si>
    <t>Subdirección de Diseño, Evalución y Sistematización - Subdirección de Investigación e Información - Oficina Asesora de Comunicaciones</t>
  </si>
  <si>
    <t>Modernizar y mantener el 100% de la Infraestructura tecnológica de la Entidad para garantizar la operación de la Secretaría</t>
  </si>
  <si>
    <t>Diseñar e implementar una solución tecnológica que facilite la participación de la ciudadanía en la gestión y oferta institucional</t>
  </si>
  <si>
    <t>Nivel de avance de la solución tecnologica</t>
  </si>
  <si>
    <t>Servicios tecnológicos</t>
  </si>
  <si>
    <t>Índice de capacidad en la prestación de servicios de tecnología</t>
  </si>
  <si>
    <t>Porcentaje</t>
  </si>
  <si>
    <t>Actualizar y mantener el 100% de los sistemas de información de la entidad para contar con información accesible, confiable y oportuna</t>
  </si>
  <si>
    <t>Servicios de información implementados</t>
  </si>
  <si>
    <t>Sistemas de información implementados</t>
  </si>
  <si>
    <t>Construir 1 estrategia de gestión del conocimiento y la información</t>
  </si>
  <si>
    <t>Diseñar e implementar una estrategia de focalización ajustada a las realidades poblacionales y territoriales en el marco de la Estrategia Territorial Integral Social - ETIS</t>
  </si>
  <si>
    <t>Nivel de avance  de la estrategia de focalización</t>
  </si>
  <si>
    <t>Documentos de investigación elaborados</t>
  </si>
  <si>
    <t>Formular e implementar 1 estrategia de focalización en el marco de la Estrategia Territorial Integral Social - ETIS</t>
  </si>
  <si>
    <t>Documentos de lineamientos técnicos realizados</t>
  </si>
  <si>
    <t>Asesorar técnicamente al 100% de las áreas  en la formulación y seguimiento de las políticas públicas, planes, programas, proyectos y gasto público</t>
  </si>
  <si>
    <t>Servicio de asistencia técnica</t>
  </si>
  <si>
    <t>Entidades, organismos y dependencias asistidos técnicamente</t>
  </si>
  <si>
    <t>Cumplir el 100% del programa implementación y sostenibilidad del sistema de gestión de la Secretaría Distrital de Integración Social</t>
  </si>
  <si>
    <t>Servicio de implementación de sistemas de gestión</t>
  </si>
  <si>
    <t>Sistema de gestión implementado</t>
  </si>
  <si>
    <t>Formular o actualizar 9 estándares de calidad de los servicios sociales de la Entidad</t>
  </si>
  <si>
    <t>Implementar el 100% de la política de comunicacion institucional</t>
  </si>
  <si>
    <t>Documentos metodológicos realizados</t>
  </si>
  <si>
    <t>Generación de Oportunidades para el Desarrollo Integral de la Niñez y la Adolescencia de Bogotá</t>
  </si>
  <si>
    <t>Contribuir a la atención integral de niñas, niños y adolescentes con enfoque diferencial y de género de Bogotá, generando oportunidades y condiciones de acceso flexibles acorde con sus realidades territoriales, sociales, económicas y culturales</t>
  </si>
  <si>
    <t xml:space="preserve">Movilizar los diferentes sectores distritales, nacionales, actores sociales y políticos, y las familias, para generar la actualización de la política pública de infancia y adolescencia con enfoque diferencial y de género, acorde a las realidades territoriales, económicas y sociales de las niñas, niños y adolescentes, teniendo en cuenta los impactos de la emergencia social y sanitaria sobre esta población. 
</t>
  </si>
  <si>
    <t>Subdirección para la Infancia</t>
  </si>
  <si>
    <t>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</si>
  <si>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</si>
  <si>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Porcentaje de avance en la actualización, implementación y de seguimiento de la Política Pública de Infancia y Adolescencia.</t>
  </si>
  <si>
    <t>Generar con enfoque diferencial y de género  programas, servicios o estrategias con ambientes protectores y enriquecidos que promuevan el desarrollo integral y el goce efectivo de derechos de la primera infancia desde la gestación, en coherencia con los preceptos de la educación inicial, involucrando a las familias, la comunidad y las redes de apoyo.</t>
  </si>
  <si>
    <t>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</si>
  <si>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</si>
  <si>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 xml:space="preserve"> Número de niñas y niños atendidos en servicios de educación inicial de la SDIS (Incluye gestantes de acuerdo a la Ley 1804 de 2016) .</t>
  </si>
  <si>
    <t>Servicio de atención integral a la primera infancia</t>
  </si>
  <si>
    <t xml:space="preserve">Niños y niñas atendidos en Servicio integrales </t>
  </si>
  <si>
    <t xml:space="preserve">Atender a 18500 niñas niños y adolescentes con discapacidad, alteraciones en el desarrollo, restricciones médicas, pertenecientes a grupos étnicos y víctimas por el conflicto armado con enfoque diferencial y de género </t>
  </si>
  <si>
    <t>Consolidar 1 herramienta de medición de la atención integral a niñas, niños y adolescentes que permita la trazabilidad de la Ruta Integral de Atenciones desde la Gestación hasta la Adolescencia -RIAGA-</t>
  </si>
  <si>
    <t>Brindar una atención con enfoque diferencial y de género pertinente a niñas, niños y adolescentes que han estado o presentan riesgo de vulneraciones como el trabajo infantil o violencias sexuales incluyendo acciones para la población de grupos étnicos, víctimas y afectados por el conflicto armado y migrante vulnerable.</t>
  </si>
  <si>
    <t>Atender a 16800 niñas, niños y adolescentes del distrito en riesgo de trabajo infantil y violencias sexuales; y migrantes en riesgo de vulneración de sus derechos de manera flexible con enfoque diferencial y de género  </t>
  </si>
  <si>
    <t>Atender con enfoque diferencial y de manera flexible a 15000 niñas, niños y adolescentes del distrito en riesgo de trabajo infantil y violencias sexuales; y migrantes en riesgo de vulneración de sus derechos</t>
  </si>
  <si>
    <t>Número de niñas, niños y adolescentes atendidos en riesgo o situación de vulneración de derechos como trabajo infantil y violencia sexual, asi como población migrante.</t>
  </si>
  <si>
    <t>Servicios de educación informal a niños, niñas, adolescentes y jóvenes para el reconocimiento de sus derechos</t>
  </si>
  <si>
    <t>Personas capacitadas</t>
  </si>
  <si>
    <t>Construir con enfoque diferencial y de género procesos territoriales para la atención de las niñas, niños y adolescentes víctimas y afectados por el conflicto, contribuyendo a la memoria, la verdad, la convivencia y la reconciliación en el marco del acuerdo de paz.</t>
  </si>
  <si>
    <t>Atender a 8300 niñas niños y adolescentes  víctimas y afectados por el conflicto armado en el marco del acuerdo de paz, la memoria, la convivencia y la reconciliación con enfoque diferencial y de género</t>
  </si>
  <si>
    <t>Contribuir a la construcción de la memoria, la convivencia y la reconciliación en el marco del acuerdo de paz, a través de la atención de 8300 niños, niñas y adolescentes víctimas y afectados por el conflicto armado, desde un enfoque territorial</t>
  </si>
  <si>
    <t xml:space="preserve">Número de niños, niñas y adolescentes víctimas y afectados por el conflicto armado atendidos por la Estrategia Atrapasueños
</t>
  </si>
  <si>
    <t>Servicio dirigidos a la atención de niños, niñas, adolescentes y jóvenes, con enfoque pedagógico y restaurativo encaminados a la inclusión social</t>
  </si>
  <si>
    <t>Niños, niñas, adolescentes y jóvenes atendidios en los servicios de restablecimiento en la administración de justicia</t>
  </si>
  <si>
    <t>Compromiso por una alimentación integral en Bogotá</t>
  </si>
  <si>
    <t>Contribuir a la reducción del riesgo de inseguridad alimentaria de la población identificada por la Secretaría Distrital
de Integración Social, en los territorios de pobreza, vulnerabilidad y/o fragilidad social con apoyos alimentarios y
procesos de inclusión social_x000D_</t>
  </si>
  <si>
    <t>Beneficiar con apoyos alimentarios, económicos o en especie a la población en los territorios con pobreza, vulnerabilidad o fragilidad social identificados por la Secretaría Distrital de Integración Social.</t>
  </si>
  <si>
    <t>Subdirección de Nutrición - Subdirección de Abastecimiento</t>
  </si>
  <si>
    <t>Beneficiar a 4500 hogares mediante apoyos económicos</t>
  </si>
  <si>
    <t>Beneficiar a 4.500 familias en situación de pobreza, vulnerabilidad y/o fragilidad social a través de una estrategia de inclusión social y de apoyos económicos, dirigidos a garantizar el acceso y consumo de alimentos, que favorezcan hábitos de vida saludable.</t>
  </si>
  <si>
    <t>Número de familias en situación de pobreza, vulnerabilidad y/o fragilidad social beneficiadas a través de una estrategia de inclusión social y de apoyos económicos</t>
  </si>
  <si>
    <t>Servicio de apoyo financiero para la entrega de transferencias monetarias no condicionadas</t>
  </si>
  <si>
    <t>Familias beneficiadas con transferencias monetarias no condicionadas</t>
  </si>
  <si>
    <t>Beneficiar el 100% de personas programadas mediante raciones de comida caliente en comedores comunitarios</t>
  </si>
  <si>
    <t>Entregar el 100% de apoyos alimentarios a través de los comedores comunitarios en sus diferentes modalidades,  teniendo en cuenta las necesidades de los territorios y poblaciones</t>
  </si>
  <si>
    <t>Porcentaje de apoyos  alimentarios entregados a través de los comedores comunitarios en sus diferentes modalidades</t>
  </si>
  <si>
    <t>Servicio de entrega de raciones de alimentos</t>
  </si>
  <si>
    <t>Personas beneficiadas con raciones de alimentos</t>
  </si>
  <si>
    <t>2. Hambre cero</t>
  </si>
  <si>
    <t>Implementar 2 comedores móviles para la entrega de comida caliente</t>
  </si>
  <si>
    <t>Comedores comunitarios ampliados</t>
  </si>
  <si>
    <t>Beneficiar el 100% de personas programadas con la entrega de apoyos alimentarios mediante bonos canjeables por alimentos y apoyos en especie</t>
  </si>
  <si>
    <t>Entregar el 100% de los apoyos alimentarios requeridos por la población beneficiaria de los servicios sociales de integración social</t>
  </si>
  <si>
    <t xml:space="preserve">Porcentaje de apoyos alimentarios entregados a población beneficiaria de los servicios sociales </t>
  </si>
  <si>
    <t>Servicio de asistencia técnica para el autoconsumo de los hogares en situación de vulnerabilidad social</t>
  </si>
  <si>
    <t>Hogares asistidos técnicamente</t>
  </si>
  <si>
    <t>Entregar el 100% de kits alimentarios  humanitarios programados para atender necesidades poblacionales territoriales</t>
  </si>
  <si>
    <t>Suministrar el 100% de apoyos humanitarios, impulsando las compras locales y el consumo sostenible, teniendo en cuenta las necesidades territoriales y poblacionales diferenciales.</t>
  </si>
  <si>
    <t xml:space="preserve">Porcentaje de apoyos humanitarios suministrados por emergencia </t>
  </si>
  <si>
    <t>Entregar el 100% de ayudas humanitarias dirigidas a atender emergencias sociales</t>
  </si>
  <si>
    <t>Generar acciones de vigilancia nutricional y promoción estilos de vida saludable con énfasis en alimentación, nutrición actividad física, dirigidas a la población beneficiaria de apoyos alimentarios de la Secretaría Distrital de Integración Social.</t>
  </si>
  <si>
    <t xml:space="preserve">Fortalecer las capacidades de 1200 profesionales vinculados a la prestación de los servicios sociales de la Secretaría, en acciones de vigilancia nutricional </t>
  </si>
  <si>
    <t>Servicio de asistencia técnica para el mejoramiento de hábitos alimentarios</t>
  </si>
  <si>
    <t>Hogares asistidos técnicamente para el mejoramiento de hábitos alimenticios</t>
  </si>
  <si>
    <t>Orientar a 59000 personas frente a la promoción de estilos de vida saludable con énfasis alimentación, nutrición y actividad física</t>
  </si>
  <si>
    <t>Desarrollar procesos de inclusión social que involucren la económia solidaria, la agricultura urbana, la separación y disposición de residuos y la construcción de tejido social comunitario, dirigidos a la población beneficiaria de apoyos alimentarios de la Secretaría Distrital de Integración Social.</t>
  </si>
  <si>
    <t>Formular e implementar una estrategia de inclusión social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</si>
  <si>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</si>
  <si>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 xml:space="preserve">1 estrategia de inclusión social formulada e implementada  dirigida a los participantes de los servicios sociales con apoyo alimentario  </t>
  </si>
  <si>
    <t>Servicio de acompañamiento familiar y comunitario para la superación de la pobreza</t>
  </si>
  <si>
    <t>Hogares con acompañamiento familiar</t>
  </si>
  <si>
    <t>Implementar 1 estrategia de agricultura urbana orgánica, manejo, disposición y aprovechamiento de residuos sólidos para los servicios sociales de la Secretaría</t>
  </si>
  <si>
    <t>Implementar una estrategia de nutrición, alimentación y salud  basada en "1000 días de oportunidades para la vida” dirigida a las mujeres gestantes, en periodo de lactancia  y niños y niñas menores de 2 años participantes de los servicios sociales de la Secretaria Distrital de Integración Social.</t>
  </si>
  <si>
    <t>Beneficiar a 15000 mujeres gestantes, lactantes y niños menores de 2 años con un apoyo alimentario articulado a la  estrategia de nutrición, alimentación y salud  basada en "1000 días de oportunidades para la vida”</t>
  </si>
  <si>
    <t>Beneficiar a 15.000 mujeres gestantes, lactantes y niños menores de 2 años con servicios nutricionales, con énfasis en los mil días de oportunidades para la vida</t>
  </si>
  <si>
    <t>Número de mujeres gestantes, lactantes y niños menores de 2 años beneficiados con servicios nutricionales.</t>
  </si>
  <si>
    <t>Fortalecimiento de la gestión institucional y desarrollo integral del talento humano en Bogotá</t>
  </si>
  <si>
    <t>Fortalecer la capacidad técnica y operativa para la prestación y seguimiento de los servicios logisticos, de gestión documental, de gestión ambiental y la gestión y desarrollo integral del talento humano y sus condiciones de seguridad y salud en el trabajo</t>
  </si>
  <si>
    <t xml:space="preserve">Fortalecer lo recursos físicos, técnicos y tecnológicos para la prestación y seguimiento de los servicios logisticos </t>
  </si>
  <si>
    <t>Subdirección Adminsitrativa y Financiera - Subdirección de Gestión y Desarrollo del Talento Humano</t>
  </si>
  <si>
    <t>Implementar el 100 por ciento de las soluciones en materia de servicios logísticos para la atención eficiente y oportuna de las necesidades operativas de la Entidad</t>
  </si>
  <si>
    <t>Garantizar la eficiencia y la eficacia ambiental, logística, operativa y de gestión documental de la entidad, para la oportuna prestación de los servicios sociales incluyendo componentes que demanden la reformulación de los programas</t>
  </si>
  <si>
    <t>Porcentaje de unidades operativas con servicios logísticos, operativos, de gestión ambiental y documental</t>
  </si>
  <si>
    <t>Documentos de planeación</t>
  </si>
  <si>
    <t xml:space="preserve"> Documentos de planeación realizados</t>
  </si>
  <si>
    <t xml:space="preserve">Promover la apropiación, difusión y conservación de la memoria institucional de la entidad </t>
  </si>
  <si>
    <t>Implementar el 48 por ciento del Sistema Interno de Gestión Documental y Archivo</t>
  </si>
  <si>
    <t>Servicio de Gestión Documental</t>
  </si>
  <si>
    <t>Sistema de gestión documental implementado</t>
  </si>
  <si>
    <t xml:space="preserve">Promover buenas prácticas ambientales en los funcionarios de la entidad y en los usuarios de los servicios sociales </t>
  </si>
  <si>
    <t>Gestionar la implementación del 100 por ciento de los lineamientos Ambientales en las Unidades Operativas activas de la Entidad</t>
  </si>
  <si>
    <t>Fortalecer la gestión institucional a través de un recurso humano suficiente, idóneo y competente, acorde
a las necesidades de la Entidad</t>
  </si>
  <si>
    <t>Contar con el 100 por ciento del Recurso Humano acorde a las necesidades de la Entidad</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</si>
  <si>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</si>
  <si>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Porcentaje de implementación del plan de acción de la política pública de gestión integral del talento humano</t>
  </si>
  <si>
    <t>Servicio de Apoyo Financiero para el Fortalecimiento del Talento Humano</t>
  </si>
  <si>
    <t>Funcionarios apoyados</t>
  </si>
  <si>
    <t>8. Trabajo decente y crecimiento económico</t>
  </si>
  <si>
    <t>Realizar 1 proceso de Rediseño Institucional para ajustar la estructura organizacional y la planta de personal a las necesidades de la SDIS</t>
  </si>
  <si>
    <t>Documentos normativos</t>
  </si>
  <si>
    <t xml:space="preserve"> Documentos normativos realizados</t>
  </si>
  <si>
    <t>Fortalecer la gestión y desarrollo integral del talento humano de la SDIS, con énfasis en los componentes de trabajo decente y digno garantizando las condiciones de protección y prevención en materia de seguridad y salud en el trabajo</t>
  </si>
  <si>
    <t>Implementar el 100 por ciento del plan de acción del  Sistema de Seguridad y Salud en el Trabajo</t>
  </si>
  <si>
    <t>Implementar el 100 por ciento del plan de acción de la política pública de gestión y desarrollo integral del Talento Humano en la SDIS</t>
  </si>
  <si>
    <t>Implementación de la estrategia de territorios cuidadores en Bogotá</t>
  </si>
  <si>
    <t>Implementar una estrategia de territorios cuidadores que reconozca y fortalezca las acciones de cuidado en el marco de las situciones de emergencias sociales, sanitarias, naturales, antrópicas y de vulnerabilidad inminente, en los territorios de Bogotá.</t>
  </si>
  <si>
    <t>Diseñar la estrategia de territorios cuidadores que oriente las respuestas a situaciones de mergencia social, sanitaria, natural, antropica y vulnerabiilidad inminente</t>
  </si>
  <si>
    <t xml:space="preserve">Diseñar 1 estrategia de territorios cuidadores  </t>
  </si>
  <si>
    <t>Promover en las 20 localidades una estrategia de territorios cuidadores a partir de la identificación y caracterización de las acciones para la respuesta a emergencias sociales, sanitarias, naturales, antrópicas y de vulnerabilidad inminente</t>
  </si>
  <si>
    <t>Nivel de implementacion de la estrategia de territorios cuidadores en las 20 localidades</t>
  </si>
  <si>
    <t>1. Fin de la pobreza</t>
  </si>
  <si>
    <t>Identificar y caracterizar la demanda de servicios de cuidado directo e indirecto en los territorios, en especial aquellos que respondan a las necesidades de los hogares en condición de pobreza, vulnerabilidad y exclusión social.</t>
  </si>
  <si>
    <t>Caracterizar 412 territorios de Bogotá  de acuerdo a   las necesidades de las familias  en condición de pobreza, vulnerabilidad y exclusión social</t>
  </si>
  <si>
    <t>Entidad territoriales asistidas técnicamente</t>
  </si>
  <si>
    <t>Adecuar los servicios sociales de la Sub ICI para la prestación de acuerdo a las realidades por la emergencia social, natural, antrópica, sanitaria y de vulnerabilidad inminente.</t>
  </si>
  <si>
    <t>Atender a 151418 personas,  de acuerdo a sus realidades  por servicios en  emergencia social, natural, antrópica, sanitaria y de vulnerabilidad inminente</t>
  </si>
  <si>
    <t>Fortalecer 20 redes comunitarias de cuidado y gestión del riesgo en las localidades</t>
  </si>
  <si>
    <t>Contribución a la protección de los derechos de las familias especialmente de sus integrantes afectados por la violencia intrafamiliar en la ciudad de Bogotá</t>
  </si>
  <si>
    <t>Proteger los derechos de las familias especialmente de sus integrantes afectados por la violencia intrafamiliar en la ciudad de Bogotá</t>
  </si>
  <si>
    <t>Restablecer los derechos fundamentales a niños y niñas y adolescentes en  procesos de restablecimiento de derechos con medida de ubicación institucional</t>
  </si>
  <si>
    <t>Atender integralmente al 100% niños, niñas y adolescentes en los Centros Proteger</t>
  </si>
  <si>
    <t>Atender integralmente al 100% de niñas y niños en ubicación institucional, generando procesos de fortalecimiento de sus familias para la garantía de sus derechos y para el reintegro familiar</t>
  </si>
  <si>
    <t>Porcentaje de niños niñas en ubicación institucional atendidos integralmente</t>
  </si>
  <si>
    <t>Transformar patrones culturales hegemónicos y excluyentes que pueden conducir a prácticas e imaginarios que naturalizan la violencia intrafamiliar</t>
  </si>
  <si>
    <t xml:space="preserve">Implementar un plan de acción para coordinar la implementación y el seguimiento de la PPPF </t>
  </si>
  <si>
    <t>Formular, implementar, monitorear y evaluar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</si>
  <si>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Nivel de avance del Plan Distrital de Prevención Integral de las Violencias contra las niñas, los niños, adolescentes, mujeres y personas mayores</t>
  </si>
  <si>
    <t>Implementar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</si>
  <si>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Prevención de la maternidad y paternidad temprana en Bogotá</t>
  </si>
  <si>
    <t>Completar la implementación de un modelo de salud con enfoque poblacional-diferencial, de género, participativo, resolutivo y territorial que aporte a la modificación de los determinantes sociales de la salud</t>
  </si>
  <si>
    <t>Prevención y atención de maternidad temprana</t>
  </si>
  <si>
    <t>Disminuir la maternidad y Paternidad temprana y el embarazo infantil en la ciudad</t>
  </si>
  <si>
    <t>Promover el ejercicio de los derechos sexuales y derechos reproductivos</t>
  </si>
  <si>
    <t>Formar e Informar a 70000 niñas, niños, adolescentes, jóvenes y sus familias en derechos sexuales y derechos reproductivos con enfoque diferencial y de género</t>
  </si>
  <si>
    <t>Reducir la maternidad y paternidad temprana en mujeres menores o iguales a 19 años, así como la violencia sexual contra las niñas y mujeres jóvenes, fortaleciendo capacidades de niñas, niños, adolescentes, jóvenes y sus familias sobre derechos sexuales y derechos reproductivos</t>
  </si>
  <si>
    <t>Número de niñas, niños, adolescentes y jóvenes informados y sensibilizados en derechos sexuales y derechos reproductivo</t>
  </si>
  <si>
    <t>3. Salud y bienestar</t>
  </si>
  <si>
    <t>Facilitar el acceso a oportunidades a niñas, niños, adolescentes y jóvenes</t>
  </si>
  <si>
    <t>Fortalecer las capacidades de 10000 agentes de cambio social, servidores públicos y contratistas de entidades públicas con enfoque diferencial y de género a través de la implementación de estrategias</t>
  </si>
  <si>
    <t>Agentes educativos cualificados</t>
  </si>
  <si>
    <t xml:space="preserve">Implementar un plan de acción intra e interinstitucional para la promoción de los derechos sexuales y derechos reproductivos de niñas, niños, adolescentes y jóvenes </t>
  </si>
  <si>
    <t xml:space="preserve">Prevenir la violencia sexual de niñas, adolescentes y jóvenes </t>
  </si>
  <si>
    <t xml:space="preserve">Desarrollar una estrategia de comunicación para la prevención de la maternidad y la paternidad temprana,  embarazo en niñas menores de 14 años y la violencia sexual contra niñas, niños, adolescentes y jóvenes </t>
  </si>
  <si>
    <t>Campañas de promoción realizadas</t>
  </si>
  <si>
    <t>Compromiso social por la diversidad en Bogotá</t>
  </si>
  <si>
    <t xml:space="preserve">Generar estrategias de inclusión social para las personas de los sectores sociales LGBTI de Bogotá </t>
  </si>
  <si>
    <t>Aumentar las oportunidades para que las personas de los sectores lgbti desarrollen sus capacidades como sujetos de derechos</t>
  </si>
  <si>
    <t>Subdirección para asuntos LGBT</t>
  </si>
  <si>
    <t>Implementar un modelo de inclusión social que permita la  vinculación de personas de los sectores sociales lgbti en vulnerabilidad  a la oferta de servicios sociales de la sdis</t>
  </si>
  <si>
    <t>Implementar un modelo de inclusión social, a través de la vinculación de personas de los sectores sociales LGBTI en pobreza extrema y vulnerabilidad social a la oferta de servicios sociales de seguridad alimentaria, transferencias monetarias y/o de cuidado de la Secretaría Distrital de Integración Social, teniendo en cuenta los impacto de la emergencia social y sanitaria sobre esta población</t>
  </si>
  <si>
    <t>Nivel de implementación
del modelo de inclusión
social para las personas
de los sectores LGBTI</t>
  </si>
  <si>
    <t>Beneficiar a 2557 personas de los sectores lgbti identificadas en vulnerabilidad con apoyos económicos para la ampliación de capacidades</t>
  </si>
  <si>
    <t>Aportar a la disminución de discriminación por identidades de género y orientaciones sexuales diversas</t>
  </si>
  <si>
    <t>Implementar un plan de acción para la transversalización de la política pública lgbti desde el sector social</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</si>
  <si>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</si>
  <si>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Número de personas
atendidas mediante la
implementación de 2
centros comunitarios
LGBTI, para fortalecer la
implementación de la
política publica</t>
  </si>
  <si>
    <t>Poner en funcionamiento tres (3) nuevos centros comunitarios para la atención de personas de los sectores sociales lgbti en los territorios priorizados</t>
  </si>
  <si>
    <t>Brindar atención a 16000 personas de los sectores lgbti, sus familias y redes de apoyo desde los servicios sociales de la subdirección para asuntos lgbti y la estrategia territorial integral social</t>
  </si>
  <si>
    <t>Implementación de estrategias y servicios integrales para el abordaje del fenómeno de habitabilidad en calle en Bogotá</t>
  </si>
  <si>
    <t>Reducir la pobreza monetaria, multidimensional y la feminización de la pobreza</t>
  </si>
  <si>
    <t>Movilidad social integral</t>
  </si>
  <si>
    <t>Mitigar los conflictos sociales asociados al fenómeno de habitabilidad en calle, mejorando la calidad de vida de las personas habitantes de calle o en riesgo de estarlo</t>
  </si>
  <si>
    <t>Aumentar las oportunidades para las y los ciudadanas y ciudadanos en riesgo de la habitabilidad en calle que incidan en su decisión de habitar en la calle</t>
  </si>
  <si>
    <t>Subdirección para la Adultez</t>
  </si>
  <si>
    <t xml:space="preserve">Implementar una (1) estrategia territorial para el desarrollo de procesos de prevención y atención a la población en riesgo de habitar en calle </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</si>
  <si>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</si>
  <si>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Nivel de implementación de la  estrategia de prevención, participación y movilización social</t>
  </si>
  <si>
    <t>Desarrollar estrategias que aporten al mejoramiento de la convivencia ciudadana entre los actores involucrados en el fenómeno de habitabilidad en calle</t>
  </si>
  <si>
    <t xml:space="preserve">Implementar una (1) estrategia de abordaje comunitaria del fenómeno de habitabilidad en calle dirigida al mejoramiento de la convivencia ciudadana </t>
  </si>
  <si>
    <t>Atender de manera integral con enfoque diferencial, territorial y de género a los y las ciudadanos  en riesgo y habitantes de calle para la garantia de sus derechos</t>
  </si>
  <si>
    <t>Realizar 17000 atenciones  a ciudadanos y ciudadanas habitantes de calle a través de la estrategia móvil de abordaje en calle</t>
  </si>
  <si>
    <t>Implementar una estrategia móvil de abordaje en calle dirigida a ciudadanos y ciudadanas habitantes de calle acorde al contexto social y sanitario de la emergencia</t>
  </si>
  <si>
    <t xml:space="preserve">Nivel de implementación de la de la estrategia móvil de abordaje en calle </t>
  </si>
  <si>
    <t>Servicio de asistencia técnica en el componente de Bienestar Comunitario</t>
  </si>
  <si>
    <t>Eventos de participación social realizados</t>
  </si>
  <si>
    <t>Ampliar la oferta de servicios y estrategias para la atención de las y los ciudadanas y ciudadanos en riesgo y habitantes de calle con enfoque de genero, diferencial y territorial</t>
  </si>
  <si>
    <t>Atender 9795 ciudadanas y ciudadanos en riesgo y habitantes de calle mediante la mitigación de riesgos y daños asociados al fenómeno de habitabilidad en calle</t>
  </si>
  <si>
    <t>Incrementar en 825 cupos la atención integral de ciudadanos y ciudadanos  habitantes de calle en los  servicios sociales que  tiene la SDIS dispuestos para su atención</t>
  </si>
  <si>
    <t>Número de cupos para la atención de ciudadanos y ciudadanas habitantes de calle en Bogotá</t>
  </si>
  <si>
    <t>Contribuir a la implementación de las acciones incorporadas en los instrumentos de la Política Pública Distrital para la Habitabilidad en Calle</t>
  </si>
  <si>
    <t>Desarrollar un (1) estrategia de seguimiento y monitoreo de las acciones que contribuyen con la implementación y articulación de la Política Pública Distrital para la Habitabilidad en Calle</t>
  </si>
  <si>
    <t>Documentos de evaluación</t>
  </si>
  <si>
    <t>Documentos de evaluaciones realizados</t>
  </si>
  <si>
    <t>Implementación de una estrategia de acompañamiento a hogares con mayor pobreza evidente y oculta de Bogotá</t>
  </si>
  <si>
    <t>Mejores ingresos de los hogares y combatir la feminización de la pobreza</t>
  </si>
  <si>
    <t>Implementar una estrategia de acompañamiento a hogares con pobreza histórica y emergente por COVID19, acentuada en  territorios de la ciudad con segregación socio espacial,  para mejorar la calidad de vida, el acceso a oportunidades y el desarrollo de proyectos de vida</t>
  </si>
  <si>
    <t>Identificar los territorios de mayor pobreza y vulnerabilidad social a partir del reconocimiento de  las dinámicas que fomentan la segregación socio espacial en Bogotá, para que los servicios sociales de la SDIS lleguen a dichos territorios</t>
  </si>
  <si>
    <t>Identificar en el 100% de los territorios a intervenir con la estrategia, las dinamicas de segregacion sociespacial</t>
  </si>
  <si>
    <t xml:space="preserve">Implementar una estrategia de acompañamiento de hogares pobres,  en vulnerabilidad y riesgo social derivada de la pandemia del COVID 19,  identificados poblacional diferencial  y geográficamente en los barrios con mayor pobreza evidente  y oculta del distrito </t>
  </si>
  <si>
    <t>Nivel de implementación de la estrategia de acompañamiento de hogares pobres en vulnerabilidad y riesgo social</t>
  </si>
  <si>
    <t>Mitigar las afectaciones socioeconómicas de los hogares pobres y hogares en riesgo de pobreza por causa de la pandemia del COVID 19.</t>
  </si>
  <si>
    <t>Acompañar 27025 hogares pobres o en pobreza emergente</t>
  </si>
  <si>
    <t xml:space="preserve">Número </t>
  </si>
  <si>
    <t>Promover la movilidad social a través de la garantía de derechos, desarrollo de capacidades y generación de oportunidades</t>
  </si>
  <si>
    <t xml:space="preserve">Monitorear la movilidad social de 15000 hogares pobres o en pobreza emergente acompañados a través de la estrategia </t>
  </si>
  <si>
    <t>Apoyar la reactivación económica de 4300 personas adultas y sus familias con pobreza oculta, vulenerabilidad, fragilidad social o afectados por emergencia sanitaria, identificadas  en la estrategia</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</si>
  <si>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 </t>
  </si>
  <si>
    <t>Nivel de implementación de la estrategia de gestión interinstitucional para la movilización social y el desarrollo de capacidades de los adultos identificados en pobreza oculta</t>
  </si>
  <si>
    <t>Compromiso con el envejecimiento activo y una Bogotá cuidadora e incluyente</t>
  </si>
  <si>
    <t>Desarrollar capacidades para el ejercicio de derechos de las personas mayores que permita la reducción de la
desigualdad, dependencia y vulnerabilidad social mediante nuevas estrategias de atención con participación
ciudadana y enfoques territorial, género y diferencial.</t>
  </si>
  <si>
    <t>Fortalecer los servicios sociales para la atención, cuidado y protección integral de las personas mayores en el marco de la promoción de la calidad de vida digna y ejercicio pleno de derechos</t>
  </si>
  <si>
    <t>Subdirección para la Vejez</t>
  </si>
  <si>
    <t>Vincular a 46133 personas mayores a procesos ocupacionales y de desarrollo humano a través de la atención integral en Centros Día</t>
  </si>
  <si>
    <t>Incrementar en un 57% la participación de personas mayores en procesos que fortalezcan su autonomía, el desarrollo de sus capacidades, el reentrenamiento laboral para la generación de ingresos y la integración a la vida de la ciudad a través de la ampliación, cualificación e innovación en los servicios sociales con enfoque diferencial</t>
  </si>
  <si>
    <t>Porcentaje (%) de Participación de personas mayores en procesos que fortalezcan su autonomía, desarrollo de sus capacidades y reentrenamiento laboral / Número de personas mayores participantes en procesos que fortalezcan su autonomía, desarrollo de sus capacidades y reentrenamiento laboral</t>
  </si>
  <si>
    <t>Atender 1840 personas mayores en procesos de autocuidado y dignificación a través de servicios de cuidado transitorio (día-noche)</t>
  </si>
  <si>
    <t>Atender 3027 personas mayores en servicios de cuidado integral y protección en modalidad institucionalizada</t>
  </si>
  <si>
    <t xml:space="preserve">Implementar el 100% de acciones del Plan de Acción de la Politica Publica Social para el Envejecimiento y la Vejez </t>
  </si>
  <si>
    <t>Realizar 3 estudios que aporten las bases para la reformulacion de la Política Pública Social para el Envejecimiento y la Vejez</t>
  </si>
  <si>
    <t>Contribuir a la transformación de representaciones sociales adversas sobre la vejez y el envejecimiento mediante la creación y fortalecimiento de redes de cuidado comunitario que promueva la seguridad, integridad y la participación de las personas mayores en los territorios</t>
  </si>
  <si>
    <t>Dinamizar en 20 localidades de Bogotá redes de cuidado comunitario entre las personas mayores y actores del territorio con la participación de 5000 personas</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</si>
  <si>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</si>
  <si>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Número de localidades con redes de cuidado comunitario dinamizadas</t>
  </si>
  <si>
    <t>5. Igualdad de género</t>
  </si>
  <si>
    <t>Incrementar el valor del apoyo económico y gestionar articulaciones intersectoriales para el reentrenamiento laboral que aporte al derecho a la seguridad económica y mejore la calidad de vida de las personas mayores en el Distrito</t>
  </si>
  <si>
    <t>Ofertar 92500 cupos para personas mayores en el servicio de apoyos económicos, proporcionándoles un ingreso económico para mejorar su autonomía y calidad de vida</t>
  </si>
  <si>
    <t>Incrementar progresivamente en un 60% el valor de los apoyos económicos y ampliar los cupos para personas mayores contribuyendo a mejorar su calidad de vida e incrementar su autonomía en el entorno familiar y social</t>
  </si>
  <si>
    <t>Valor del apoyo económico</t>
  </si>
  <si>
    <t>Número de cupos en el servicio de apoyos económicos</t>
  </si>
  <si>
    <t>Fortalecimiento de las oportunidades de inclusión de las personas con discapacidad, familias y sus cuidadores-as en Bogotá</t>
  </si>
  <si>
    <t>Fortalecer la inclusión en los entornos para el desarrollo de competencias de personas con discapacidad, sus familias y cuidadores-as en Bogotá, mediante respuestas integrales y de articulación transectorial teniendo en cuenta el contexto social.</t>
  </si>
  <si>
    <t>Fortalecer la oferta institucional para la atención de cuidadores y cuidadoras de personas con discapacidad</t>
  </si>
  <si>
    <t>Subdireción para la Discapacidad</t>
  </si>
  <si>
    <t>Atender 11772 cuidadores-as en la estrategia territorial, para cuidadores y cuidadoras de personas con discapacidad, que contribuya al reconocimiento socioeconómico y redistribución de roles en el marco del Sistema Distrital de Cuidado</t>
  </si>
  <si>
    <t>Implementar una (1) estrategia territorial para cuidadores y cuidadoras de personas con discapacidad que contribuya al reconocimiento socioeconómico y redistribución de roles en el marco del Sistema Distrital de Cuidado</t>
  </si>
  <si>
    <t>Nivel de implementación de la estrategia territorial para cuidadores y cuidadoras de personas con discapacidad</t>
  </si>
  <si>
    <t>Aumentar la cobertura para la atención integral de las personas con discapacidad, sus familias y cuidadores-as para favorecer el desarrollo de sus habilidades y capacidades; en el marco de la misionalidad de la entidad</t>
  </si>
  <si>
    <t>Atender 4847 personas con discapacidad, sus familias y cuidadores-as en los servicios sociales a cargo del proyecto, a través de procesos de articulación transectorial</t>
  </si>
  <si>
    <t>Incrementar en 30% la atención de las personas con discapacidad,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</si>
  <si>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Porcentaje (%) de personas con discapacidad en Bogotá atendidas</t>
  </si>
  <si>
    <t>Numero de personas con discapacidad atendidas</t>
  </si>
  <si>
    <t>Propiciar acciones para el fortalecimiento de los procesos de inclusión de personas con discapacidad, sus familias y cuidadores-as en entorno productivo y educativo, en el marco de la misionalidad de la entidad</t>
  </si>
  <si>
    <t>Incrementar a 2561 personas con discapacidad, sus familias y cuidadores-as en procesos de inclusión en los entornos educativo y productivo con enfoque territorial y diferencial, en el marco de una articulación transectorial</t>
  </si>
  <si>
    <t>Incrementar en 40% los procesos de inclusión educativa y productiva de las personas con discapacidad, sus cuidadores y cuidadoras</t>
  </si>
  <si>
    <t>Porcentaje de personas con discapacidad y sus cuidadores que participan en procesos de inclusión educativa y productiva</t>
  </si>
  <si>
    <t>Numero de personas con discapacidad y sus cuidadores que participan en procesos de inclusión educativa y productiva</t>
  </si>
  <si>
    <t>Contribuir en una (1)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</si>
  <si>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</si>
  <si>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Implementación de transferencias monetarias a hogares pobres y vulnerables en Bogotá</t>
  </si>
  <si>
    <t>Reducir el índice de hogares en condición de pobreza y vulnerabilidad que habitan en el Distrito Capital</t>
  </si>
  <si>
    <t>Aumentar el ingreso económico de hogares pobres y vulnerables que habitan en el Distrito Capital para suplir sus necesidades básicas</t>
  </si>
  <si>
    <t>Dirección de Análisis y Diseño Estratégico</t>
  </si>
  <si>
    <t>Determinar el 100 por Ciento de hogares objeto de transferencias monetarias teniendo en cuenta bloqueos, complementariedad y bancarización.</t>
  </si>
  <si>
    <t>Implementar una estrategia de acompañamiento de hogares pobres, en vulnerabilidad y riesgo social derivada de la pandemia del COVID-19, identificados poblacional, diferencial y geográficamente en los barrios con mayor pobreza evidente y oculta del distrito.</t>
  </si>
  <si>
    <t>Porcentaje de recursos dispersados para transferencias monetarias ordinarias</t>
  </si>
  <si>
    <t>1. FIN DE LA POBREZA. Poner fin a la pobreza en todas sus formas en todo el mundo</t>
  </si>
  <si>
    <t>Ordenar el traslado del 100 por ciento de los recursos recibidos en la Sdis Para el pago de transferencias monetarias hacia las entidades financieras.</t>
  </si>
  <si>
    <t>Responder el 100 por ciento ee las peticiones relacionadas con transferencias monetarias de Ingreso Mínimo Garantizado recibidas por la Sdis</t>
  </si>
  <si>
    <t>Divulgar el 100 por ciento de los resultados del proceso de pago De Transferencias monetarias de Ingreso Mínimo Garantizado realizadas por Sdis.</t>
  </si>
  <si>
    <t>ACCIONES</t>
  </si>
  <si>
    <t>Escala</t>
  </si>
  <si>
    <t>No. Localidad</t>
  </si>
  <si>
    <t>Localidad</t>
  </si>
  <si>
    <t>Código SIRBE</t>
  </si>
  <si>
    <t>Entrega Plan de acción</t>
  </si>
  <si>
    <t>Muy Alto</t>
  </si>
  <si>
    <t>Usaquén</t>
  </si>
  <si>
    <t>Modificación presupuestal</t>
  </si>
  <si>
    <t>Alto</t>
  </si>
  <si>
    <t>Chapinero</t>
  </si>
  <si>
    <t>Modificación  de Magnitudes</t>
  </si>
  <si>
    <t>Medio</t>
  </si>
  <si>
    <t>Santa fe</t>
  </si>
  <si>
    <t>Modificación  de tareas y/o actividades</t>
  </si>
  <si>
    <t>Bajo</t>
  </si>
  <si>
    <t>San Cristobal</t>
  </si>
  <si>
    <t>Seguimiento SPI</t>
  </si>
  <si>
    <t>Muy Bajo</t>
  </si>
  <si>
    <t>Usme</t>
  </si>
  <si>
    <t>Tunjuelito</t>
  </si>
  <si>
    <t>Bosa</t>
  </si>
  <si>
    <t>Kennedy</t>
  </si>
  <si>
    <t>Subdireccion</t>
  </si>
  <si>
    <t>Fontibón</t>
  </si>
  <si>
    <t>Despacho de la Secretaria</t>
  </si>
  <si>
    <t>Engativá</t>
  </si>
  <si>
    <t>Suba</t>
  </si>
  <si>
    <t>Barrios Unidos</t>
  </si>
  <si>
    <t>Teusaquillo</t>
  </si>
  <si>
    <t>Los Mártires</t>
  </si>
  <si>
    <t>Antonio Nariño</t>
  </si>
  <si>
    <t>Puente Aranda</t>
  </si>
  <si>
    <t>La Candelaria</t>
  </si>
  <si>
    <t>Rafael Uribe</t>
  </si>
  <si>
    <t>Ciudad Bolivar</t>
  </si>
  <si>
    <t>Sumapaz</t>
  </si>
  <si>
    <t xml:space="preserve">Distrital </t>
  </si>
  <si>
    <t>Subdirección Adminsitrativa y Financiera</t>
  </si>
  <si>
    <t>Subdirección de Contratación</t>
  </si>
  <si>
    <t>Subdirección de Gestión del Talento Humano</t>
  </si>
  <si>
    <t>llaveactividad</t>
  </si>
  <si>
    <t>Año Vigencia</t>
  </si>
  <si>
    <t>No. Sucursal</t>
  </si>
  <si>
    <t>Meta</t>
  </si>
  <si>
    <t>Nombre Meta</t>
  </si>
  <si>
    <t>Actividad</t>
  </si>
  <si>
    <t>Nombre Actividad</t>
  </si>
  <si>
    <t>Implementar el plan de accion para el fortalecimiento de las Comisarias de Familia en la atencion integral para el acceso a la justicia y la garantia de derechos frente a la violencia intrafamiliar</t>
  </si>
  <si>
    <t>Apoyar a la gestion integral de la Subdireccion para la Familia.</t>
  </si>
  <si>
    <t>Atender las solicitudes de servicio que se presenten ante las Comisarias de Familia</t>
  </si>
  <si>
    <t>Acompanar la elaboracion e implementacion de un programa de prevencion y atencion en salud mental para servidores publicos de las Comisarias de Familia.</t>
  </si>
  <si>
    <t>Realizar seguimiento y supervision a contratos de obra e interventoria adjudicados</t>
  </si>
  <si>
    <t>Realizar proceso de contratacion para adecuar los inmuebles en el marco de  emergencias sanitarias o sociales</t>
  </si>
  <si>
    <t>Gestionar los tramites correspondientes, para atender las dispocisiones administrativos y legales que sean emitidas a la entidad.</t>
  </si>
  <si>
    <t>Realizar las gestiones correspondientes para garantizar las conexiones definitivas de servicios publicos en los equipamientos que se requieran</t>
  </si>
  <si>
    <t>Realizar proceso de contratacion para contratos de reparaciones locativas (elaboracion de estudios previos, anexo tecnico, publicacion de proceso, adjudicacion y legalizacion de  contratos e interventoria, y su respectivo seguimiento)</t>
  </si>
  <si>
    <t>Rrealizar proceso de contratacion para otros procesos para el mantenimiento de los equipamientos de la SDIS (elaboracion de estudios previos, anexo tecnico, publicacion de proceso, adjudicacion y legalizacion de contratos)</t>
  </si>
  <si>
    <t>Apoyar la gestion social integral</t>
  </si>
  <si>
    <t>Realizar las gestion correspondientes para apoyar el mantenimiento de los equipamientos de la sdis</t>
  </si>
  <si>
    <t>Realizar viabilizacion de inmuebles para garantizar la prestacion de los servicios sociales de manera transitoria</t>
  </si>
  <si>
    <t>Gestion y legalizacion de suelo, licencias de construccion, delimitaciones, incorporaciones, mutaciones catastrales, Recopilacion de pruebas para procesos de pertenencia.</t>
  </si>
  <si>
    <t>Realizar convenios interinstitucionales para el saneamiento urbanistico y juridico, y avaluos comerciales (renta y compra)</t>
  </si>
  <si>
    <t>Realizar proceso de contratacion  de centros de proteccion para poblacion vulnerable (Elaboracion de estudios previos, anexo tecnico, publicacion de proceso, adjudicacion y legalizacion del contrato de obra e interventoria)</t>
  </si>
  <si>
    <t>Implementar un modelo itinerante e intersectorial distrital que permita la ampliacion de servicios integrales a la poblacion en flujos migratorios mixtos-</t>
  </si>
  <si>
    <t>Implementar acciones de inclusion a partir de la estabilizacion dirigida a la poblacion proveniente de flujos migratorios mixtos que incluyan ejercicios de identificacion, caracterizacion en perspectiva diferencial y genero</t>
  </si>
  <si>
    <t>Asistir tecnicamente a las areas para la formulacion de estandares y el seguimiento a la implementacion de estandares</t>
  </si>
  <si>
    <t>Verificar condiciones de operacion en instituciones oficiales y privadas que ofrecen servicios sociales.</t>
  </si>
  <si>
    <t>Atencion ciudadana que garantice respuestas oportunas, eficaces e integrales a las solicitudes ciudadana</t>
  </si>
  <si>
    <t>Atender los requerimientos de control politico</t>
  </si>
  <si>
    <t>Garantizar el soporte administrativo para la ejecucion, la verificacion y el control de los procesos de gestion para los servicios sociales</t>
  </si>
  <si>
    <t>Realizar acciones que aporten a la implementacion de la Ley de Transparencia y acceso a la informacion y a la Politica Publica de Transparencia, integridad y no tolerancia con la corrupcion</t>
  </si>
  <si>
    <t>Fortalecer la articulacion de las instancias internas y externas de acuerdo a las competencias de la subsecretaria</t>
  </si>
  <si>
    <t>Verificar el avance de las politicas sociales, que lidera la Secretaria Distrital de Integracion Social de acuerdo a la normatividad vigente</t>
  </si>
  <si>
    <t>Respuestas articuladas y  complementarias de los actores institucionales a las necesidades del territorio.</t>
  </si>
  <si>
    <t>Fortalecer los procesos territoriales en su sostenibilidad programatica, comunitaria y financiera.</t>
  </si>
  <si>
    <t>Implementar una (1) estrategia de innovación social.</t>
  </si>
  <si>
    <t>Generar oferta, desarrollo de capacidades y respuestas integrales desde los CDC, la institucionalidad y las alianzas estrategicas, pertinentes a las demandas de la Bogota Region.</t>
  </si>
  <si>
    <t>Prestar asesoria tecnica en las lineas de inversion social a los FDL para generar respuestas intregales y generacion de oportunidades, pertinentes a las necesidades e intereses de los territorios mas vulnerables de la ciudad.</t>
  </si>
  <si>
    <t>Articular el funcionamiento de las instancias de participacion y coordinacion interinstitucional para la implementacion de la Politica Publica de Juventud.</t>
  </si>
  <si>
    <t>Realizar seguimiento a la implementacion de los productos del plan de accion de la politica publica de juventud a cargo de SDIS.</t>
  </si>
  <si>
    <t>Desarrollar e implementar modulos adicionales de la plataforma virtual para la difusion y ampliacion de oportunidades dirigidas a jovenes</t>
  </si>
  <si>
    <t>Formular e implementar un componente territorial y virtual en la estrategia de comunicacion y difusion de los servicios sociales dirigidos a la poblacion joven.</t>
  </si>
  <si>
    <t>Implementacion de la estrategia de oportunidades juveniles por medio de la entrega de  transferencias monetarias condicionadas.</t>
  </si>
  <si>
    <t>Atender al 100% de los jovenes a traves de estrategias alternativas</t>
  </si>
  <si>
    <t>Tener cobertura territorial en el Distrito a traves de Casas de Juventud, Semanas de Juventud, estrategias moviles y equipos territoriales, tanto en las areas urbanas como rurales.</t>
  </si>
  <si>
    <t>Integrar los jovenes vinculados al SRPA con medidas no privativas de la libertad a los servicios sociales de Subdireccion para la Juventud.</t>
  </si>
  <si>
    <t>Realizar la modernizacion, mantenimiento y soporte de la infraestructura tecnologica y de seguridad de la informacion de la Entidad</t>
  </si>
  <si>
    <t xml:space="preserve">Desarrollar las acciones tecnicas y administrativas necesarias para apoyar la implementacion, mantenimiento y soporte de la infraestructura tecnologica y de seguridad de la informacion, asi como la gestion de proyectos de tecnologias de la </t>
  </si>
  <si>
    <t>Desarrollar las acciones tecnicas y administrativas necesarias para apoyar el desarrollo evolutivo, implementacion, mantenimiento y soporte de los sistemas de informacion y los servicios tecnologicos de la Secretaria</t>
  </si>
  <si>
    <t>Disenar e implementar soluciones tecnologicas que faciliten la participacion ciudadana en la gestion y oferta de servicios sociales de la SDIS</t>
  </si>
  <si>
    <t>Realizar el diseno, desarrollo, implementacion, mantenimiento y soporte de los sistemas de informacion de la Entidad</t>
  </si>
  <si>
    <t>Desarrollar y promover produccion del conocimiento acorde con los servicios sociales que presta la entidad</t>
  </si>
  <si>
    <t>Evaluar 3 servicios, apoyos o estrategias en el marco de la misionalidad de la Entidad</t>
  </si>
  <si>
    <t>Formular e Implementar 1 estrategia de focalizacion con enfoques diferencial, de genero y territorial</t>
  </si>
  <si>
    <t>Asistir, asesorar y acompanar tecnicamente a las areas en la formulacion  y seguimiento de politicas publicas, planes, programas y proyectos de inversion.</t>
  </si>
  <si>
    <t>Realizar las actividades administrativas para la gestion de la informacion y el conocimiento</t>
  </si>
  <si>
    <t>Asistir, asesorar y acompanar tecnicamente a las areas en la implementacion, mantenimiento y mejora de las politicas del gestion y desempeno y del componente ambiental en el marco del Modelo Integrado de Planeacion y Gestion.</t>
  </si>
  <si>
    <t>Realizar acompanamiento metodologico y tecnico para la formulacion de estandares de  calidad de los servicios sociales</t>
  </si>
  <si>
    <t>Divulgar la informacion institucional de acuerdo al plan de comunicaciones</t>
  </si>
  <si>
    <t>Formular, implementar y realizar seguimiento a la Politica de Comunicaciones</t>
  </si>
  <si>
    <t>Liderar la actualización, movilización, implementación y seguimiento de la Política Pública de Infancia y Adolescencia de Bogotá (2021-2032), con las voces de las niñas, niños y adolescentes, en articulación con las familias, actores públic</t>
  </si>
  <si>
    <t>Fortalecer los 20 consejos consultivos de participacion infantil y el consejo  Distrital de participacion infantil, con el fin de movilizar a los niñas, niños y adolescentes para su participacion e incidencia en los entornos hogar, educativo</t>
  </si>
  <si>
    <t>Realizar  seguimiento a la operacion de los servicios y fortalecer la implementacion de su linea tecnica, para garantizar el derecho al desarrollo integral en la primera infancia</t>
  </si>
  <si>
    <t>Atender con enfoque diferencial a las ninas y ninos desde la gestacion a traves del servicio social creciendo en familia, generando en ellos espacios protectores para un crecimiento y desarrollo en el marco de la garantia de derechos.</t>
  </si>
  <si>
    <t>Atender con enfoque diferencial y con proyectos pedagogicos actualizados a las ninas y ninos a traves del servicio social en Jardines Infantiles - Cupos Cofinanciados generando un acceso sin barreras y flexible segun las particularidades de</t>
  </si>
  <si>
    <t>Atender con enfoque diferencial y con proyectos pedagogicos actualizados a las ninas y ninos a traves del servicio social en Jardines Infantiles - Sociales generando un acceso sin barreras y flexible segun las particularidades del territori</t>
  </si>
  <si>
    <t>Atender con enfoque diferencial y con proyectos pedagogicos actualizados a las ninas y ninos a traves del servicio social en Jardines Infantiles Diurnos, Nocturnos y Casas de Pensamiento Intercultural -SDIS, generando un acceso sin barreras</t>
  </si>
  <si>
    <t>Atender con enfoque diferencial a las ninas y ninos desde la gestacion a traves del servicio social Creciendo en Familia en la Ruralidad, generando en ellos espacios protectores para un crecimiento y desarrollo en el marco de la garantia de</t>
  </si>
  <si>
    <t>Implementar y flexibilizar la estrategia de Salas Amigas de la Familia Lactante, con el fin de generar una cultura de la lactancia desde la gestacion y su practica segura en los diferentes entornos.</t>
  </si>
  <si>
    <t>Transversalizar el enfoque diferencial y de genero en atencion de ninas, ninos y adolescentes.</t>
  </si>
  <si>
    <t>Fortalecer los procesos de inclusion de las ninas, ninos y adolescentes con alteraciones en el desarrollo, restricciones medicas y discapacidad, para el goce efectivo de sus derechos.</t>
  </si>
  <si>
    <t>Fortalecer los procesos de inclusion de las ninas, ninos y adolescentes pertenecientes a grupos etnicos, garantizando que sean incluyentes para el goce efectivo de sus derechos.</t>
  </si>
  <si>
    <t>Fortalecer los procesos tecnicos para la atencion e inclusion de las ninas, ninos y adolescentes  victimas por el conflicto armado que asisten a los diferentes programas de la subdireccion para la infancia.</t>
  </si>
  <si>
    <t>Fortalecer, articular y movilizar la gestion distrital y local para la realizacion de las atenciones definidas en la Ruta Integral de Atenciones desde la gestacion hasta la Adolescencia, en el marco del sistema distrital de cuidado.</t>
  </si>
  <si>
    <t>Atender mediante procesos flexibles y diferenciales a las ninas, ninos y adolescentes en riesgo o situacion de trabajo infantil, generando espacios protectores que garanticen sus derechos.</t>
  </si>
  <si>
    <t>Atender mediante estrategias diferenciales y flexibles a ninas, ninos y adolescentes en contexto de poblacion migrante, en riesgo de vulneracion de derechos, articulando la oferta distrital para garantizar la proteccion de sus derechos.</t>
  </si>
  <si>
    <t>Implementar en el marco del Sistema Distrital de Cuidado, espacios de modalidad flexible de acompanamiento a las ninas, ninos y adolescentes, cuyas madres o padres debido a sus realidades sociales y economicas, requieran de estrategias dife</t>
  </si>
  <si>
    <t>Contribuir a la construcción de la memoria, la convivencia y la reconciliación en el marco del acuerdo de paz, a través de la atención de las niñas, niños y adolescentes víctimas y afectados por el conflicto armado, desde un enfoque territo</t>
  </si>
  <si>
    <t>Realizar la programacion, seguimiento, sistematizacion y puesta en funcionamiento de unidades operativas para la operacion del servicio de comedores comunitarios.</t>
  </si>
  <si>
    <t>Realizar la entrega de raciones de comida caliente en unidades operativas del servicio de comedores comunitarios</t>
  </si>
  <si>
    <t>Realizar seguimiento tecnico y contractual a la operacion de las unidades operativas del servicio de comedores comunitarios</t>
  </si>
  <si>
    <t>Realizar la entrega de apoyos alimentarios mediante bonos canjeables por alimentos y apoyos en especie.</t>
  </si>
  <si>
    <t>Realizar seguimiento técnico y contractual a la entrega de apoyos alimentarios mediante bonos canjeables por alimentos y apoyos en especie</t>
  </si>
  <si>
    <t>Realizar la entrega de ayudas humanitarias para atender emergencias sociales</t>
  </si>
  <si>
    <t>Realizar la programacion, fortalecimiento tecnico y sistematizacion de la implementacion de la vigilancia nutricional regular en los diferentes servicio sociales</t>
  </si>
  <si>
    <t>Realizar la programacion, implementacion, seguimiento y sistematizacion de las acciones definidas en los componentes de la estrategia de inclusion social</t>
  </si>
  <si>
    <t>Realizar la programación, implementación, seguimiento y sistematización de las acciones de la estrategia de agricultura urbana o</t>
  </si>
  <si>
    <t>Desarrollar acciones de fortalecimiento, socializacion y sistematizacion de la estrategia de nutricion, alimentacion y salud  basada en "1000 dias de oportunidades para la vida"</t>
  </si>
  <si>
    <t>Realizar la entrega de apoyo alimentario en el marco de la estrategia "1000 dias de oportunidades para la vida"</t>
  </si>
  <si>
    <t>Prestar el servicio de vigilancia de conformidad con los requerimientos en materia de seguridad de las unidades operativas y administrativas</t>
  </si>
  <si>
    <t>Prestar el servicio de aseo, cafeteria, lavanderia y preparacion de alimentos, de acuerdo con los requerimientos en las diferentes unidades operativas y administrativas</t>
  </si>
  <si>
    <t>Prestar el servicio de transporte, para atender las necesidades de desplazamiento de funcionarios y o usuarios, en el ambito de la prestacion de los servicios sociales.</t>
  </si>
  <si>
    <t>Realizar la programacion, atencion, seguimiento y control de los mantenimientos programados, asi como la atencion de mantenimientos correctivos y o emergencias o adquisicion de elementos para el soporte transversal que eventualmente se requ</t>
  </si>
  <si>
    <t>Realizar el suministro de elementos de papeleria con austeridad, de conformidad con las necesidades administrativas originadas por el funcionamiento de la entidad.</t>
  </si>
  <si>
    <t>Prestar el servicio de fotocopiado con eficiencia, de conformidad con los requerimientos de las diferentes dependencias.</t>
  </si>
  <si>
    <t>Atender las necesidades en materia de caja menor de las localidades y sus unidades operativas.</t>
  </si>
  <si>
    <t>Realizar la programacion, atencion, seguimiento y control de los servicios de lavado de tanques, fumigacion y jardineria en las diferentes unidades operativas y administrativas</t>
  </si>
  <si>
    <t>Realizar las actividades de seguimiento y control para verificar las condiciones de calidad, oportunidad y eficiencia de los servicios de apoyo prestados.</t>
  </si>
  <si>
    <t>Atender las necesidades de servicios públicos en las localidades y sus unidades operativas.</t>
  </si>
  <si>
    <t>Organizacion de los archivos de la  Entidad</t>
  </si>
  <si>
    <t>Recepcionar y distribuir las comunicaciones oficiales e internas</t>
  </si>
  <si>
    <t>Realizar las actividades de seguimiento y control para verificar las condiciones de calidad, oportunidad y eficiencia de la administracion documental de la entidad</t>
  </si>
  <si>
    <t>Garantizar el manejo y disposicion final de los Residuos Peligrosos generados en las unidades operativas propias y activas de la SDIS.</t>
  </si>
  <si>
    <t>Realizar la intervencion ambiental a las unidades operativas activas de la SDIS, efectuar el seguimiento, verificacion, control y reporte al cumplimiento de los lineamientos ambientales de las unidades operativas</t>
  </si>
  <si>
    <t>Disponer de los servicios personales suficientes, competentes e idoneos, para el correcto funcionamiento de los procesos transversales requeridos por la entidad</t>
  </si>
  <si>
    <t>Prestar la asesoria especializada a la gestion para el fortalecimiento de los procesos transversales en el ambito juridico, contractual y tecnico, entre otros, requeridos por la entidad para su correcto funcionamiento.</t>
  </si>
  <si>
    <t>Disponer de los servicios personales suficientes, competentes e idoneos, para el correcto funcionamiento de los procesos de gestion del talento humano de la entidad</t>
  </si>
  <si>
    <t>Financiar los empleos requeridos en la planta de personal de la SDIS garantizando el pago de los factores salariales y prestacionales, y de los aportes patronales y parafisacales</t>
  </si>
  <si>
    <t>Implementar una propuesta de rediseno institucional que permita ajustar la estructura organizacional, la planta de personal, asi como la caracterizacion del talento humano existente, identificando los perfiles y necesidades de personal por</t>
  </si>
  <si>
    <t>Gestionar la implementacion del Subsistema de Seguridad y Salud en el trabajo en la SDIS</t>
  </si>
  <si>
    <t>Implementar procesos formativos institucionales</t>
  </si>
  <si>
    <t>Realizar actividades que promuevan el mejoramiento de las condiciones laborales y el fortaleicmiento de la cultura y el clima organizacional</t>
  </si>
  <si>
    <t>Formular, implementar y hacer seguimiento al plan de accion de la politica de gestion y desarrollo integral del talento humano de la SDIS</t>
  </si>
  <si>
    <t>Implementación de la estrategia de territorios cuidadores</t>
  </si>
  <si>
    <t>Implementación de las lecturas sociales mediante dialogos sociales territoriales que orienten las respuestas a situaciones de emergencia social, natural, antropica y de vulnerabilidad inminente en los territorios.</t>
  </si>
  <si>
    <t>Realizacion seguimiento y evaluacion a la prestacion de los servicios sociales en situaciones de emergencias</t>
  </si>
  <si>
    <t>Disenar servicios innovadores que contribuyan a la atencion de las necesidades vitales de los hogares afectados por la emergencia sanitaria COVID 19, social, natural, antropica y de vulnerabilidad inminente</t>
  </si>
  <si>
    <t>Implementar un modelo de atencion en los Centros Proteger fundamentado en las directrices del cuidado alternativo</t>
  </si>
  <si>
    <t>Atender a los ninos, ninas y adolescentes en Centros Proteger</t>
  </si>
  <si>
    <t>Evaluar la implementacion de modelo de atencion en los Centros Proteger fundamentado en las directrices del cuidado alternativo</t>
  </si>
  <si>
    <t>Ejercer la Secretaria tecnica del Comite Operativo Distrital para las Familias,</t>
  </si>
  <si>
    <t>Implementar una Estrategia de Comunicaciones en el marco de la politica publica para las familias.</t>
  </si>
  <si>
    <t>Gestionar la implementacion del Modelo de Atencion Integral a las Familias (MAIF) o algunos de sus elementos, en otras dependencias de la SDIS que prestan servicios.</t>
  </si>
  <si>
    <t>Implementar el Plan Distrital de Prevencion de las violencias en articulacion intra, inter y transectorial</t>
  </si>
  <si>
    <t>Monitorerar la implementacion del Plan Distrital de Prevencion de las violencias</t>
  </si>
  <si>
    <t>Evaluar la implementacion del Plan Distrital de Prevencion de las violencias</t>
  </si>
  <si>
    <t>Definir estrategias de formacion e informacion  enfocadas en la promocion de derechos sexuales y derechos reproductivos para la prevencion de la maternidad y la paternidad temprana, el embarazo en ninas menores de 14 anos y la violencia</t>
  </si>
  <si>
    <t>Implementar estrategias de formacion e informacion  enfocadas en la promocion de derechos sexuales y derechos reproductivos para la prevencion de la maternidad y la paternidad temprana, el embarazo en ninas menores de 14 anos y la violencia</t>
  </si>
  <si>
    <t>Sensibilizar y o informar servidores publicos y contratistas en derechos sexuales y derechos reproductivos  para la prevencion de la maternidad y la paternidad tempranas, el embarazo en ninas menores de 14 anos y la violencia sexual contra</t>
  </si>
  <si>
    <t>Disenar acciones de articulacion y alianzas para la promocion de los derechos sexuales y los derechos reproductivos de ninas, ninos, adolescentes y jovenes.</t>
  </si>
  <si>
    <t>Disenar estrategias comunicativas para prevencion de la maternidad y la paternidad temprana y el embarazo en ninas menores de 14 anos.</t>
  </si>
  <si>
    <t>Disenar e implementar el modelo de inclusion social teniendo en cuenta la estrategia inclusion individual, procesos comunitarios y desarrollo institucional.</t>
  </si>
  <si>
    <t>Realizar seguimiento al proceso</t>
  </si>
  <si>
    <t>Acompanar a 680 personas Transgenero identificadas, para los tramites de ajuste y actualizacion de sus documentos de identidad conforme a sus construcciones identitarias y que aporten a la disminucion de barreras de acceso para las oportuni</t>
  </si>
  <si>
    <t>Elaborar e implementar el plan de accion para la trasnversalizacion de la PPLGBTI desde el sector social</t>
  </si>
  <si>
    <t>Realizar acciones con enfoque diferencial reconociendo las interseccionalidades de las personas de los sectores sociales LGBTI</t>
  </si>
  <si>
    <t>Poner en marcha un Centro Comunitario Multicolor para personas LGBTI</t>
  </si>
  <si>
    <t>Poner en marcha un Centro Comunitario "Años Dorados" para personas LGBTI</t>
  </si>
  <si>
    <t>Poner en marcha una Casa LGBTI en el suroccidente de la ciudad para las personas de los sectores sociales LGBTI, sus familias y redes de apoyo</t>
  </si>
  <si>
    <t>Vincular al 100% de las personas de los sectores sociales LGBTI, sus familias y redes de apoyo a los servicios sociales de la Subdirecion para Asuntos LGBTI, desde sus unidades operativas.</t>
  </si>
  <si>
    <t>Referenciar al 100% de las  personas de los sectores sociales LGBTI sus familias y redes de apoyo a los servicios sociales de la SDIS y otros servicios de la administracion Distrital, desde la  Estrategia Territorial Integral Social.</t>
  </si>
  <si>
    <t>Implementar una estrategia territorial para la  prevencion y atencion del riesgo de habitar la calle que incluya acciones afirmativas y pedagogicas vinculando a la ciudadania en general.</t>
  </si>
  <si>
    <t>Implementar una estrategia de abordaje comunitaria del fenomeno de habitabilidad en calle que incentive los dialogos comunitarios y veedurias ciudadanas para el fortalecimiento de redes y la transformacion de imaginarios orientados hacia el</t>
  </si>
  <si>
    <t>Desarrollar una estrategia movil de abordaje en calle que acerque la atencion integral a las y los ciudadanas y ciudadanos habitantes de calle en todas las localidades de la ciudad para la mitigacion de riesgos y reduccion de danos asociado</t>
  </si>
  <si>
    <t>Atender de manera integral en servicios institucionales a las y los ciudadanas y ciudadanos en riesgo y habitantes de calle para la mitigacion de riesgos y reduccion de danos asociados al fenomeno.</t>
  </si>
  <si>
    <t>Desarrollar una estrategia de  seguimiento y monitoreo a partir de los instrumentos construidos de  la Politica Publica Distrital para la Habitabilidad en calle que contribuya con la implementacion y articulacion de la misma.</t>
  </si>
  <si>
    <t>Reconocimiento  de las dinamicas de los territorios  con pobrezas,  segregacion socio espacial y analisis de  la pertenencia de la oferta de la SDIS</t>
  </si>
  <si>
    <t>Acompanamiento a los hogares en pobreza y en riesgo de pobreza a causa de la pandemia COVID19</t>
  </si>
  <si>
    <t>Medicion de indicadores de  condiciones de vulerabilidad y pobreza de los hogares acompanados</t>
  </si>
  <si>
    <t>Apoyo a la reactivacion economica de personas adultas y sus familias en condiciones de pobreza</t>
  </si>
  <si>
    <t>Implementar los procesos requeridos para la dispersión de recursos para la entrega de los apoyos económicos de las personas mayores del Distrito</t>
  </si>
  <si>
    <t>Realizar la implementación y seguimiento a la prestación del servicio de Apoyos Económicos</t>
  </si>
  <si>
    <t>Diseñar, actualizar y hacer seguimiento de modelos de atención, lineamientos técnicos y estandares de calidad para la prestación del servicio social</t>
  </si>
  <si>
    <t>Generar documentos de investigación relacionados con la evaluación de la PPSEV, caracterización de apoyos económicos y envejecimiento y vejez.</t>
  </si>
  <si>
    <t>Implementar de los servicios sociales con enfoques territorial y diferencial.</t>
  </si>
  <si>
    <t>Diseñar e implementar una estrategia para la dinamización de redes de cuidado comunitario en las diferentes localidades de la ciudad</t>
  </si>
  <si>
    <t>Diseñar e implementar una área de apoyo jurídico y psicosocial para la prevención y defensa de personas mayores en riesgo o víctimas de violencia en el Distrito</t>
  </si>
  <si>
    <t>Fortalecer las instancias de participación social en el marco de la territorialización de la PPSEV</t>
  </si>
  <si>
    <t>Transversalización de la PPSEV a nivel intersectorial</t>
  </si>
  <si>
    <t>Disenar e implementar una estrategia con enfoque  territorial (movil), diferencial y de genero, para cuidadores y cuidadoras de personas con discapacidad</t>
  </si>
  <si>
    <t>Desarrollar acciones que promuevan actividades de respiro en cuidadores-as de personas con discapacidad.</t>
  </si>
  <si>
    <t>Brindar atencion integral a las personas con discapacidad, familias, cuidadores- as mediante la implemetacion de los ajustes razonables, con el proposito de garantizar los derechos de la poblacion.</t>
  </si>
  <si>
    <t>Promover acciones transectorial y concertadas con los diferentes sectores publicos y privados, que le permita a las personas con discapacidad, familias y cuidadores-as el goce pleno de sus derechos, con el proposito de alcanzar una optima e</t>
  </si>
  <si>
    <t>Adelantar el registro de cuidadoras y cuidadores de personas con discapacidad de Bogota.</t>
  </si>
  <si>
    <t>Brindar atención mediante acciones que fomenten la inclusión social efectiva de las personas con discapacidad, cuidadores-as y sus familias.</t>
  </si>
  <si>
    <t>Brindar acompañamiento y seguimiento a las Personas con Discapacidad beneficiadas con Bonos Canjeables por alimentos, promoviendo el fortalecimiento para su inclusión social</t>
  </si>
  <si>
    <t>Identificar los entornos de inclusion educativos y productivos en el territorio y caracterizar a  la poblacion con discapacidad, sus  familias, cuidadores - as para acceder a estos.</t>
  </si>
  <si>
    <t>Desarrollar acciones de articulacion transectorial  en el marco de la misionalidad de la entidad, para la generacion de oportunidades de inclusion  educativa y productiva de la poblacion con discapacidad, sus  familias, cuidadores - as.</t>
  </si>
  <si>
    <t>Implementar acciones para el desarrollo y seguimiento de los procesos de inclusion en los entornos educativos y productivos de las personas con discapacidad, sus familias y cuidadores-as.</t>
  </si>
  <si>
    <t>Disenar y desarrollar acciones que favorezcan la reformulacion e implementacion de la Politica Publica de Discapacidad para el Distrito Capital y su  interseccionalidad con otras politicas publicas de Bogota.</t>
  </si>
  <si>
    <t>Desarrollar acciones de articulación transectorial para el fortalecimiento de procesos de formación.</t>
  </si>
  <si>
    <t>Promover  acciones para el desarrollo  de competencias orientadas a la inclusión social y productiva de las personas con discapacidad, cuidadores-as</t>
  </si>
  <si>
    <t>Aplicar criterios de focalización al instrumento remitido por la Secretara­a Distrital de Planeacion, teniendo en cuenta las directrices del Comite Coordinador de Ingreso Minimo Garantizado.</t>
  </si>
  <si>
    <t>Descontar los hogares que tienen bloqueos en el instrumento remitido por la SDP</t>
  </si>
  <si>
    <t>Construir listados de dispersiÃ³n de transferencias monetarias no condicionadas y realizar su envÃ­o de acuerdo con las disposiciones de la DirecciÃ³n Distrital de TesorerÃ­a</t>
  </si>
  <si>
    <t>Realizar el pago de comisiones correspondientes a la dispersiÃ³n de transferencias monetarias a operadores financieros, a travÃ©s del mecanismo establecido por la SecretarÃ­a Distrital de Hacienda.</t>
  </si>
  <si>
    <t>Realizar el traslado de recursos asignados a la SecretarÃ­a Distrital de IntegraciÃ³n Social para el pago de transferencias monetarias.</t>
  </si>
  <si>
    <t>Validar la competencia de la SecretarÃ­a Distrital de IntegraciÃ³n Social en las Peticiones, Quejas y Reclamos remitidas por los diferentes interesados, en el marco del pago de transferencias monetarias de Ingreso MÃ­nimo Garantizado.</t>
  </si>
  <si>
    <t>Elaborar los documentos que den respuesta oportuna y de fondo a la solicitud de los diferentes interesados en el pago de transferencias monetarias de ingreso mÃ­nimo garantizado.</t>
  </si>
  <si>
    <t>Remitir las respuestas a las solicitudes de los diferentes interesados de acuerdo con los procesos y procedimientos establecidos por la SDIS.</t>
  </si>
  <si>
    <t>Elaborar los boletines y reportes correspondientes al pago de transferencias monetarias para su divulgaciÃ³n.</t>
  </si>
  <si>
    <t>Realizar la entrega de los informes consolidados del pago de transferencias monetarias de Ingreso MÃ­nimo Garantizado, de acuerdo con la fuente de los recursos.</t>
  </si>
  <si>
    <t>Elaborar y custodiar insumos tÃ©cnicos relacionados con el pago de las trasferencias monetarias de Ingreso MÃ­nimo Garantizado.</t>
  </si>
  <si>
    <t>Cargar la informaciÃ³n procesada de pagos exitosos y no exitosos de transferencias monetarias de ingreso mÃ­nimo garantizado.</t>
  </si>
  <si>
    <t>PROCESO PLANEACIÓN ESTRATÉGICA
FORMATO FORMULACIÓN DEL PLAN DE ACCIÓN Y SEGUIMIENTO A PROYECTOS DE INVERSIÓN</t>
  </si>
  <si>
    <t>Código: FOR-PE-013</t>
  </si>
  <si>
    <t>Versión: NO CONTROLADO</t>
  </si>
  <si>
    <t xml:space="preserve">Fecha: </t>
  </si>
  <si>
    <t>Página: 1 de 14</t>
  </si>
  <si>
    <t>ÍNDICE</t>
  </si>
  <si>
    <t>Tenga en cuenta que los documentos que deben ser usados como referencia para diligenciar la programación de metas y presupuesto son:</t>
  </si>
  <si>
    <t>1. Perfil del proyecto de inversión</t>
  </si>
  <si>
    <t>2. Informes de inversión y gestión de SEGPLAN</t>
  </si>
  <si>
    <t>3. Ficha EBI</t>
  </si>
  <si>
    <t>4. Herramienta Financiera - SEVEN</t>
  </si>
  <si>
    <r>
      <t>ÚNICAMENTE SE PODRÁN MODIFICAR LAS CELDAS EN COLOR</t>
    </r>
    <r>
      <rPr>
        <sz val="16"/>
        <color rgb="FF27A637"/>
        <rFont val="Arial Narrow"/>
        <family val="2"/>
      </rPr>
      <t xml:space="preserve"> </t>
    </r>
    <r>
      <rPr>
        <b/>
        <i/>
        <u/>
        <sz val="22"/>
        <color theme="4" tint="-0.249977111117893"/>
        <rFont val="Arial Narrow"/>
        <family val="2"/>
      </rPr>
      <t>AZUL</t>
    </r>
  </si>
  <si>
    <t>SDES2020</t>
  </si>
  <si>
    <t>Página: 2 de 14</t>
  </si>
  <si>
    <t>1. CUADRO CONTROL</t>
  </si>
  <si>
    <t>ACCIÓN</t>
  </si>
  <si>
    <t>FECHA ACCIÓN</t>
  </si>
  <si>
    <t>RADICADO / MEMORANDO</t>
  </si>
  <si>
    <t>DESCRIPCIÓN DE LA SOLICITUD</t>
  </si>
  <si>
    <t>Fecha:</t>
  </si>
  <si>
    <t>Página: 3 de 14</t>
  </si>
  <si>
    <t>EJECUCIÓN</t>
  </si>
  <si>
    <t>SEVEN</t>
  </si>
  <si>
    <t>APROPIACIÓN</t>
  </si>
  <si>
    <t>CRP</t>
  </si>
  <si>
    <t>%</t>
  </si>
  <si>
    <t>PAGOS</t>
  </si>
  <si>
    <t>RESERVAS</t>
  </si>
  <si>
    <t>VALOR INICIAL</t>
  </si>
  <si>
    <t>TOTAL LIBERACIONES</t>
  </si>
  <si>
    <t>TOTAL RESERVAS</t>
  </si>
  <si>
    <t>SECTORIAL</t>
  </si>
  <si>
    <t>TOTAL</t>
  </si>
  <si>
    <t>MAGNITUDES</t>
  </si>
  <si>
    <t>OBSERVACIONES - ALERTAS</t>
  </si>
  <si>
    <t>METAS PROYECTO</t>
  </si>
  <si>
    <t>METAS PDD</t>
  </si>
  <si>
    <t>PROGRAMACIÓN</t>
  </si>
  <si>
    <t>INDICADOR</t>
  </si>
  <si>
    <t>PRODUCTOS MGA</t>
  </si>
  <si>
    <t>CÓDIGO</t>
  </si>
  <si>
    <t>NOMBRE</t>
  </si>
  <si>
    <t>SOPORTES</t>
  </si>
  <si>
    <t>ACTIVIDAD</t>
  </si>
  <si>
    <t>TAREA</t>
  </si>
  <si>
    <t>SOPORTE</t>
  </si>
  <si>
    <t>NOMBRE DEL SOPORTE</t>
  </si>
  <si>
    <t>ENE</t>
  </si>
  <si>
    <t>FEB</t>
  </si>
  <si>
    <t>MAR</t>
  </si>
  <si>
    <t>ABR</t>
  </si>
  <si>
    <t>MAY</t>
  </si>
  <si>
    <t>JUN</t>
  </si>
  <si>
    <t>JUL</t>
  </si>
  <si>
    <t>AGO</t>
  </si>
  <si>
    <t>SEP</t>
  </si>
  <si>
    <t>OCT</t>
  </si>
  <si>
    <t>NOV</t>
  </si>
  <si>
    <t>DIC</t>
  </si>
  <si>
    <t>OBSERVACIONES</t>
  </si>
  <si>
    <t>Página: 4 de 14</t>
  </si>
  <si>
    <t>2. PROYECTO</t>
  </si>
  <si>
    <t>PRESUPUESTO PROGRAMADO CUATRIENIO 2020 - 2024</t>
  </si>
  <si>
    <t>RESERVAS DEFINITIVAS CUATRIENIO 2020 - 2024</t>
  </si>
  <si>
    <t>PRESUPUESTO COMPROMETIDO CUATRIENIO 2020 - 2024</t>
  </si>
  <si>
    <t>GIROS DE LA VIGENCIA CUATRIENIO 2020 - 2024</t>
  </si>
  <si>
    <t>GIROS DE LAS RESERVAS CUATRIENIO 2020 - 2024</t>
  </si>
  <si>
    <t>(Cifras en pesos corrientes)</t>
  </si>
  <si>
    <t>Gerente del proyecto de inversión</t>
  </si>
  <si>
    <t>Presupuesto programado 2020</t>
  </si>
  <si>
    <t>Presupuesto programado 2021</t>
  </si>
  <si>
    <t>Presupuesto programado 2022</t>
  </si>
  <si>
    <t>Presupuesto programado 2023</t>
  </si>
  <si>
    <t>Presupuesto programado 2024</t>
  </si>
  <si>
    <t>Total presupuesto programado cuatrienio</t>
  </si>
  <si>
    <t>Reservas definitivas 2020</t>
  </si>
  <si>
    <t>Reservas definitivas 2021</t>
  </si>
  <si>
    <t>Reservas definitivas 2022</t>
  </si>
  <si>
    <t>Reservas definitivas 2023</t>
  </si>
  <si>
    <t>Reservas definitivas 2024</t>
  </si>
  <si>
    <t>Presupuesto comprometido 2020</t>
  </si>
  <si>
    <t>Presupuesto comprometido 2021</t>
  </si>
  <si>
    <t>Presupuesto comprometido 2022</t>
  </si>
  <si>
    <t>Presupuesto comprometido 2023</t>
  </si>
  <si>
    <t>Presupuesto comprometido 2024</t>
  </si>
  <si>
    <t>Total presupuesto comprometido cuatrienio</t>
  </si>
  <si>
    <t>Giros de la vigencia 2020</t>
  </si>
  <si>
    <t>Giros de la vigencia 2021</t>
  </si>
  <si>
    <t>Giros de la vigencia 2022</t>
  </si>
  <si>
    <t>Giros de la vigencia 2023</t>
  </si>
  <si>
    <t>Giros de la vigencia 2024</t>
  </si>
  <si>
    <t>Giros de las reservas 2020</t>
  </si>
  <si>
    <t>Giros de las reservas 2021</t>
  </si>
  <si>
    <t>Giros de las reservas 2022</t>
  </si>
  <si>
    <t>Giros de las reservas 2023</t>
  </si>
  <si>
    <t>Giros de las reservas 2024</t>
  </si>
  <si>
    <t>Cristina Venegas</t>
  </si>
  <si>
    <t>Página: 5 de 14</t>
  </si>
  <si>
    <t>3. METAS PROYECTO</t>
  </si>
  <si>
    <t>PROGRAMACIÓN MAGNITUD META PROYECTO CUATRIENIO</t>
  </si>
  <si>
    <t>VALOR ESPERADO MAGNITUD DE META PROYECTO</t>
  </si>
  <si>
    <t>EJECUCIÓN MAGNITUD META PROYECTO CUATRIENIO</t>
  </si>
  <si>
    <t>PROGRAMACIÓN METAS - PLAN DE ACTIVIDADES</t>
  </si>
  <si>
    <t>EJECUCIÓN METAS - PLAN DE ACTIVIDADES</t>
  </si>
  <si>
    <t>ID Meta Proyecto</t>
  </si>
  <si>
    <t>Código proyecto</t>
  </si>
  <si>
    <t>¿La meta le aporta al plan de acción institucional?</t>
  </si>
  <si>
    <t>¿La meta es territorializada?</t>
  </si>
  <si>
    <t>Ponderación de la meta vigencia</t>
  </si>
  <si>
    <t>Magnitud programada 2020</t>
  </si>
  <si>
    <t>Magnitud programada 2021</t>
  </si>
  <si>
    <t>Magnitud programada 2022</t>
  </si>
  <si>
    <t>Magnitud programada 2023</t>
  </si>
  <si>
    <t>Magnitud programada 2024</t>
  </si>
  <si>
    <t>Magnitud programada cuatrienio 2020-2024</t>
  </si>
  <si>
    <t>% Esperado de cumplimiento meta 2020</t>
  </si>
  <si>
    <t>% Esperado de cumplimiento meta 2021</t>
  </si>
  <si>
    <t>% Esperado de cumplimiento meta 2022</t>
  </si>
  <si>
    <t>% Esperado de cumplimiento meta 2023</t>
  </si>
  <si>
    <t>% Esperado de cumplimiento meta 2024</t>
  </si>
  <si>
    <t>Magnitud ejecutada 2020</t>
  </si>
  <si>
    <t>Magnitud ejecutada 2021</t>
  </si>
  <si>
    <t>Magnitud ejecutada 2022</t>
  </si>
  <si>
    <t>Magnitud ejecutada 2023</t>
  </si>
  <si>
    <t>Magnitud ejecutada 2024</t>
  </si>
  <si>
    <t>Magnitud ejecutada cuatrienio 2020-2024</t>
  </si>
  <si>
    <t>Giros de las vigencia 2020</t>
  </si>
  <si>
    <t>Giros de las vigencia 2021</t>
  </si>
  <si>
    <t>Giros de las vigencia 2022</t>
  </si>
  <si>
    <t>Giros de las vigencia 2023</t>
  </si>
  <si>
    <t>Giros de las vigencia 2024</t>
  </si>
  <si>
    <t>Programación Plan de actividades
Enero</t>
  </si>
  <si>
    <t>Programación Plan de actividades
Febrero</t>
  </si>
  <si>
    <t>Programación Plan de actividades
Marzo</t>
  </si>
  <si>
    <t>Programación Plan de actividades
Abril</t>
  </si>
  <si>
    <t>Programación Plan de actividades
Mayo</t>
  </si>
  <si>
    <t>Programación Plan de actividades
Junio</t>
  </si>
  <si>
    <t>Programación Plan de actividades
Julio</t>
  </si>
  <si>
    <t>Programación Plan de actividades
Agosto</t>
  </si>
  <si>
    <t>Programación Plan de actividades
Septiembre</t>
  </si>
  <si>
    <t>Programación Plan de actividades
Octubre</t>
  </si>
  <si>
    <t>Programación Plan de actividades
Noviembre</t>
  </si>
  <si>
    <t>Programación Plan de actividades
Diciembre</t>
  </si>
  <si>
    <t>Total programado plan de actividades Vigencia (Valor esperado vigencia)</t>
  </si>
  <si>
    <t>Ejecución Plan de actividades
Enero</t>
  </si>
  <si>
    <t>Ejecución Plan de actividades
Febrero</t>
  </si>
  <si>
    <t>Ejecución Plan de actividades
Marzo</t>
  </si>
  <si>
    <t>Ejecución Plan de actividades
Abril</t>
  </si>
  <si>
    <t>Ejecución Plan de actividades
Mayo</t>
  </si>
  <si>
    <t>Ejecución Plan de actividades
Junio</t>
  </si>
  <si>
    <t>Ejecución Plan de actividades
Julio</t>
  </si>
  <si>
    <t>Ejecución Plan de actividades
Agosto</t>
  </si>
  <si>
    <t>Ejecución Plan de actividades
Septiembre</t>
  </si>
  <si>
    <t>Ejecución Plan de actividades
Octubre</t>
  </si>
  <si>
    <t>Ejecución Plan de actividades
Noviembre</t>
  </si>
  <si>
    <t>Ejecución Plan de actividades
Diciembre</t>
  </si>
  <si>
    <t>Total ejecutado plan de actividades Vigencia</t>
  </si>
  <si>
    <t>Porcentaje de avance metas proyecto por Plan de Actividades Vigencia</t>
  </si>
  <si>
    <t>Porcentaje de ejecución vigencia magnitud meta proyecto</t>
  </si>
  <si>
    <t>Porcentaje de ejecución cuatrienio magnitud meta proyecto</t>
  </si>
  <si>
    <t>SI</t>
  </si>
  <si>
    <t>NO</t>
  </si>
  <si>
    <t>Total</t>
  </si>
  <si>
    <t xml:space="preserve">0 </t>
  </si>
  <si>
    <t>Página: 6 de 14</t>
  </si>
  <si>
    <t>4. METAS PDD</t>
  </si>
  <si>
    <t>PROGRAMACIÓN MAGNITUD META PDD CUATRIENIO</t>
  </si>
  <si>
    <t>EJECUCIÓN MAGNITUD META PDD CUATRIENIO</t>
  </si>
  <si>
    <t>ID meta PDD</t>
  </si>
  <si>
    <t>No. Meta sectorial</t>
  </si>
  <si>
    <t>No. Indicador</t>
  </si>
  <si>
    <t xml:space="preserve">Línea base </t>
  </si>
  <si>
    <t>Fuente</t>
  </si>
  <si>
    <t>Meta Sectorial 2024</t>
  </si>
  <si>
    <t>Magnitud</t>
  </si>
  <si>
    <t>Magnitud programada indicador propósito 2020</t>
  </si>
  <si>
    <t>Magnitud programada indicador propósito 2021</t>
  </si>
  <si>
    <t>Magnitud programada indicador propósito 2022</t>
  </si>
  <si>
    <t>Magnitud programada indicador propósito 2023</t>
  </si>
  <si>
    <t>Magnitud programada indicador propósito 2024</t>
  </si>
  <si>
    <t>Total programación cuatrienio indicador propósito 2020-2024</t>
  </si>
  <si>
    <t>Magnitud ejecutada indicador propósito 2020</t>
  </si>
  <si>
    <t>Magnitud ejecutada indicador propósito 2021</t>
  </si>
  <si>
    <t>Magnitud ejecutada indicador propósito 2022</t>
  </si>
  <si>
    <t>Magnitud ejecutada indicador propósito 2023</t>
  </si>
  <si>
    <t>Magnitud ejecutada indicador propósito 2024</t>
  </si>
  <si>
    <t>Total ejecución cuatrienio indicador propósito 2020-2024</t>
  </si>
  <si>
    <t>Política Pública de Infancia y Adolescencia de Bogotá (2011-2021)
Bateria de indicadores SMIA (2014-2019)</t>
  </si>
  <si>
    <t>Política Pública de Infancia y Adolescencia de Bogotá 2011-2021</t>
  </si>
  <si>
    <t>53.832 Gestantes,niñas y niños atendidos al 30 de abril de 2020</t>
  </si>
  <si>
    <t>Sistema de Registro de Beneficiarios SIRBE- Secretaría Integración Social.</t>
  </si>
  <si>
    <t>12.478 Niñas, niños y adolescentes atendidos minimo durante 30 días en Centro Amar y Estrategia Móvil a 31 de diciembre de 2019
163 Niños y niñas atendidos mínimo durante 30 días en Centro Abrazar a 31 de diciembre de 2019
132 niños, niñas y adolescentes atendidos mínimo durante 30 días en prevención de Violencia Sexual en el marco de la violencia intrafamiliar a 31 de diciembre de 2019</t>
  </si>
  <si>
    <t>Informe de Personas Únicas Atendidas PUA- Secretaría Integración Social. SIRBE Comisarías de familia.</t>
  </si>
  <si>
    <t>6.877 niños, niñas y adolescentes únicos  atendidos a través de casas de memoria y lúdica y papalotl  (2019)</t>
  </si>
  <si>
    <t>Página: 7 de 14</t>
  </si>
  <si>
    <t>5. PRODUCTOS MGA</t>
  </si>
  <si>
    <t>PROGRAMACIÓN INDICADOR PRODUCTO MGA CUATRIENIO</t>
  </si>
  <si>
    <t>EJECUCIÓN  INDICADOR PRODUCTO MGA CUATRIENIO</t>
  </si>
  <si>
    <t>ID Producto</t>
  </si>
  <si>
    <t>¿Es acumulativo?</t>
  </si>
  <si>
    <t>Magnitud programada indicador de producto 2020</t>
  </si>
  <si>
    <t>Magnitud programada indicador de producto 2021</t>
  </si>
  <si>
    <t>Magnitud programada indicador de producto 2022</t>
  </si>
  <si>
    <t>Magnitud programada indicador de producto 2023</t>
  </si>
  <si>
    <t>Magnitud programada indicador de producto 2024</t>
  </si>
  <si>
    <t>Total programación cuatrienio indicador de producto 2020-2024</t>
  </si>
  <si>
    <t>Magnitud ejecutada indicador de producto 2020</t>
  </si>
  <si>
    <t>Magnitud ejecutada indicador de producto 2021</t>
  </si>
  <si>
    <t>Magnitud ejecutada indicador de producto 2022</t>
  </si>
  <si>
    <t>Magnitud ejecutada indicador de producto 2023</t>
  </si>
  <si>
    <t>Magnitud ejecutada indicador de producto 2024</t>
  </si>
  <si>
    <t>Total ejecución cuatrienio indicador de producto 2020-2024</t>
  </si>
  <si>
    <t>4102001</t>
  </si>
  <si>
    <t>Página: 8 de 14</t>
  </si>
  <si>
    <t>6. ACTIVIDADES</t>
  </si>
  <si>
    <t>PROGRAMACIÓN ACTIVIDADES - PLAN DE ACTIVIDADES</t>
  </si>
  <si>
    <t>EJECUCIÓN ACTIVIDADES - PLAN DE ACTIVIDADES</t>
  </si>
  <si>
    <t>PROGRAMACIÓN ACTIVIDADES - PLAN DE ACTIVIDADES PONDERADO</t>
  </si>
  <si>
    <t>EJECUCIÓN ACTIVIDADES - PLAN DE ACTIVIDADES PONDERADO</t>
  </si>
  <si>
    <t>meta</t>
  </si>
  <si>
    <t>ID Meta Actividad</t>
  </si>
  <si>
    <r>
      <t xml:space="preserve">N° de Actividad
</t>
    </r>
    <r>
      <rPr>
        <b/>
        <sz val="8"/>
        <rFont val="Arial Narrow"/>
        <family val="2"/>
      </rPr>
      <t>(Consecutivo por meta)</t>
    </r>
  </si>
  <si>
    <r>
      <t xml:space="preserve">Consecutivo actividad SEGPLAN
</t>
    </r>
    <r>
      <rPr>
        <b/>
        <sz val="8"/>
        <rFont val="Arial Narrow"/>
        <family val="2"/>
      </rPr>
      <t>(Consecutivo por proyecto)</t>
    </r>
  </si>
  <si>
    <t>Descripción de la Actividad</t>
  </si>
  <si>
    <t>Responsable de la Actividad</t>
  </si>
  <si>
    <t xml:space="preserve">Ponderación de la Actividad (Deben sumar el 100% del proyecto) </t>
  </si>
  <si>
    <t>Fecha de inicio de la actividad DD/MM/AAAA</t>
  </si>
  <si>
    <t>Fecha de finalización de la actividad DD/MM/AAAA</t>
  </si>
  <si>
    <t>Total programado plan de actividades</t>
  </si>
  <si>
    <t>Total Ejecutado plan de actividades</t>
  </si>
  <si>
    <t>Porcentaje de avance Actividad Vigencia</t>
  </si>
  <si>
    <t>EneroPONDPROG</t>
  </si>
  <si>
    <t>FebreroPONDPROG</t>
  </si>
  <si>
    <t>MarzoPONDPROG</t>
  </si>
  <si>
    <t>AbrilPONDPROG</t>
  </si>
  <si>
    <t>MayoPONDPROG</t>
  </si>
  <si>
    <t>JunioPONDPROG</t>
  </si>
  <si>
    <t>JulioPONDPROG</t>
  </si>
  <si>
    <t>AgostoPONDPROG</t>
  </si>
  <si>
    <t>SeptiembrePONDPROG</t>
  </si>
  <si>
    <t>OctubrePONDPROG</t>
  </si>
  <si>
    <t>NoviembrePONDPROG</t>
  </si>
  <si>
    <t>DiciembrePONDPROG</t>
  </si>
  <si>
    <t>EneroPONDEJEC</t>
  </si>
  <si>
    <t>FebreroPONDEJEC</t>
  </si>
  <si>
    <t>MarzoPONDEJEC</t>
  </si>
  <si>
    <t>AbrilPONDEJEC</t>
  </si>
  <si>
    <t>MayoPONDEJEC</t>
  </si>
  <si>
    <t>JunioPONDEJEC</t>
  </si>
  <si>
    <t>JulioPONDEJEC</t>
  </si>
  <si>
    <t>AgostoPONDEJEC</t>
  </si>
  <si>
    <t>SeptiembrePONDEJEC</t>
  </si>
  <si>
    <t>OctubrePONDEJEC</t>
  </si>
  <si>
    <t>NoviembrePONDEJEC</t>
  </si>
  <si>
    <t>DiciembrePONDEJEC</t>
  </si>
  <si>
    <t>MIGUEL GONZÁLEZ
EDNY LORENA PINEDA</t>
  </si>
  <si>
    <t>01/20/2024</t>
  </si>
  <si>
    <t>RAUL ALVAREZ</t>
  </si>
  <si>
    <t>JOHANNA LOZANO
ALCIRA DAZA
YANETH GONZÁLEZ
JANETH SANTIAGO</t>
  </si>
  <si>
    <t>PAULA SOLANO</t>
  </si>
  <si>
    <t>ANGELICA MARTINEZ</t>
  </si>
  <si>
    <t xml:space="preserve">JOHANNA LOZANO
</t>
  </si>
  <si>
    <t>YANETH GONZALEZ</t>
  </si>
  <si>
    <t>MARIA CAROLINA BOHORQUEZ BELLO</t>
  </si>
  <si>
    <t>MARÍA CAROLINA BOHÓRQUEZ</t>
  </si>
  <si>
    <t>ANA LUCÍA LUCUMI
NICOLÁS MORENO</t>
  </si>
  <si>
    <t>ANA LUCÍA LUCUMI
VIVIANA ROJAS DIVANTOQUE</t>
  </si>
  <si>
    <t>ANA LUCÍA LUCUMÍ
JULIAN GARCÍA</t>
  </si>
  <si>
    <t>MARCELA GOMEZ // ADRIANA SANCHEZ</t>
  </si>
  <si>
    <t>MARCELA GÓMEZ CAÑAS</t>
  </si>
  <si>
    <t>PAOLA GIRALDO
CATHERINE MORENO</t>
  </si>
  <si>
    <t>JENNY CAROLINA ACERO</t>
  </si>
  <si>
    <t xml:space="preserve"> </t>
  </si>
  <si>
    <t>Página: 9 de 14</t>
  </si>
  <si>
    <t>7. TAREAS</t>
  </si>
  <si>
    <t>PROGRAMACIÓN TAREAS - PLAN DE ACTIVIDADES</t>
  </si>
  <si>
    <t>PROGRAMACIÓN TAREAS - POBLACIÓN</t>
  </si>
  <si>
    <t>EJECUCIÓN TAREAS - PLAN DE ACTIVIDADES</t>
  </si>
  <si>
    <t>EJECUCIÓN TAREAS - POBLACIÓN</t>
  </si>
  <si>
    <t>ID Tarea</t>
  </si>
  <si>
    <r>
      <t xml:space="preserve">N° de Actividad
</t>
    </r>
    <r>
      <rPr>
        <sz val="9"/>
        <rFont val="Arial Narrow"/>
        <family val="2"/>
      </rPr>
      <t>(Consecutivo por meta)</t>
    </r>
  </si>
  <si>
    <t>N° de tarea</t>
  </si>
  <si>
    <t>Descripción de la tarea</t>
  </si>
  <si>
    <t>Responsable de la tarea</t>
  </si>
  <si>
    <t>Fecha de inicio de la tarea DD/MM/AAAA</t>
  </si>
  <si>
    <t>Fecha de finalización de la tarea DD/MM/AAAA</t>
  </si>
  <si>
    <t>¿Responde a una meta SIRBE? 
SI/NO</t>
  </si>
  <si>
    <t xml:space="preserve">Ponderación de la tarea (Deben sumar el 100% de la actividad) </t>
  </si>
  <si>
    <t>Población programada enero</t>
  </si>
  <si>
    <t>Población programada febrero</t>
  </si>
  <si>
    <t>Población programada marzo</t>
  </si>
  <si>
    <t>Población programada abril</t>
  </si>
  <si>
    <t>Población programada mayo</t>
  </si>
  <si>
    <t>Población programada junio</t>
  </si>
  <si>
    <t>Población programada julio</t>
  </si>
  <si>
    <t>Población programada agosto</t>
  </si>
  <si>
    <t>Población programada septiembre</t>
  </si>
  <si>
    <t>Población programada octubre</t>
  </si>
  <si>
    <t>Población programada noviembre</t>
  </si>
  <si>
    <t>Población programada diciembre</t>
  </si>
  <si>
    <t>Total  de Población programada</t>
  </si>
  <si>
    <t>Población atendida enero</t>
  </si>
  <si>
    <t>Población atendida febrero</t>
  </si>
  <si>
    <t>Población atendida marzo</t>
  </si>
  <si>
    <t>Población atendida abril</t>
  </si>
  <si>
    <t>Población atendida mayo</t>
  </si>
  <si>
    <t>Población atendida junio</t>
  </si>
  <si>
    <t>Población atendida julio</t>
  </si>
  <si>
    <t>Población atendida agosto</t>
  </si>
  <si>
    <t>Población atendida septiembre</t>
  </si>
  <si>
    <t>Población atendida octubre</t>
  </si>
  <si>
    <t>Población atendida noviembre</t>
  </si>
  <si>
    <t>Población atendida diciembre</t>
  </si>
  <si>
    <t>Total  de Población atendida</t>
  </si>
  <si>
    <t>Porcentaje de avance Tarea vigencia</t>
  </si>
  <si>
    <t>Porcentaje de avance Población Vigencia</t>
  </si>
  <si>
    <t>Realizar seguimiento a la implementación de Política Pública de Primera Infancia, Infancia y Adolescencia Distrital en el marco del CODIA, de las Mesas Técnicas adscritas a este (PETIA, PRUUNNA, IGOS, Participación) y de los COLIA.</t>
  </si>
  <si>
    <t xml:space="preserve">MIGUEL GONZÁLEZ
EDNY LORENA PINEDA
</t>
  </si>
  <si>
    <t>Presentar la matriz de reporte de seguimiento al plan de accion de Política Pública de Primera Infancia, Infancia y Adolescencia</t>
  </si>
  <si>
    <t>Elaborar un Informe de resultados del Sistema de Monitoreo de las Condiciones de Vida de la Infancia y la Adolescencia de Bogotá.</t>
  </si>
  <si>
    <t xml:space="preserve">Consolidar 05 Grupos Territoriales (presenciales o virtuales) de Participación Infantil, a fin de promover ejercicios de participación con incidencia en las comunidades. </t>
  </si>
  <si>
    <t>RAÚL TOVAR</t>
  </si>
  <si>
    <t>Realizar sesiones (virtuales o presenciales) de los Consejos Consultivos Locales y Consejo Distrital de Niñez, en las 20 localidades y a nivel Distrital, a fin de favorecer la incidencia de las niñas, los niños y adolescentes en las transformaciones sociales de sus territorios y de la ciudad.</t>
  </si>
  <si>
    <t>Acompañar técnicamente las actividades de los Consejos Tutelares de niñas, niños y adolescentes y la entrega de insumos en el marco  de las competencias de la SDIS en el acuerdo 110 de 2003.</t>
  </si>
  <si>
    <t>CAROLINA TAPIERO</t>
  </si>
  <si>
    <t>Informe de seguimiento a la gestion operativa del servicio jardines infantiles</t>
  </si>
  <si>
    <t>JOHANNA LOZANO</t>
  </si>
  <si>
    <t>Atender con enfoque diferencial a las niñas y niños desde la gestación a través de la modalidad Creciendo Juntos, generando en ellos espacios protectores para un crecimiento y desarrollo en el marco de la garantía de derechos.</t>
  </si>
  <si>
    <t>ANGÉLICA MARTÍNEZ</t>
  </si>
  <si>
    <t>Desarrollar 1 proceso de supervisión a los jardines cofinanciados para determinar las alertas en la atención  y  hacer seguimiento a las acciones de  mejora en la prestación del servicio, en las  Subdirecciones locales que cuentan con jardines infantiles cofinanciados</t>
  </si>
  <si>
    <t>Desarrollar 1 proceso de supervisión para determinar las alertas en la atención  y  hacer seguimiento a las acciones de  mejora en la prestación del servicio, en las 10 subdirecciones locales que cuentan con jardines infantiles sociales</t>
  </si>
  <si>
    <t>Realizar  la actualización de los Proyectos Educativos Comunitarios PEC en los cinco  territorios rurales donde se desarrolla atención a la primera infancia crecemos en la rualidad.</t>
  </si>
  <si>
    <t>YANETH GONZÁLEZ</t>
  </si>
  <si>
    <t>Desarrollar 3 encuentros anuales  para fortalecer la participación y movilización social de imaginarios en torno a la inclusión de gestantes, niñas, niños  en los territorios rurales donde se  desarrolla las modalidades, para fortalecer rutas de cuidado   con perspectiva  del enfoque diferencial y de género.</t>
  </si>
  <si>
    <t>Desarrollar 1 proceso de asistencia técnica  en lactancia materna y alimentación infantil saludable desde lo territorial, con el fin de certificar, recertificar y Generar sostenibilidad a las Salas Amigas de la ciudad en las tres modalidades: institucional, comunitario y laboral.</t>
  </si>
  <si>
    <t>MARIA CAROLINA BOHÓRQUEZ</t>
  </si>
  <si>
    <t>Implementar 1 estrategia de  movilización social en lactancia materna,  con enfoque de género que se consoliden en la Celebración de la Semana Mundial de la Lactancia Materna [SMLM] anualmente.</t>
  </si>
  <si>
    <t>ANA LUCÍA LUCUMI</t>
  </si>
  <si>
    <t>Realizar 1 informe de las acciones adelantadas en los servicios y las estrategias de la subdirección para la infancia, que aportan a la transversalización del enfoque diferencial, el enfoque de género y el sistema de cuidado. </t>
  </si>
  <si>
    <t>Implementar la Estrategia Entre Pares en los servicios sociales y estrategias de la Subdirección para la Infancia.</t>
  </si>
  <si>
    <t>Implementar las estrategias: Sawabona, raizal aidentity, Muge Chave Ava Varele, para la pervivencia cultural de los pueblos negros, afrodescendiente, palenqueros, raizales y Rrom-Gitano; en los servicios sociales y estrategias de la subdirección para la infancia. </t>
  </si>
  <si>
    <t>Realizar 1 proceso de gestión intra e interinstitucional  para la movilización e implementación de la RIAGA y sus atenciones.</t>
  </si>
  <si>
    <t xml:space="preserve">Realizar 1 proceso de seguimiento a la atención integral desde la gestión distrital y territorial en el marco de la RIAGA.  
</t>
  </si>
  <si>
    <t>Realizar 1 proceso de gestión intra e interinstitucional para la implementación del SSN como herramienta orientadora  para la toma de decisiones y gestión en el  marco de la RIAGA.</t>
  </si>
  <si>
    <t>Implementar la línea técnica del modelo de Atención para NNA en Situación y Riesgo de Trabajo Infantil en los Centros Amar y  la Estrategia Móvil PETI</t>
  </si>
  <si>
    <t>CATHERINE MORENO</t>
  </si>
  <si>
    <t>Socialización del Anexo técnico de estándares de Calidad del servicio Centros Amar.</t>
  </si>
  <si>
    <t>Socializar el protocolo de atención de la modalidad de atención a la denuncia ciudadana.</t>
  </si>
  <si>
    <t>PAOLA GIRLADO</t>
  </si>
  <si>
    <t>Implementar acciones para la atención de niñas y niños migrantes en situación de riesgo de vulneración de derechos.</t>
  </si>
  <si>
    <t>Oficializar y socializar el lineamiento pedagógico de el servicio el Arte de Cuidar- te,a el talento humano que hace parte del servicio</t>
  </si>
  <si>
    <t>LYDA MARTÍNEZ</t>
  </si>
  <si>
    <t>Desarrollar espacios flexibles de implementación de la Estrategia el Arte de Cuidarte.</t>
  </si>
  <si>
    <t xml:space="preserve">Implementar la Línea técnica de la Estrategia Atrapasueños </t>
  </si>
  <si>
    <t>NICOLÁS MORENO</t>
  </si>
  <si>
    <t>Página: 10 de 14</t>
  </si>
  <si>
    <t>8. SOPORTES</t>
  </si>
  <si>
    <t>PROGRAMACIÓN SOPORTES - PLAN DE ACTIVIDADES</t>
  </si>
  <si>
    <t>ENTREGA DE SOPORTES - PLAN DE ACTIVIDADES</t>
  </si>
  <si>
    <t>actividad</t>
  </si>
  <si>
    <t>tarea</t>
  </si>
  <si>
    <t>ID Soportes</t>
  </si>
  <si>
    <t>N° de Soporte</t>
  </si>
  <si>
    <t>Nombre del soporte</t>
  </si>
  <si>
    <t>¿El soporte contribuye a un producto MGA? 
SI/NO</t>
  </si>
  <si>
    <t>Contenido del soporte</t>
  </si>
  <si>
    <t>Ponderación del soporte para la tarea ( la suma de los % debe dar 100% para la tarea))</t>
  </si>
  <si>
    <t>Validación (El total de la programación vigencia, debe ser igual al valor ponderado para la tarea)</t>
  </si>
  <si>
    <t>Soportes entregados Plan de actividades
Enero</t>
  </si>
  <si>
    <t>Soportes entregados Plan de actividades
Febrero</t>
  </si>
  <si>
    <t>Soportes entregados Plan de actividades
Marzo</t>
  </si>
  <si>
    <t>Soportes entregados Plan de actividades
Abril</t>
  </si>
  <si>
    <t>Soportes entregados Plan de actividades
Mayo</t>
  </si>
  <si>
    <t>Soportes entregados Plan de actividades
Junio</t>
  </si>
  <si>
    <t>Soportes entregados Plan de actividades
Julio</t>
  </si>
  <si>
    <t>Soportes entregados Plan de actividades
Agosto</t>
  </si>
  <si>
    <t>Soportes entregados Plan de actividades
Septiembre</t>
  </si>
  <si>
    <t>Soportes entregados Plan de actividades
Octubre</t>
  </si>
  <si>
    <t>Soportes entregados Plan de actividades
Noviembre</t>
  </si>
  <si>
    <t>Soportes entregados Plan de actividades
Diciembre</t>
  </si>
  <si>
    <t>Porcentaje de cumplimiento entrega de soporte</t>
  </si>
  <si>
    <t xml:space="preserve">Matriz con relación de actas  
Actas y soporte de asistencia al Nodo técnico CODIA, CODIA y  Mesas Técnicas adscritas </t>
  </si>
  <si>
    <t>Matriz con relación  de actas  distritales y/o locales que contiene
Fecha 
Lugar de reunión
Agenda o temática
Objetivo
Número de participantes 
Compromisos
Adjunto PDF de Actas y  soporte de asistencia presencial o virtual (formulario en línea o capturas de pantalla)</t>
  </si>
  <si>
    <t>Matriz de reporte de seguimiento al plan de accion de Política Pública de Primera Infancia, Infancia y Adolescencia</t>
  </si>
  <si>
    <t xml:space="preserve">Matriz que contiene: Avance cualiativo, cunatitativo y seguimiento financiero de la  Política Pública de Primera Infancia, Infancia y Adolescencia
</t>
  </si>
  <si>
    <t>Informe de resultados del Sistema de Monitoreo de las Condiciones de Vida de la Infancia y la Adolescencia de Bogotá.</t>
  </si>
  <si>
    <t>Informe  de acuerdo a lo establecido en el acuerdo 238 de 2006 y Decreto 031 de 2007</t>
  </si>
  <si>
    <t>Matriz con relación de  actas, actas y listados de participantes.</t>
  </si>
  <si>
    <t>Informe de gestion de los Consejos Consultivos Locales y Consejo Distrital de Niñas, niños y adolecentes, en las 20 localidades y a nivel Distrital, a fin de favorecer la incidencia de las niñas, los niños y adolescentes en las transformaciones sociales de sus territorios y de la ciudad.</t>
  </si>
  <si>
    <t xml:space="preserve">Un Informe de seguimiento  
Cada uno debe contener: 
a. Portada (señalando: proyecto de inversión, titulo referenciando el contenido del texto; tiempo del informe y el nombre de quien elaboró y aprobó) 
b. índice que referencie el contenido del texto
c. Introducción
d. Objetivos
e. Glosario términos
f. Desarrollo (Logors,  avances, y retos)
g. Recomendaciones </t>
  </si>
  <si>
    <t>Matriz con relación de  actas, actas y listados de participantes.a las actividades de los Consejos Tutelares de niñas, niños y adolescentes.</t>
  </si>
  <si>
    <t>Matriz de Información que relacione: 
Fecha 
Lugar de reunión
Agenda o temática
Objetivo
Número de participantes
Compromisos
Archivos Adjuntos: PDF de Actas</t>
  </si>
  <si>
    <t>Desarrollar un informe de supervision.</t>
  </si>
  <si>
    <t xml:space="preserve">Informe que contiene:
a. Portada (señalando: proyecto de inversión, titulo referenciando el contenido del texto; tiempo del informe y el nombre de quien elaboró y aprobó) 
b. Introducción
c. Desarrollo
d. Conclusión
Se realizará entrega en agosto y diciembre
a. Portada (señalando: proyecto de inversión, titulo referenciando el contenido del texto; tiempo del informe y el nombre de quien elaboró y aprobó) 
b. índice que referencie el contenido del texto. 
c. Introducción
d. objetivos
e. Glosario términos 
f. Desarrollo 
g. Conclusiones
h. Anexos con su respectiva tabla. 
</t>
  </si>
  <si>
    <t xml:space="preserve">Informe de avance de los planes de acompañamiento técnico  a  jardines infantiles </t>
  </si>
  <si>
    <t xml:space="preserve">Se realizará entrega en marzo
a. Portada (señalando: proyecto de inversión, titulo referenciando el contenido del texto; tiempo del informe y el nombre de quien elaboró y aprobó) 
b. Introducción
c. Desarrollo
d. Conclusión
Se realizará entrega en julio e informe de gestión en diciembre
a. Portada (señalando: proyecto de inversión, titulo referenciando el contenido del texto; tiempo del informe y el nombre de quien elaboró y aprobó) 
b. índice que referencie el contenido del texto. 
c. Introducción
d. objetivos
e. Glosario términos 
f. Desarrollo 
g. Conclusiones
h. Anexos con su respectiva tabla. </t>
  </si>
  <si>
    <t>Reporte generado por la DADE- SIRBE
Informe del proceso de  supervisión de la modalidad Creciendo Juntos</t>
  </si>
  <si>
    <t xml:space="preserve">Reporte generado por la DADE- SIRBE se entrega de febrero a MAYO
Se realizará entrega en marzo
a. Portada (señalando: proyecto de inversión, titulo referenciando el contenido del texto; tiempo del informe y el nombre de quien elaboró y aprobó) 
b. Introducción
c. Desarrollo
d. Conclusión
Se realizará entrega en agosto y diciembre
a. Portada (señalando: proyecto de inversión, titulo referenciando el contenido del texto; tiempo del informe y el nombre de quien elaboró y aprobó) 
b. índice que referencie el contenido del texto. 
c. Introducción
d. objetivos
e. Glosario términos 
f. Desarrollo 
g. Conclusiones
h. Anexos con su respectiva tabla. 
</t>
  </si>
  <si>
    <t xml:space="preserve">Reporte aspectos por fortalecer -Jardines infantiles cofinanciados </t>
  </si>
  <si>
    <t>Se entregará en Mayo 
a. Portada (señalando: proyecto de inversión, titulo referenciando el contenido del texto; tiempo del informe y el nombre de quien elaboró y aprobó) 
b. índice que referencie el contenido del texto. 
c. Introducción
d. objetivos
e. Glosario términos 
f. Desarrollo 
g. Conclusiones y logros estratégicos
h. Recomendaciones y alertas</t>
  </si>
  <si>
    <t xml:space="preserve">Reporte aspectos por fortalecer -Jardines infantiles sociales </t>
  </si>
  <si>
    <t>Se entregará en Mayo, 
a. Portada (señalando: proyecto de inversión, titulo referenciando el contenido del texto; tiempo del informe y el nombre de quien elaboró y aprobó) 
b. índice que referencie el contenido del texto. 
c. Introducción
d. objetivos
e. Desarrollo
f.  Aspectos a fortalecer identificados en el marco de la supervisión
g. Conclusiones y logros estratégicos
h. Recomendaciones y alertas</t>
  </si>
  <si>
    <t>Fichas SIRBE de las cualificaciones
Informe de implementacion a los PEC</t>
  </si>
  <si>
    <t>Introducción
Desarrollo
Avances y conclusiones</t>
  </si>
  <si>
    <t>Fichas SIRBE de las cualificaciones
Matriz no controlada de cualificaciones</t>
  </si>
  <si>
    <t>No. de jornadas de cualificaciones en lactancia realizadas en el periodo
No. Personas Cualificadas en Lactancia Materna en el periodo informado
N° de Jornadas de Fortalecimiento Técnico en Lactancia Materna en el periodo
N° de personas con Fortalecimiento Técnico en Lactancia Materna en el periodo</t>
  </si>
  <si>
    <t xml:space="preserve">Formato de Planeación y Planilla de Asistencia 
Matriz con relación de encuentros </t>
  </si>
  <si>
    <t xml:space="preserve">Se entrega en:  febrero, marzo, abril y mayo
La planeación contiene
- Portada
- Fecha
- Objetivos
- Metodología
- Desarrollo del Encuentro
- Resultado del Encuentro
Anexo con planilla asistencia presencial o virtual (formulario en línea o capturas de pantalla) o ficha Sirbe Curso
Matriz con la relación acumulada de las jornadas que se realizan en la vigencia:  La matriz debe contener
Fecha 
Lugar de reunión
Agenda o temática
Objetivo
Número de participantes
Logros y acciones relevantes
Compromisos
</t>
  </si>
  <si>
    <t>Se entrega en:  febrero, marzo, abril y mayo
La planeación contiene
- Portada
- Fecha
- Objetivos
- Metodología
- Desarrollo del Encuentro
- Resultado del Encuentro
Anexo con planilla asistencia presencial o virtual (formulario en línea o capturas de pantalla) o ficha Sirbe Curso
Matriz con la relación acumulada de los encuentros que se realizan en la vigencia:  La matriz debe contener
Fecha 
Lugar de reunión
Agenda o temática
Objetivo
Número de participantes
Logros y acciones relevantes
Compromisos</t>
  </si>
  <si>
    <t>Informe de avances</t>
  </si>
  <si>
    <t xml:space="preserve">Se entrega en mayo
El informe contiene:
a. Portada (señalando: proyecto de inversión, titulo referenciando el contenido del texto; tiempo del informe y el nombre de quien elaboró y aprobó) 
b. Índice o tabla de contenido
c. Introducción
d. Objetivos
e. Glosario de Términos
f. Contextualización y desarrollo
g. Avances y logros
g. Conclusiones 
Por cada una de las tareas propuestas. 
Para el informe final se agregan los siguientes capítulos
* Retos
* Recomendaciones 
* Anexos con su respectiva tabla.
</t>
  </si>
  <si>
    <t xml:space="preserve">Reporte de atención generado por la DADE-SIRBE 
Matriz cuantitativa con los componentes de la Estrategia Entre Pares </t>
  </si>
  <si>
    <t>Febrero a mayo: Soporte de meta remitido por la DADE.
Febrero a diciembre
La matriz contiene datos cuantitativos por cada una de las Subdirecciones Locales para la integración Social, organizado en los componentes de la Estrategia:
1. Movilización social
2. Identificación y acceso
3. Participación con equidad
4. Transición</t>
  </si>
  <si>
    <t xml:space="preserve">Formato de planeación y planilla de asistencia o captura de pantalla en caso de ser virtual
Matriz con relación de encuentros </t>
  </si>
  <si>
    <t>Se entrega en:  febrero, marzo, abril y mayo
La planeación contiene:
- Portada
- Fecha de ejecución 
- objetivo 
- Metodología.
- Desarrollo del Encuentro 
- Resultado del encuentro
El formato se acompañará de la planilla de asistencia presencial o virtual (formulario en línea o capturas de pantalla).
Matriz con relación de encuentros realizados a lo largo de la vigencia
La matriz debe contener
Fecha 
Lugar de reunión
Agenda o temática
Objetivo
Número de participantes
Logros y acciones relevantes
Compromisos</t>
  </si>
  <si>
    <t xml:space="preserve">Formato de Planeación y ejecución que incluye soporte de la Ficha Sirbe Curso o planilla de Asistencia (ya sea presencial o virtual)
Matriz con relación de encuentros </t>
  </si>
  <si>
    <t>Se entrega en:  febrero, marzo, abril y mayo
La planeación contiene
- Portada
- Fecha
- Objetivos
- Metodología
- Desarrollo del Encuentro
- Resultado del Encuentro
Anexo con planilla asistencia presencia o virtual (formulario en línea o capturas de pantalla o ficha Sirbe Curso)
Matriz con relación de encuentros realizados a lo largo de la vigencia
La matriz debe contener
Fecha 
Lugar de reunión
Agenda o temática
Objetivo
Número de participantes
Logros y acciones relevantes
Compromisos</t>
  </si>
  <si>
    <t>Reporte de atención generado por la DADE-SIRBE
Matriz de acompañamiento de las Estrategias:  Sawabona, raizal aidentity, Rrom-Gitano</t>
  </si>
  <si>
    <t>Febrero a mayo: Soporte de meta remitido por la DADE.
La matriz contiene las unidades operativas, total de acompañamientos, fecha de acompañamiento y nombre de sabedora que acompaña.</t>
  </si>
  <si>
    <t xml:space="preserve">Formato de Acta de trabajo
Matriz con relación de actas
</t>
  </si>
  <si>
    <t>Se entrega en:  febrero, marzo, abril y mayo
El acta de trabajo contiene:
-Fecha
-Lugar de reunión
-Agenda o temática
-Desarrollo
-Compromisos
-Asistentes
Matriz con relación de actas acumuladas de la vigencia se acompañará con PDF de las actas y planilla de asistencia presencial o virtual (formulario en línea o capturas de pantalla).
La matriz debe contener
Fecha 
Lugar de reunión
Agenda o temática
Objetivo
Número de participantes
Logros y acciones relevantes
Compromisos</t>
  </si>
  <si>
    <t>Formato de Planeación y soporte de asistencia presencial o virtual (Captura de pantalla)
Matriz con relación de encuentros</t>
  </si>
  <si>
    <t xml:space="preserve">Formato de Planeación y Planilla de Asistencia 
Matriz con relación de encuentros </t>
  </si>
  <si>
    <t>Se entrega demayo
La planeación contiene
- Portada
- Fecha
- Objetivos
- Metodología
- Desarrollo del Encuentro
- Resultado del Encuentro
Anexo con planilla asistencia presencial o virtual (formulario en línea o capturas de pantalla) o ficha Sirbe Curso
Matriz con la relación acumulada de los encuentros que se realizan en la vigencia:  La matriz debe contener
Fecha 
Lugar de reunión
Agenda o temática
Objetivo
Número de participantes
Logros y acciones relevantes
Compromisos</t>
  </si>
  <si>
    <t>Matriz con relación de actas de distritales de RIAPI, Y RIAIA, ACTAS FIRMADAS Y MATIZ</t>
  </si>
  <si>
    <t>Informe seguimiento a la implemantacion de la estrategia.</t>
  </si>
  <si>
    <t xml:space="preserve">Se entrega en MAYO
Un Informe de seguimiento  
Cada uno debe contener: 
a. Portada (señalando: proyecto de inversión, titulo referenciando el contenido del texto; tiempo del informe y el nombre de quien elaboró y aprobó) 
b. índice que referencie el contenido del texto
c. Introducción
d. Objetivos
e. Glosario términos
f. Desarrollo (Logors,  avances, y retos)
g. Recomendaciones 
</t>
  </si>
  <si>
    <t>Reporte de gestión intra e institucional para la implementación del SSN</t>
  </si>
  <si>
    <t>Se entrega en MAYO
Un Informe de seguimiento  
Cada uno debe contener: 
a. Portada (señalando: proyecto de inversión, titulo referenciando el contenido del texto; tiempo del informe y el nombre de quien elaboró y aprobó) 
b. índice que referencie el contenido del texto
c. Introducción
d. Objetivos
e. Glosario términos
f. Desarrollo (Logors,  avances, y retos)
g. Recomendaciones</t>
  </si>
  <si>
    <t>Reporte de meta generado por DADE-SIRBE
Informe de implementación de acciones de prevención y erradicación de trabajo infantil</t>
  </si>
  <si>
    <t>Febrero a MAYO: Reporte de meta remitido por la DADE.
(junio) Reporte de Avance 
Portada
-Tabla de contenido
-Logros estratégicos
-Reporte de avance de cumplimiento de meta
-Desarrollo de línea Técnica 
-Conclusión
(Diciembre) Implementación de la línea del modelo de atención del Trabajo infantil Ampliado
-Portada
-Tabla de contenido
-Logros estratégicos
-Cumplimiento de meta
-Desarrollo de línea Técnica 
-Impactos para la ciudad
-Retos
-Alertas y Recomendaciones
Anexo Reporte SIRBE acumulado mes vencido</t>
  </si>
  <si>
    <t xml:space="preserve">(1) Presentación en power point  de la actualización de los Estándares de Calidad Centros Amar.
(2) Anexo técnico Estándares Calidad Centro Amar
(3)Acta (s) del Consejo GIS  con ajustes y aprobación  Estándares de calidad de Centros Amar </t>
  </si>
  <si>
    <t xml:space="preserve">Abril y MAYO  (1) Presentación en power point  de la actualización de los Estándares de Calidad Centros Amar. Acompañada de matriz con el registro de las jornadas de socialización y las listas de asistencia a las socializaciones ya sean virtuales o presenciales.
Presentación que contenga
Contexto del servicio
Antecedentes y diagnostico
Estructura y Propuesta
Estándar talento humano	
Estándar ambientes adecuados y seguros
Estándar específico del servicio
Estándar de nutrición y salubridad	
Estándar de gestión administrativa
Abril: (2) Anexo técnico Estándares Calidad Centro Amar
Documento que contenga
Introducción
Marco legal estándares de calidad centros amar	
Atención integral al niño, niña y adolescente
Ambientes adecuados y seguros	
Nutrición y salubridad	
Gestión administrativa y talento humano
Estándares de calidad servicio centros ama
Estándar talento humano	
Estándar ambientes adecuados y seguros
Estándar específico del servicio
Estándar de nutrición y salubridad	
Estándar de gestión administrativa	
Términos y definiciones
Noviembre (3)Acta  de Concejo GIS aprobación y/o ajustes Estándares de calidad Centros Amar 	</t>
  </si>
  <si>
    <t>Avance de la versión del protocolo 
      Protocolo atención a la denuncia ciudadana oficializado</t>
  </si>
  <si>
    <t>MAYO Socialización Protocolo versión de Avance:
de acuerdo a los parámetros establecidos en el procedimiento de Control de documentos.
Acompañada de matriz con del registro de las jornadas de socialización y las lista sde asistencia a las socializaciones ya sean virtuales o presenciales.
(Noviembre) protocolo oficializado 
El documento seguirá los parámetros establecidos en el procedimiento de Control de documentos, que se encuentran en el mapa de procesos.
El documento antes de la oficialización en el SIG deben llevar marca de agua "BORRADOR"</t>
  </si>
  <si>
    <t>Reporte de meta generado por DADE-SIRBE
Informe de Gestión y  resultados atención transitoria a niñas y niños migrantes</t>
  </si>
  <si>
    <t xml:space="preserve">Febrero a MAYO: Soporte de meta remitido por la DADE.
(junio) Reporte de Avance 
Portada
-Tabla de contenido
-Logros estratégicos
-Reporte de avance de cumplimiento de meta
-Desarrollo de línea Técnica 
-Conclusión
(Diciembre) Informe de Gestión y  resultados atención transitoria a niñas y niños migrantes 
-Portada
-Tabla de contenido
-Logros estratégicos
-Cumplimiento de meta
-Desarrollo de línea Técnica 
-Impactos para la ciudad
-Retos
-Alertas y Recomendaciones
 </t>
  </si>
  <si>
    <t>Instructivo de abordaje territorial del servicio de atención transitoria Centro Abrazar</t>
  </si>
  <si>
    <t xml:space="preserve">Se entrega versión borrardor en el mes de mayo  el documento final para surtir el proceso de oficilización
Instructivo construido para oficialización
El documento seguirá los parámetros establecidos en el procedimiento de Control de documentos, que se encuentran en el mapa de procesos.
El documento antes de la oficialización en el SIG deben llevar marca de agua "BORRADOR"
</t>
  </si>
  <si>
    <t xml:space="preserve">Reporte de meta generado por DADE-SIRBE
Informe de Implementación de  la estrategia el Arte de Cuidarte </t>
  </si>
  <si>
    <t>Febrero a MAYO: Reporte de meta generado por DADE-SIRBE
(junio) Reporte de Avance 
- Portada
-Tabla de contenido
-Logros estratégicos
-Reporte de avance de cumplimiento de meta
-Desarrollo de línea Técnica 
-Conclusión
(Diciembre) Implementación de la línea técnica 
-Portada
-Tabla de contenido
-Logros estratégicos
-Cumplimiento de meta
-Desarrollo de línea Técnica 
-Impactos para la ciudad
-Retos
-Alertas y Recomendaciones</t>
  </si>
  <si>
    <t>Reporte de atención generado por la DADE - SIRBE
Informe del proceso de implementación de la Estrategia Atrapasueños.
En diciembre se entrega el informe de gestión de la Implementación de la Estrategia</t>
  </si>
  <si>
    <t xml:space="preserve">Febrero a MAYO: Reporte de DADE
Junio y Diciembre (inforem de gestión)
El informe del proceso de implementación de la Estrategia Atrapasueños contiene:
a. Portada (señalando: proyecto de inversión, titulo referenciando el contenido del texto; tiempo del informe y el nombre de quien elaboró y aprobó) 
b. Indice o tabla de contenido
c. Introducción
d. Objetivos
e. Glosario de Términos
f. Contextualización y desarrollo
g. Avances y  Logros
f. Retos
g. Conclusiones 
Por cada una de las tareas propuestas.
Para el informe final se agregan los siguientes capítulos
*. Recomendaciones y Anexos con su respectiva tabla. 
</t>
  </si>
  <si>
    <t>Ficha técnica de participación y movilización y planilla de asistencia.
Matriz con relación de los procesos de participación y movilización</t>
  </si>
  <si>
    <t>Se entrega en febrero, abril, mayo,
La ficha técnica de participación y movilización, contiene:
- Portada
- Descripción del contexto
-Objetivo
-Planeación o metodología
-Entidades participantes
-Ejecución de la planeación
-Resultado del evento
El formato se acompañará de la planilla de asistencia presencial o virtual (formulario en línea o capturas de pantalla).
La matriz debe contener
Fecha 
Lugar de reunión
Agenda o temática
Objetivo
Número de participantes
Compromisos
Adjunto PDF de Actas y listados de asistencia presencial o virtual (formulario en línea o capturas de pantalla).</t>
  </si>
  <si>
    <t>Formatos de planeación, ejecución y planillas de asistencia.
Matriz con relación de jornadas de acciones</t>
  </si>
  <si>
    <t>Se entrega de FEBREO, MARZO, ABRIL Y MAYO
La planeación contiene:
- Portada
- Fecha de ejecución 
- objetivo 
- Metodología.
- Desarrollo del Encuentro 
- Resultado del encuentro
El formato se acompañará de la planilla de asistencia presencial o virtual (formulario en línea o capturas de pantalla).
Matriz con la relación acumulada de las jornadas que se realizan en la vigencia:  La matriz debe contener
Fecha 
Lugar de reunión
Agenda o temática
Objetivo
Número de participantes
Logros y acciones relevantes
Compromisos
Adjunto PDF de Actas y listados de asistencia presencial o virtual (formulario en línea o capturas de pantalla).</t>
  </si>
  <si>
    <t>Página: 11 de 14</t>
  </si>
  <si>
    <t>9. TERRITORIALIZACIÓN Y POBLACIÓN</t>
  </si>
  <si>
    <t>PROGRAMACION POBLACIÓN</t>
  </si>
  <si>
    <t>SEGUIMIENTO POBLACIÓN</t>
  </si>
  <si>
    <t>SEGUIMIENTO</t>
  </si>
  <si>
    <t>0 Y 5 AÑOS</t>
  </si>
  <si>
    <t>6 Y 12 AÑOS</t>
  </si>
  <si>
    <t>13 Y 17 AÑOS</t>
  </si>
  <si>
    <t>18 Y 26 AÑOS</t>
  </si>
  <si>
    <t>27 Y 59 AÑOS</t>
  </si>
  <si>
    <t>MAYOR DE 60 AÑOS</t>
  </si>
  <si>
    <t xml:space="preserve">GRUPO ETARIO SIN DEFINIR </t>
  </si>
  <si>
    <t xml:space="preserve">TOTAL </t>
  </si>
  <si>
    <t>ID Meta Proyecto localidad</t>
  </si>
  <si>
    <t>Código Shape File</t>
  </si>
  <si>
    <t>Código SEVEN</t>
  </si>
  <si>
    <t>Nombre punto de inversión (Unidades operativas)</t>
  </si>
  <si>
    <t>Código servicio SEVEN</t>
  </si>
  <si>
    <t>Servicio</t>
  </si>
  <si>
    <t>Modalidad de servicio</t>
  </si>
  <si>
    <t>Magnitud vigencia (Programación)</t>
  </si>
  <si>
    <t>Recursos vigencia (Programación)</t>
  </si>
  <si>
    <t>Recursos Reservas (Programación)</t>
  </si>
  <si>
    <t>Magnitud vigencia (Ejecución)</t>
  </si>
  <si>
    <t>Recursos vigencia (Ejecución)</t>
  </si>
  <si>
    <t>Recursos Reservas (Ejecución)</t>
  </si>
  <si>
    <t>HOMBRES 0-5 Programación</t>
  </si>
  <si>
    <t>MUJERES 0-5 Programación</t>
  </si>
  <si>
    <t>INTERSEXUAL 0-5 Programación</t>
  </si>
  <si>
    <t>HOMBRES 6-12 Programación</t>
  </si>
  <si>
    <t>MUJERES 6-12 Programación</t>
  </si>
  <si>
    <t>INTERSEXUAL 6-12 Programación</t>
  </si>
  <si>
    <t>HOMBRES 13-17 Programación</t>
  </si>
  <si>
    <t>MUJERES 13-17 Programación</t>
  </si>
  <si>
    <t>INTERSEXUAL 13-17 Programación</t>
  </si>
  <si>
    <t>HOMBRES 18-26 Programación</t>
  </si>
  <si>
    <t>MUJERES 18-26 Programación</t>
  </si>
  <si>
    <t>INTERSEXUAL 18-26 Programación</t>
  </si>
  <si>
    <t>HOMBRES 27-59 Programación</t>
  </si>
  <si>
    <t>MUJERES 27-59 Programación</t>
  </si>
  <si>
    <t>INTERSEXUAL 27-59 Programación</t>
  </si>
  <si>
    <t>HOMBRES +60 Programación</t>
  </si>
  <si>
    <t>MUJERES +60 Programación</t>
  </si>
  <si>
    <t>INTERSEXUAL +60 Programación</t>
  </si>
  <si>
    <t>HOMBRES SD Programación</t>
  </si>
  <si>
    <t>MUJERES SD Programación</t>
  </si>
  <si>
    <t>INTERSEXUAL SD Programación</t>
  </si>
  <si>
    <t>HOMBRES Total Programación</t>
  </si>
  <si>
    <t>MUJERES Total Programación</t>
  </si>
  <si>
    <t>INTERSEXUAL Total Programación</t>
  </si>
  <si>
    <t>HOMBRES 0-5 Ejecución</t>
  </si>
  <si>
    <t>MUJERES 0-5 Ejecución</t>
  </si>
  <si>
    <t>INTERSEXUAL 0-5  Ejecución</t>
  </si>
  <si>
    <t>HOMBRES 6-12  Ejecución</t>
  </si>
  <si>
    <t>MUJERES 6-12  Ejecución</t>
  </si>
  <si>
    <t>INTERSEXUAL 6-12  Ejecución</t>
  </si>
  <si>
    <t>HOMBRES 13-17  Ejecución</t>
  </si>
  <si>
    <t>MUJERES 13-17  Ejecución</t>
  </si>
  <si>
    <t>INTERSEXUAL 13-17  Ejecución</t>
  </si>
  <si>
    <t>HOMBRES 18-26  Ejecución</t>
  </si>
  <si>
    <t>MUJERES 18-26  Ejecución</t>
  </si>
  <si>
    <t>INTERSEXUAL 18-26  Ejecución</t>
  </si>
  <si>
    <t>HOMBRES 27-59  Ejecución</t>
  </si>
  <si>
    <t>MUJERES 27-59  Ejecución</t>
  </si>
  <si>
    <t>INTERSEXUAL 27-59  Ejecución</t>
  </si>
  <si>
    <t>HOMBRES +60  Ejecución</t>
  </si>
  <si>
    <t>MUJERES +60  Ejecución</t>
  </si>
  <si>
    <t>INTERSEXUAL +60  Ejecución</t>
  </si>
  <si>
    <t>HOMBRES SD   Ejecución</t>
  </si>
  <si>
    <t>MUJERES SD  Ejecución</t>
  </si>
  <si>
    <t>INTERSEXUAL SD  Ejecución</t>
  </si>
  <si>
    <t>HOMBRES Total  Ejecución</t>
  </si>
  <si>
    <t>MUJERES Total  Ejecución</t>
  </si>
  <si>
    <t>INTERSEXUAL Total  Ejecución</t>
  </si>
  <si>
    <t>DISTRITAL</t>
  </si>
  <si>
    <t>Politica Pública Infancia y adolescencia</t>
  </si>
  <si>
    <t>ATENCIÓN DIFERENCIAL</t>
  </si>
  <si>
    <t>ESTRATEGIAS DIFERENCIALES</t>
  </si>
  <si>
    <t>RIAGA</t>
  </si>
  <si>
    <t>ATENCIÓN A VÍCTIMAS Y AFECTADOS POR EL CONFLICTO ARMADO</t>
  </si>
  <si>
    <t>CASAS DE MEMORIA Y LÚDICA Y PAPALOTL DE SUEÑOS</t>
  </si>
  <si>
    <t>LOCALDAD DE USAQUEN</t>
  </si>
  <si>
    <t>EDUCACIÓN INICIAL</t>
  </si>
  <si>
    <t>JARDINES CEF CEFR</t>
  </si>
  <si>
    <t>LOCALDAD DE CHAPINERO</t>
  </si>
  <si>
    <t>LOCALDAD DE SANTA FE</t>
  </si>
  <si>
    <t>LOCALDAD DE SAN CRISTOBAL</t>
  </si>
  <si>
    <t>LOCALDAD DE USME</t>
  </si>
  <si>
    <t>LOCALDAD DE TUNJUELITO</t>
  </si>
  <si>
    <t>LOCALDAD DE BOSA</t>
  </si>
  <si>
    <t>LOCALDAD DE KENNEDY</t>
  </si>
  <si>
    <t>LOCALDAD DE FONTIBON</t>
  </si>
  <si>
    <t>LOCALDAD DE ENGATIVA</t>
  </si>
  <si>
    <t>LOCALDAD DE SUBA</t>
  </si>
  <si>
    <t>LOCALDAD DE BARRIOS UNIDOS</t>
  </si>
  <si>
    <t>LOCALIDAD DE TEUSAQUILLO</t>
  </si>
  <si>
    <t>LOCALDAD DE LOS MARTIRES</t>
  </si>
  <si>
    <t>LOCALIDAD ANTONIO NARIÑO</t>
  </si>
  <si>
    <t>LOCALIDAD DE PUENTE ARANDA</t>
  </si>
  <si>
    <t>LOCALIDAD LA CANDELARIA</t>
  </si>
  <si>
    <t>LOCALDAD DE RAFAEL URIBE URIBE</t>
  </si>
  <si>
    <t>LOCALDAD DE CIUDAD BOLIVAR</t>
  </si>
  <si>
    <t>LOCALIDAD DE SUMAPAZ</t>
  </si>
  <si>
    <t>TRABAJO INFANTIL Y MIGRANTES</t>
  </si>
  <si>
    <t>CENTROS AMAR, ESTRATEGIA MÓVIL Y CENTRO ABRAZAR</t>
  </si>
  <si>
    <t>LOCALIDAD DE LOS MÁRTIRES</t>
  </si>
  <si>
    <t>LOCALIDAD DE RAFAEL URIBE</t>
  </si>
  <si>
    <t>LOCALIDAD DE CIUDAD BOLÍVAR</t>
  </si>
  <si>
    <t>Página: 12 de 14</t>
  </si>
  <si>
    <t>10. DIRECTORIO DE UNIDADES OPERATIVAS</t>
  </si>
  <si>
    <t>INFORMACIÓN PROYECTOS</t>
  </si>
  <si>
    <t>INFORMACIÓN GEOREFERENCIADA</t>
  </si>
  <si>
    <t>Proyecto</t>
  </si>
  <si>
    <t>Unidad Operativa</t>
  </si>
  <si>
    <t>Estado</t>
  </si>
  <si>
    <t>Tipo de Operación</t>
  </si>
  <si>
    <t>Tipo de Tenencia</t>
  </si>
  <si>
    <t>Población beneficiaria</t>
  </si>
  <si>
    <t>Estado Según procedimiento</t>
  </si>
  <si>
    <t>Cupos</t>
  </si>
  <si>
    <t>Dirección SPI</t>
  </si>
  <si>
    <t>Teléfono</t>
  </si>
  <si>
    <t>Horario de Atención</t>
  </si>
  <si>
    <t>Tipo de unidad</t>
  </si>
  <si>
    <t>Observaciones</t>
  </si>
  <si>
    <t>Código Localidad</t>
  </si>
  <si>
    <t>Código UPZ</t>
  </si>
  <si>
    <t>UPZ</t>
  </si>
  <si>
    <t>Código séctor Catastral</t>
  </si>
  <si>
    <t>Sector Catastral</t>
  </si>
  <si>
    <t>Código Barrio común</t>
  </si>
  <si>
    <t>Barrio común</t>
  </si>
  <si>
    <t>CHIP</t>
  </si>
  <si>
    <t>Página: 13 de 14</t>
  </si>
  <si>
    <t>GLOSARIO</t>
  </si>
  <si>
    <t>Apropiación</t>
  </si>
  <si>
    <t xml:space="preserve">Es el monto máximo autorizado para asumir compromisos con un objeto determinado durante la vigencia fiscal. Después del 31 de diciembre de cada año estas autorizaciones expiran y en consecuencia no podrán comprometerse, adicionarse, transferirse ni contracreditarse.
El anexo del decreto de liquidación define el detalle de cada uno de los rubros presupuestales según el objeto de gasto o proyecto. Las apropiaciones pueden tener restricciones para su ejecución, lo cual determina que están condicionadas.
Las entidades deben comprometer los recursos apropiados entre el 1° de enero y el 31 de diciembre de cada año. Los saldos de apropiación no afectados por compromisos caducarán sin excepción </t>
  </si>
  <si>
    <t xml:space="preserve">Certificado de Disponibilidad Presupuestal </t>
  </si>
  <si>
    <t>Cualquier acto administrativo que afecte las apropiaciones presupuestales debe contar previamente con certificado de disponibilidad presupuestal que garantice la existencia de apropiación suficiente para atender el compromiso que se pretende adquirir. 
Este documento afecta el presupuesto provisionalmente hasta tanto se perfeccione el acto que respalda el compromiso y se efectúe el correspondiente registro presupuestal.</t>
  </si>
  <si>
    <t xml:space="preserve">Certificado de Registro Presupuestal </t>
  </si>
  <si>
    <t>Se entiende por registro presupuestal del compromiso la imputación presupuestal mediante la cual se perfecciona el compromiso y se afecta en forma definitiva la apropiación, garantizando que ésta solo se utilizará para ese fin. Esta operación indica el valor y el plazo de las prestaciones a las que haya lugar. El acto del registro perfecciona, por tanto, el compromiso</t>
  </si>
  <si>
    <t>Compromisos</t>
  </si>
  <si>
    <t xml:space="preserve">Son los actos y contratos expedidos o celebrados por los órganos públicos, en desarrollo de la capacidad de contratar y de comprometer el presupuesto, realizados en cumplimiento de las funciones públicas asignadas por la ley. </t>
  </si>
  <si>
    <t>Concepto de gasto</t>
  </si>
  <si>
    <t>Forma de control y uso de los recursos, la clasificación de la inversión por conceptos de gasto debe estar asociada al
gasto recurrente</t>
  </si>
  <si>
    <t>Cuentas por pagar</t>
  </si>
  <si>
    <t xml:space="preserve">Son aquellas obligaciones que quedan pendientes de pago para la siguiente vigencia fiscal, y se presentan en los casos en que el bien o servicio se ha recibido a satisfacción a 31 de diciembre.
¿Cuando se debe constituir una cuenta por pagar?
Una cuenta por pagar se debe constituir cuando el bien o servicio se ha recibido a satisfacción antes del 31 de diciembre pero no se le ha pagado al contratista o cuando en desarrollo de un contrato se han pactado anticipos y estos no han sido cancelados </t>
  </si>
  <si>
    <t>Destinación de recursos</t>
  </si>
  <si>
    <t>Busca identificar el uso que se le asigna al recurso, y que constituye una referencia válida para verificar la destinación del mismo, tanto a nivel de ingreso, como de gasto</t>
  </si>
  <si>
    <t>Ejecución meta</t>
  </si>
  <si>
    <t xml:space="preserve">Valores alcanzados respecto de la meta programada </t>
  </si>
  <si>
    <t>Estado de la meta</t>
  </si>
  <si>
    <t>Se requiere conocer si la meta esta programada a partir de la vigencia actual solo aplican dos (2) tipos de programación: Normal(activa) y Programada en vigencia posterior</t>
  </si>
  <si>
    <t>Girado - Pagado</t>
  </si>
  <si>
    <t>Es el acto mediante el cual, la entidad pública, una vez verificados los requisitos previstos en el respectivo acto administrativo o en el contrato, teniendo en cuenta el reconocimiento de la obligación y la autorización de pago efectuada por el funcionario competente, liquidadas las deducciones de ley o las contractuales (tales como amortización de anticipos y otras) y verificado el saldo en bancos, desembolsa al beneficiario el monto de la obligación, ya sea mediante cheque bancario o por consignación en la cuenta bancaria del beneficiario, extinguiendo la respectiva obligación</t>
  </si>
  <si>
    <t>Grupos poblacionales</t>
  </si>
  <si>
    <t>En los proyectos de inversión en cumplimiento de las normas que se mencionan a continuación se debe identificar y diferenciar con la mayor precisión posible, cada grupo poblacional como el de infancia y adolescencia, juventud y la población víctima y en situación de desplazamiento, con el fin de visibilizar la acción de la Administración Distrital en el marco de las políticas públicas.</t>
  </si>
  <si>
    <t>Son los valores que se espera obtener en un tiempo señalado. Estos productos son bienes y/o servicios, finales o intermedios, para dar cumplimiento a los objetivos del proyecto.</t>
  </si>
  <si>
    <t>Meta producto</t>
  </si>
  <si>
    <t>Son aquellas representadas en la entrega de bienes y servicios finales o intermedios, que se definen a partir de los objetivos específicos. Por lo general son este tipo de metas las que se definen en la formulación de los proyectos de inversión y están asociadas a las causas del problema. La consecución de metas de producto contribuye a la obtención de una meta de resultado específica</t>
  </si>
  <si>
    <t>Meta proyecto</t>
  </si>
  <si>
    <t>Consisten en el conjunto de resultados concretos, medibles, realizables y verificables que se esperan obtener en un tiempo señalado. Las metas deben establecerse en términos de resultado o productos, en este sentido, la gestión institucional que se adelante es el medio para llegar a la meta, no es la meta en sí, debido a que no es un bien o servicio.</t>
  </si>
  <si>
    <t>Meta resultado</t>
  </si>
  <si>
    <t>son aquellas que buscan mejorar parcial o totalmente el problema crítico identificado en el diagnóstico y están relacionadas con la situación deseada. Estas metas regularmente están definidas en las políticas públicas o programas adoptados por la Administración Distrital</t>
  </si>
  <si>
    <t>N° Meta SEGPLAN</t>
  </si>
  <si>
    <t xml:space="preserve">Corresponde con el número asignado en el Sistema Segplan </t>
  </si>
  <si>
    <t>Objetivo general</t>
  </si>
  <si>
    <t>Define de forma concisa la situación deseada asociada al problema identificado</t>
  </si>
  <si>
    <t>Objetivo especifico</t>
  </si>
  <si>
    <t>Son los resultados intermedios que permiten dar cumplimiento al objetivo general</t>
  </si>
  <si>
    <t>Pasivos exigibles</t>
  </si>
  <si>
    <t>Son compromisos que se adquirieron con el cumplimiento de las formalidades plenas, que deben asumirse con cargo al presupuesto disponible de la vigencia en que se pagan, por cuanto la reserva presupuestal que los respaldó en su oportunidad feneció por no haberse pagado en el transcurso de la misma vigencia fiscal en que se constituyeron. Frente a la constitución de Pasivos Exigibles, se reitera a las entidades distritales la obligación legal de realizar la gestión requerida para ejecutar el presupuesto asignado dentro de la anualidad.</t>
  </si>
  <si>
    <t>Presupuesto</t>
  </si>
  <si>
    <t>Es un instrumento de gestión del Estado para el logro de resultados a favor de la población, a través de la prestación de servicios y logro de metas de cobertura con equidad, eficacia y eficiencia por las Entidades Públicas. Establece los límites de gastos durante el año fiscal, por cada una de las Entidades del Sector Público y los ingresos que los financian, acorde con la disponibilidad de los Fondos Públicos, a fin de mantener el equilibrio fiscal.</t>
  </si>
  <si>
    <t>Programación meta</t>
  </si>
  <si>
    <t>Son los valores que se estiman alcanzar al finalizar la vigencia y el cuatrienio. Es cantidad o número de la acción identificada en el proceso</t>
  </si>
  <si>
    <t>Productos metas y resultados - PMR</t>
  </si>
  <si>
    <t>Definidos los productos de la entidad, se asocian a cada proyecto de inversión y se asignan los recursos hasta por el monto del presupuesto programado para cada uno de ellos, de acuerdo con la metodología que para el efecto haya definido la oficina de planeación de la entidad.
Se precisa que un proyecto de inversión puede apuntar a varios productos de la entidad y que a su vez existen proyectos trasversales que pueden tener participación en todos los productos.
Los montos de rubros correspondientes a las variables de transferencias para inversión, servicio de la deuda y reservas presupuestales son incorporados por la entidad en el sistema PREDIS Hasta octubre de 2020 y BOGDATA.</t>
  </si>
  <si>
    <t xml:space="preserve">Proyectos de inversión </t>
  </si>
  <si>
    <t xml:space="preserve">Se entiende como la unidad operacional de planeación del desarrollo que vincula recursos (humanos, físico, monetarios, entre otros) para resolver problemas o necesidades sentidas de la población. 
Los proyectos de inversión publica contemplan actividades limitadas en el tiempo, que utilizan total o parcialmente recursos públicos, con el fin de crear, ampliar, mejorar o recuperar la capacidad de producción o de provisión de bienes o servicios por parte del estado. </t>
  </si>
  <si>
    <t xml:space="preserve">Reservas presupuestales
</t>
  </si>
  <si>
    <t>Son los compromisos legalmente constituidos por los órganos que conforman el Presupuesto General de la Nación, que tienen registro presupuestal, pero cuyo objeto no fue cumplido dentro del año fiscal que termina y, por lo mismo, se pagarán dentro de la vigencia siguiente con cargo al presupuesto de la vigencia anterior; es decir, con cargo al presupuesto que las originó
¿Cuando se debe constituir una reserva presupuestal?
Una reserva presupuestal se genera cuando el compromiso es legalmente constituido pero cuyo objeto no fue cumplido dentro del año fiscal que termina y será pagada con cargo a la reserva que se constituye a más tardar el 20 de enero de la vigencia siguiente</t>
  </si>
  <si>
    <t xml:space="preserve"> Tipo de anualización de las metas</t>
  </si>
  <si>
    <t>Metas con Anualización Constante: El valor programado para cada año es el mismo, y debe ser igual a la cantidad programada para la meta del proyecto y los años no se suman para obtener la cantidad total de la meta.
Metas con Anualización Creciente: El valor programado para cada año incluye el del año anterior. De forma progresiva, en cada año se va alcanzando la cantidad programada para la meta del proyecto. El valor programado debe ser igual o mayor al anterior y, el último año debe
ser igual a la magnitud total definida para la meta del proyecto.
Metas con Anualización Decreciente: El valor programado para cada año disminuye. El valor programado para cada año debe ser menor o igual al del año inmediatamente anterior. Así, se trata de reducir en cada año hasta llegar a la cantidad programada para la meta del proyecto (el valor
del último año debe ser igual a la magnitud definida para la meta del proyecto).
Metas con Anualización Suma: La sumatoria de la anualización debe ser igual a la cantidad programada para la meta del proyecto</t>
  </si>
  <si>
    <t xml:space="preserve"> Vigencias futuras</t>
  </si>
  <si>
    <t xml:space="preserve">Es una herramienta presupuestal para asumir compromisos con cargo a presupuestos futuros, con el objetivo de desarrollar proyectos de inversión o efectuar gastos con un horizonte mayor a un año y cuya ejecución se inicia con el presupuesto de la vigencia en que se aprueben
dichas autorizaciones. Esta autorización de Vigencias Futuras se da por parte del Concejo de Bogotá.
Si las vigencias futuras se solicitan para la ejecución de proyectos de inversión, los mismos deben hacer parte del Plan de Desarrollo vigente. En este orden de ideas, si los cupos anuales autorizados a una entidad, para asumir compromisos de vigencias futuras no fueron utilizados a 31 de diciembre de la vigencia en que fueron aprobadas caducarán sin excepción, debiéndose solicitar en la siguiente vigencia, si es del caso, una nueva autorización al Concejo de Bogotá para el desarrollo de las actividades previstas.
Las vigencias futuras son apropiaciones efectivas que se traducen en una inflexibilidad en el presupuesto, ya que el monto autorizado debe incorporarse en cada uno de los presupuestos de las vigencias fiscales para las cuales se aprobaron </t>
  </si>
  <si>
    <t>Página: 14 de 14</t>
  </si>
  <si>
    <t>INSTRUCCIONES</t>
  </si>
  <si>
    <t>Instrucciones generales previas al diligenciamiento</t>
  </si>
  <si>
    <t>Leer las instrucciones  antes de iniciar el diligenciamiento.</t>
  </si>
  <si>
    <t xml:space="preserve">No modificar el tamaño de la celdas de ninguna hoja, ni la información que se encuentra pre diligenciada. </t>
  </si>
  <si>
    <t xml:space="preserve">Evitar el uso de viñetas, comillas, guiones y asteriscos estas tienden a desconfigurarse, cambiando el sentido del texto. </t>
  </si>
  <si>
    <t xml:space="preserve">Los datos cuantificados (indicadores, ejecución presupuestal, etc.) y la información cualitativa (texto),  permiten ampliar y conocer en hechos lo que dicen las cifras y es insumo para la rendición de cuentas, debates en el Concejo Distrital,  la academia,  organismos de control, la ciudadanía en general y para que la Administración Distrital tome decisiones frente a la inversión en la ciudad teniendo en cuenta las principales apuestas que estableció en su Plan de Desarrollo. </t>
  </si>
  <si>
    <t xml:space="preserve">En caso que se requiera ajustar información se deberá actualizar el perfil del proyecto y el formato de modificación de plan de acción y enviar firmado por el gerente. </t>
  </si>
  <si>
    <t>Se reitera la importancia de la calidad de la información que se reporte y la responsabilidad que conlleva para cada entidad, dado que este formato da cuenta de la información oficial del cumplimiento del Plan de Desarrollo y es consultado por actores institucionales, políticos, organismos de control y la ciudadanía en general.</t>
  </si>
  <si>
    <t>Es importante que no se altere la estructura de columnas o de las tablas del formato, teniendo en cuenta que posteriormente son claves para la consolidación de datos.</t>
  </si>
  <si>
    <t>Las celdas de color gris y verde                                      son de uso exclusivo de la Subdirección de Evaluación y Sistematización</t>
  </si>
  <si>
    <t xml:space="preserve">Nombre de matriz </t>
  </si>
  <si>
    <t>Instrucción</t>
  </si>
  <si>
    <t>CUADRO DE CONTROL</t>
  </si>
  <si>
    <t>Esta hoja tiene por objeto registrar todas la información de fechas de ajustes al plan de acción de la vigencia y de entrega de informes de SPI.</t>
  </si>
  <si>
    <t>Se deben diligenciar las celdas de color azul con la información que se solicita en cada una</t>
  </si>
  <si>
    <t>Para el caso de proyecto se incluye el número del proyecto de inversión</t>
  </si>
  <si>
    <t>Esta hoja tiene por objeto registrar todas la información de seguimiento de los proyectos de inversión: Presupuestal, magnitudes, productos MGA, soportes</t>
  </si>
  <si>
    <t>Se deben diligenciar las celdas de color azul</t>
  </si>
  <si>
    <t>En caso que la información se copie de otro archivo, se deben pegar los valores únicamente (copiar y pegar valores)</t>
  </si>
  <si>
    <t>No se deben modificar los formatos del archivo</t>
  </si>
  <si>
    <t>En caso de tener alertas del proyecto registrar la información en el cuadro de OBSERVACIONES - ALERTAS</t>
  </si>
  <si>
    <t>Cualquier inquietud consulte con el profesional de equipo de diseño y monitoreo asignado</t>
  </si>
  <si>
    <t>Esta hoja tiene por objeto presentar la información de programación y ejecución general del proyecto de inversión.</t>
  </si>
  <si>
    <t>Se deben diligenciar solo la celda de color azul únicamente en la etapa de formulación del plan de acción de cada vigencia</t>
  </si>
  <si>
    <t>No se deben modificar los formatos del archivo luego de entregar la versión oficial del plan de acción de cada vigencias, únicamente se modificara información y media una solicitud oficial de modificación con su respectiva viabilidad</t>
  </si>
  <si>
    <t>Esta hoja tiene por objeto presentar la información  de programación y ejecución de las metas proyecto de inversión</t>
  </si>
  <si>
    <t>Esta hoja tiene por objeto presentar la información de programación y ejecución de las metas Plan de Desarrollo Distrital que están asociada al proyecto de inversión</t>
  </si>
  <si>
    <t>Esta hoja tiene por objeto presentar la información de programación y ejecución los productos MGA asociados a los objetivos específicos del proyecto de inversión</t>
  </si>
  <si>
    <t>ACTIVIDADES</t>
  </si>
  <si>
    <t>Esta hoja tiene por objeto presentar la información de programación y ejecución de los productos MGA asociados a los objetivos específicos del proyecto de inversión</t>
  </si>
  <si>
    <t>TAREAS</t>
  </si>
  <si>
    <t>Esta hoja tiene por objeto registrar la programación y ejecución por mes de la población beneficiaria ha atender, de los territorios u organización asociadas con la magnitud de las metas proyecto de inversión.</t>
  </si>
  <si>
    <t>Cualquier inquietud consulte con el profesional de seguimiento asignado al proyecto</t>
  </si>
  <si>
    <t>Esta hoja tiene por objeto registrar la programación y ejecución por mes de los soportes de cumplimiento de cada una de las tareas, actividades y metas del plan de acción de la vigencia.</t>
  </si>
  <si>
    <t>TERRITORIALIZACIÓN Y POBLACIÓN</t>
  </si>
  <si>
    <t>Esta hoja tiene por objeto registrar la programación y ejecución de presupuesto, la población y el grupo etario por cada localidad de las metas territorializadas del proyecto de inversión
Se debe diligenciar únicamente las celdas con formato de color azul 
Número meta de proyecto: Digitar el número de meta proyecto
Número de Localidad: se relaciona el número de la localidad 
Código Shape File: se relaciona el código registrado en el Sistema de seguimiento al Plan de desarrollo -SEGPLAN
Código SEVEN: se relaciona el código registrado en la herramienta financiera - SEVEN
Nombre punto de inversión (Unidades operativas): nombre completo de la unidad operativa según el Sistema de registro de beneficiarios -SIRBE
código servicio SEVEN: se relaciona el código registrado en la herramienta financiera - SEVEN
Servicio: se relaciona el nombre del servicio de acuerdo con el portafolio de la entidad.
Modalidad de servicio : se relaciona el nombre del servicio de acuerdo con el portafolio de la entidad
Magnitud vigencia (Programación): se diligencia la magnitud por localidad programada para la vigencia (para los casos de las metas no territorializadas el presupuesto es automático)
Recursos vigencia (Programación): se diligencia el presupuesto por localidad programada para la vigencia (para los casos de las metas no territorializadas el presupuesto es automático)
Recursos Reservas (Programación): se diligencia el presupuesto por localidad programada en reservas para la vigencia (para los casos de las metas no territorializadas el presupuesto es automático)
Magnitud vigencia (Ejecución): se diligencia la magnitud por localidad ejecutada para la vigencia (para los casos de las metas no territorializadas el presupuesto es automático)
Recursos vigencia (Ejecución): se diligencia el presupuesto por localidad ejecutado para la vigencia (para los casos de las metas no territorializadas el presupuesto es automático)
Recursos reservas (Ejecución): se diligencia el presupuesto por localidad ejecutado para la vigencia (para los casos de las metas no territorializadas el presupuesto es automático)
Programación población: se diligencia entre las columnas V y AP,  según corresponda, la cantidad de personas programadas por cada grupo etario para atender por localidad en la vigencia
Seguimiento población: se diligencia entre las columnas AT y BN,  según corresponda, la cantidad de personas atendidas por cada grupo etario para atender por localidad en la vigencia.</t>
  </si>
  <si>
    <t>DIRECTORIO UNDOPE</t>
  </si>
  <si>
    <t>Esta hoja tiene por objeto registrar la información relacionada con el directorio de unidades operativas de la entidad.
Se debe diligenciar únicamente las celdas con formato de color azul
Para el grupo de columnas que van desde la B hasta la Q, corresponde a la información que suministra el proyecto luego de la revisión interna de unidades operativas.
Para el grupo de columnas que van desde la R hasta la Z, corresponde a información georreferenciada la cual realiza el equipo de georreferenciación a partir de las direcciones registradas.</t>
  </si>
  <si>
    <t>Fichas SIRBE de las cualificaciones //
Matriz no controlada de cualificaciones en lactancia y fortalecimiento técnico en lactancia</t>
  </si>
  <si>
    <t xml:space="preserve">Informe que consolide las acciones realizadas al mes de mayo </t>
  </si>
  <si>
    <t>Radicado: I2024000781</t>
  </si>
  <si>
    <t>NA</t>
  </si>
  <si>
    <t>Entrega del Plan de Acción V1 2024</t>
  </si>
  <si>
    <t>Entrega del Plan de Acción V2 2024</t>
  </si>
  <si>
    <t>Desarrollar 1 informe del proceso de supervisión para determinar las alertas en la atención  y  hacer seguimiento a las acciones de  mejora en la prestación del servicio, en las 16 subdirecciones locales. // Implementar 1 plan de fortalecimiento  técnico del servicio de jardines infantiles, que promuevan la calidad en la atención integral en el Distrito.</t>
  </si>
  <si>
    <t>Realizar (05) encuentros anuales en los servicios y las estrategias de la Subdirección para la Infancia, para la cualificación al talento humano en temáticas en torno al Sistema de Cuidado </t>
  </si>
  <si>
    <t>Realizar 05 encuentros anuales de cualificación al talento humano de los servicios,modalidades de atención y las estrategias de la Subdirección para la Infancia para transversalizar el enfoque diferencial y de género.</t>
  </si>
  <si>
    <t>Realizar (60) encuentros anuales para la actualización y cualificación de las prácticas inclusivas en los servicios,modalidades y las estrategias de la Subdirección para la Infancia.</t>
  </si>
  <si>
    <t>Realizar (05) encuentros mensuales (uno por Subdirección Local) de fortalecimiento técnico con los profesionales en educación especial de la Estrategia Entre Pares.</t>
  </si>
  <si>
    <t>Realizar (20) encuentros anuales de fortalecimiento de saberes e identidad cultural afrodescendiente, raizal, palenquera y Rrom gitano, con las familias participantes y talento humano que hace parte de las modalidades de atención y estrategias de la subdirección para la infancia </t>
  </si>
  <si>
    <t>Realizar (05) encuentros anuales de fortalecimiento técnico dirigido a las sabedoras y sabedores de las estrategias Sawabona, raizal aidentity y  Muge Chave Ava Varele</t>
  </si>
  <si>
    <t>Realizar (04) acciones anuales de movilización social en torno a las fiestas propias y tradicionales de los pueblos indígenas en las Casas de Pensamiento Intercultural.</t>
  </si>
  <si>
    <t xml:space="preserve">Realizar (03) encuentros anuales de fortalecimiento de saberes e identidad cultural indígena con el talento humano de las Casas de Pensamiento Intercultural. </t>
  </si>
  <si>
    <t>Realizar 08 encuentros anuales de fortalecimiento técnico dirigidos al talento humano que hace parte de los servicios y estrategias de la Subdirección para la Infancia, acerca de la Estrategia Atrapasueños a través de los laboratorios de paz. </t>
  </si>
  <si>
    <t>Realizar 11  jornadas de concienciación anuales en 11 localidades priorizadas, aportando a la disminución de segregación y discriminación frente a la población víctimas y afectada por el conflicto armado.</t>
  </si>
  <si>
    <t xml:space="preserve">Realizar 48 sesiones de capacitación en fortalecimiento técnico, dirigido al talento humano que hace parte de los servicios y estrategias de la Subdirección para la Infancia, acerca del servicio Atrapasueños, en las 64 unidades operativas, con 7 temáticas especificas </t>
  </si>
  <si>
    <t>Realizar (2) acciones de participación y movilización social anuales con niñas, niños y adolescentes víctimas y afectados por el conflicto armado.</t>
  </si>
  <si>
    <t>Implementar procesos de participación y movilización en (03) once escuelas de Memoria y Paz en las localidades priorizadas que promuevan el ejercicio de fortalecimiento del tejido social y la participación de niñas, niños y adolescentes víctimas y afectados por el conflicto armado.</t>
  </si>
  <si>
    <t>7744 - Generación de Oportunidades para el Desarrollo Integral de la Niñez y la Adolescencia de Bogotá</t>
  </si>
  <si>
    <t>BARRANCAS</t>
  </si>
  <si>
    <t>SUBDIRECCIÓN PARA LA INFANCIA</t>
  </si>
  <si>
    <t>JARDIN INFANTIL DIURNO</t>
  </si>
  <si>
    <t>ACTIVA OPERANDO</t>
  </si>
  <si>
    <t>DIRECTA</t>
  </si>
  <si>
    <t>PROCESO DE NORMALIZACIÓN</t>
  </si>
  <si>
    <t>Niñas y niños de primera infancia</t>
  </si>
  <si>
    <t> </t>
  </si>
  <si>
    <t>KR 7 155 80</t>
  </si>
  <si>
    <t>601 6728319</t>
  </si>
  <si>
    <t xml:space="preserve">Lunes a Viernes: 07:00 am a 04:30 pm </t>
  </si>
  <si>
    <t>FISICA</t>
  </si>
  <si>
    <t>USAQUEN</t>
  </si>
  <si>
    <t>LOS CEDROS</t>
  </si>
  <si>
    <t>BOSQUE DE PINOS III</t>
  </si>
  <si>
    <t>AAA0243CHFT</t>
  </si>
  <si>
    <t>VERBENAL</t>
  </si>
  <si>
    <t>PROPIO - ADMINISTRADOS</t>
  </si>
  <si>
    <t>KR 18 A 187 75</t>
  </si>
  <si>
    <t>601 6780889</t>
  </si>
  <si>
    <t>EL CEREZO</t>
  </si>
  <si>
    <t>EL VERBENAL I</t>
  </si>
  <si>
    <t>AAA0116KOSK</t>
  </si>
  <si>
    <t>BUENAVISTA</t>
  </si>
  <si>
    <t>CL 190 4 15</t>
  </si>
  <si>
    <t>601 2643517</t>
  </si>
  <si>
    <t>AAA0117HUEA</t>
  </si>
  <si>
    <t>JUAN XXIII</t>
  </si>
  <si>
    <t>CL 65 B 1 -19</t>
  </si>
  <si>
    <t>601 3103689</t>
  </si>
  <si>
    <t>CHAPINERO</t>
  </si>
  <si>
    <t>PARDO RUBIO</t>
  </si>
  <si>
    <t>JUAN_XXIII</t>
  </si>
  <si>
    <t>AAA0090ROOE</t>
  </si>
  <si>
    <t>SAN LUIS</t>
  </si>
  <si>
    <t>CL 97 06 46 ESTE KILOMETRO 5 VIA LA CALERA</t>
  </si>
  <si>
    <t>601 6485513</t>
  </si>
  <si>
    <t>SAN ISIDRO - PATIOS</t>
  </si>
  <si>
    <t>SAN LUIS ALTOS DEL CABO RURAL II</t>
  </si>
  <si>
    <t>SAN LUÍS ALTOS DEL CABO</t>
  </si>
  <si>
    <t>AAA0158NWKC</t>
  </si>
  <si>
    <t>CENTRO AMAR CHAPINERO I</t>
  </si>
  <si>
    <t>CENTROS AMAR</t>
  </si>
  <si>
    <t>ADMINISTRADOS/PROPIO</t>
  </si>
  <si>
    <t>Niñas, niños y Adolescentes</t>
  </si>
  <si>
    <t>CL 59 6 24</t>
  </si>
  <si>
    <t>601 2359697</t>
  </si>
  <si>
    <t>Horarios de Atención Diurno: 7:00am a 7:00pm
Horarios de Atención Nocturno: 4:00pm a 10:00pm</t>
  </si>
  <si>
    <t>LA SALLE</t>
  </si>
  <si>
    <t>S.C. LA SALLE</t>
  </si>
  <si>
    <t>AAA0089ZAWF</t>
  </si>
  <si>
    <t>ATANASIO GIRARDOT</t>
  </si>
  <si>
    <t>KR 1 A ESTE 1  F 06</t>
  </si>
  <si>
    <t>601 2331336</t>
  </si>
  <si>
    <t>SANTA FE</t>
  </si>
  <si>
    <t>LOURDES</t>
  </si>
  <si>
    <t>GIRARDOT</t>
  </si>
  <si>
    <t>AAA0033XTZM</t>
  </si>
  <si>
    <t>LOS LACHES</t>
  </si>
  <si>
    <t>DG 4 # 6 a  este 11</t>
  </si>
  <si>
    <t>601 2803147</t>
  </si>
  <si>
    <t>AAA0033LJJH</t>
  </si>
  <si>
    <t>LA PERSEVERANCIA</t>
  </si>
  <si>
    <t>INACTIVA</t>
  </si>
  <si>
    <t>COMODATO</t>
  </si>
  <si>
    <t>KR 1 ESTE 33 64</t>
  </si>
  <si>
    <t>601 6871051</t>
  </si>
  <si>
    <t>Lunes a viernes: 07:00 am a 04:30 pm</t>
  </si>
  <si>
    <t>SAGRADO CORAZON</t>
  </si>
  <si>
    <t>PARQUE NACIONAL ORIENTAL</t>
  </si>
  <si>
    <t>VEREDA MONSERRATE</t>
  </si>
  <si>
    <t>AAA0087JMDM</t>
  </si>
  <si>
    <t>BELLO HORIZONTE</t>
  </si>
  <si>
    <t>CL 32 A SUR 3 A 91 ESTE</t>
  </si>
  <si>
    <t>601 3671950</t>
  </si>
  <si>
    <t>SAN CRISTOBAL</t>
  </si>
  <si>
    <t>20 DE JULIO</t>
  </si>
  <si>
    <t>BELLO HORIZONTE II SECTOR</t>
  </si>
  <si>
    <t>AAA0002TCKC</t>
  </si>
  <si>
    <t>EL QUINDIO</t>
  </si>
  <si>
    <t>KR 16 A ESTE 46 C 20 SUR</t>
  </si>
  <si>
    <t>601 2654243</t>
  </si>
  <si>
    <t>LA GLORIA</t>
  </si>
  <si>
    <t>QUINDIO</t>
  </si>
  <si>
    <t>QUINDÍO</t>
  </si>
  <si>
    <t>AAA0004HYRJ</t>
  </si>
  <si>
    <t>LA ESPERANZA</t>
  </si>
  <si>
    <t>CL 76 B SUR 14 39 ESTE</t>
  </si>
  <si>
    <t>601 3653673</t>
  </si>
  <si>
    <t>Lunes a Viernes: 7:00 am a 4:00 pm</t>
  </si>
  <si>
    <t>USME</t>
  </si>
  <si>
    <t>LA FLORA</t>
  </si>
  <si>
    <t>LA CABANA</t>
  </si>
  <si>
    <t>LA CABAÑA</t>
  </si>
  <si>
    <t>AAA0144ZDSY</t>
  </si>
  <si>
    <t>TERCERIZADO</t>
  </si>
  <si>
    <t>CL 17 A SUR 3 D 30 ESTE</t>
  </si>
  <si>
    <t>601 2463513</t>
  </si>
  <si>
    <t>Lunes a viernes: 7:00 am a 4:00 pm</t>
  </si>
  <si>
    <t>SOSIEGO</t>
  </si>
  <si>
    <t>SAN CRISTOBAL SUR</t>
  </si>
  <si>
    <t>S.C. SAN CRISTÓBAL SUR</t>
  </si>
  <si>
    <t>AAA0000WXDE</t>
  </si>
  <si>
    <t>ARGELIA</t>
  </si>
  <si>
    <t>CL 39 B SUR 72 G 62</t>
  </si>
  <si>
    <t>601 7241910</t>
  </si>
  <si>
    <t>Lunes a viernes: 7:00 am a 5:00 pm</t>
  </si>
  <si>
    <t>KENNEDY</t>
  </si>
  <si>
    <t>CARVAJAL</t>
  </si>
  <si>
    <t>LA CAMPINA</t>
  </si>
  <si>
    <t>AAA0042UXOM</t>
  </si>
  <si>
    <t>CIUDAD DE BOGOTA</t>
  </si>
  <si>
    <t>AK 80 43 43 SUR</t>
  </si>
  <si>
    <t>601 3083169</t>
  </si>
  <si>
    <t>GRAN BRITALIA</t>
  </si>
  <si>
    <t>PASTRANA</t>
  </si>
  <si>
    <t>NUEVO KENNEDY</t>
  </si>
  <si>
    <t>AAA0046NOTD</t>
  </si>
  <si>
    <t>DELICIAS</t>
  </si>
  <si>
    <t>CLL 44 SUR  72 B 81</t>
  </si>
  <si>
    <t>601 7411699</t>
  </si>
  <si>
    <t>LAS DELICIAS</t>
  </si>
  <si>
    <t>TUNDAMA II ETAPA</t>
  </si>
  <si>
    <t>AAA0050FAXR</t>
  </si>
  <si>
    <t>KENNEDY SALACUNA</t>
  </si>
  <si>
    <t>AC 40 C SUR 79 10</t>
  </si>
  <si>
    <t>601 4511461</t>
  </si>
  <si>
    <t>KENNEDY CENTRAL</t>
  </si>
  <si>
    <t>CIUDAD KENNEDY OCCIDENTAL</t>
  </si>
  <si>
    <t>CIUDAD KENNEDY SUPERMANZANA 13 SAN JORGE</t>
  </si>
  <si>
    <t>S00450853010001</t>
  </si>
  <si>
    <t>LUISA DE MARILLAC</t>
  </si>
  <si>
    <t>DEFINIR SITUACIÓN DEL INMUEBLE YA QUE ESTE NO ES PROPIO, NO ES ARRIENDO, NO ES COMODATO.</t>
  </si>
  <si>
    <t>CL 38 A  86 F 15 SUR</t>
  </si>
  <si>
    <t>601 2995891</t>
  </si>
  <si>
    <t>PATIO BONITO</t>
  </si>
  <si>
    <t>PATIO BONITO II</t>
  </si>
  <si>
    <t>PATIO BONITO I SECTOR</t>
  </si>
  <si>
    <t>AAA0052HPRJ</t>
  </si>
  <si>
    <t>PATIO BONITO SATELITE</t>
  </si>
  <si>
    <t>KR 87 # 5 B 21</t>
  </si>
  <si>
    <t>601 4537578</t>
  </si>
  <si>
    <t>PATIO BONITO II SECTOR</t>
  </si>
  <si>
    <t>AAA0052DBNX</t>
  </si>
  <si>
    <t>PIO XII</t>
  </si>
  <si>
    <t>KR 79 D 6 15</t>
  </si>
  <si>
    <t>601 4110619</t>
  </si>
  <si>
    <t>CASTILLA</t>
  </si>
  <si>
    <t>PIÓ XII</t>
  </si>
  <si>
    <t>AAA0081FRSY</t>
  </si>
  <si>
    <t>CENTRO AMAR CORABASTOS</t>
  </si>
  <si>
    <t>601 4508081</t>
  </si>
  <si>
    <t>Horarios de Atención Diurno: 7:00am a 7:00pm
Horarios de Atención Nocturno: 7:00pm a 7:00am
Horarios de Atención Domingos y Festivos: 7:00am a 7:00pm</t>
  </si>
  <si>
    <t>EL PORTAL</t>
  </si>
  <si>
    <t>ARRIENDO</t>
  </si>
  <si>
    <t>TV 124 18 A 79</t>
  </si>
  <si>
    <t>601 4154210</t>
  </si>
  <si>
    <t>FONTIBON</t>
  </si>
  <si>
    <t>FONTIBON SAN PABLO</t>
  </si>
  <si>
    <t>SAN PABLO JERICO</t>
  </si>
  <si>
    <t>JERICÓ</t>
  </si>
  <si>
    <t>AAA0079ZHDM</t>
  </si>
  <si>
    <t>RAFAEL POMBO</t>
  </si>
  <si>
    <t>KR 97 A 19 35</t>
  </si>
  <si>
    <t>601 3808331ext:54401</t>
  </si>
  <si>
    <t>CENTRO FONTIBON</t>
  </si>
  <si>
    <t>CENTRO FONTIBÓN</t>
  </si>
  <si>
    <t>AAA0079SEKL</t>
  </si>
  <si>
    <t>LA GIRALDA</t>
  </si>
  <si>
    <t>CL 23 104 B 15</t>
  </si>
  <si>
    <t>601 4183734</t>
  </si>
  <si>
    <t>LA CABANA FONTIBON</t>
  </si>
  <si>
    <t>AAA0077UTXS</t>
  </si>
  <si>
    <t>BELLA VISTA</t>
  </si>
  <si>
    <t>KR 68 G 67 A 10</t>
  </si>
  <si>
    <t>601 6606288</t>
  </si>
  <si>
    <t>ENGATIVA</t>
  </si>
  <si>
    <t>LAS FERIAS</t>
  </si>
  <si>
    <t>BELLAVISTA OCCIDENTAL</t>
  </si>
  <si>
    <t>S.C. BELLAVISTA OCCIDENTAL</t>
  </si>
  <si>
    <t>AAA0060BJYX</t>
  </si>
  <si>
    <t>CL 66 B 122 03</t>
  </si>
  <si>
    <t>601 2275874</t>
  </si>
  <si>
    <t>ENGATIVA ZONA URBANA</t>
  </si>
  <si>
    <t>S.C. ENGATIVA ZONA URBANA</t>
  </si>
  <si>
    <t>AAA0068THZM</t>
  </si>
  <si>
    <t>GARCES NAVAS</t>
  </si>
  <si>
    <t>CL 78 A 109 A 50</t>
  </si>
  <si>
    <t>601 2274419</t>
  </si>
  <si>
    <t>GARCÉS NAVAS</t>
  </si>
  <si>
    <t>AAA0252RUDM</t>
  </si>
  <si>
    <t>SATELITE LAS FERIAS</t>
  </si>
  <si>
    <t>KR 69 J 73 11</t>
  </si>
  <si>
    <t>601 2502900</t>
  </si>
  <si>
    <t>LAS FERIAS OCCIDENTAL</t>
  </si>
  <si>
    <t>AAA0059HZLW</t>
  </si>
  <si>
    <t>LOS CEREZOS</t>
  </si>
  <si>
    <t>KR 89 80 35</t>
  </si>
  <si>
    <t>601 2248177</t>
  </si>
  <si>
    <t>MINUTO DE DIOS</t>
  </si>
  <si>
    <t>AAA0253JMPA</t>
  </si>
  <si>
    <t>PLAZUELAS DEL VIRREY</t>
  </si>
  <si>
    <t>CL 72 A 106 91</t>
  </si>
  <si>
    <t>601 3808330ext54800</t>
  </si>
  <si>
    <t>VILLA AMALIA</t>
  </si>
  <si>
    <t>AAA0070OBPP</t>
  </si>
  <si>
    <t>SAN MARCOS</t>
  </si>
  <si>
    <t>KR 80 A 67 10</t>
  </si>
  <si>
    <t>601 4303877</t>
  </si>
  <si>
    <t>BOYACA REAL</t>
  </si>
  <si>
    <t>SANTA HELENITA</t>
  </si>
  <si>
    <t>S.C. SANTA HELENITA</t>
  </si>
  <si>
    <t>AAA0062RDMS</t>
  </si>
  <si>
    <t xml:space="preserve">ESTRADA SATELITE </t>
  </si>
  <si>
    <t>KR 69 N 64 07</t>
  </si>
  <si>
    <t>601 2524855</t>
  </si>
  <si>
    <t>BOSQUE POPULAR</t>
  </si>
  <si>
    <t>S.C. BOSQUE POPULAR</t>
  </si>
  <si>
    <t>AAA0060HXZM</t>
  </si>
  <si>
    <t>KR 69 K 73 90</t>
  </si>
  <si>
    <t>601 2405973</t>
  </si>
  <si>
    <t>AAA0059HZKL</t>
  </si>
  <si>
    <t>CL 71 C 110 C 35</t>
  </si>
  <si>
    <t>601 4425306</t>
  </si>
  <si>
    <t>AAA0070ORBR</t>
  </si>
  <si>
    <t>CENTRO AMAR ENGATIVA</t>
  </si>
  <si>
    <t>KR 122 A 63 L 44</t>
  </si>
  <si>
    <t>601 3279797 EXT. 62540</t>
  </si>
  <si>
    <t>AAA0068TFTO</t>
  </si>
  <si>
    <t>GLORIA LARA</t>
  </si>
  <si>
    <t>KR 94 D 131 03</t>
  </si>
  <si>
    <t>601 6843466</t>
  </si>
  <si>
    <t>SUBA</t>
  </si>
  <si>
    <t>EL RINCON</t>
  </si>
  <si>
    <t>TTES DE COLOMBIA</t>
  </si>
  <si>
    <t>GLORIA LARA DE ECHEVERRY II</t>
  </si>
  <si>
    <t>AAA0133WNPP</t>
  </si>
  <si>
    <t>HELVETIA</t>
  </si>
  <si>
    <t>CL 129 55 55</t>
  </si>
  <si>
    <t>601 2539466</t>
  </si>
  <si>
    <t>NIZA</t>
  </si>
  <si>
    <t>PRADO VERANIEGO SUR</t>
  </si>
  <si>
    <t>PRADO SUR</t>
  </si>
  <si>
    <t>AAA0205UHPP</t>
  </si>
  <si>
    <t>LA MANUELITA</t>
  </si>
  <si>
    <t>AK 91 129 A 10</t>
  </si>
  <si>
    <t>601 6850029</t>
  </si>
  <si>
    <t>VILLA ALCAZAR</t>
  </si>
  <si>
    <t>URB. LA MANUELITA</t>
  </si>
  <si>
    <t>AAA0128TKTO</t>
  </si>
  <si>
    <t>CL 146 C BIS 91 42</t>
  </si>
  <si>
    <t>601 6815458</t>
  </si>
  <si>
    <t>SUBA URBANO</t>
  </si>
  <si>
    <t>S.C. SUBA URBANO</t>
  </si>
  <si>
    <t>AAA0131TYXR</t>
  </si>
  <si>
    <t>CENTRO AMAR SAN CRISTOBAL I</t>
  </si>
  <si>
    <t>CL 31 C SUR 0 25 ESTE</t>
  </si>
  <si>
    <t>601 3626392</t>
  </si>
  <si>
    <t>Horarios de Atención Diurno: 7:00am a 7:00pm</t>
  </si>
  <si>
    <t>AAA0002RWAW</t>
  </si>
  <si>
    <t>BETANIA</t>
  </si>
  <si>
    <t>CL 76 B SUR 5 64</t>
  </si>
  <si>
    <t>601 7613383</t>
  </si>
  <si>
    <t>GRAN YOMASA</t>
  </si>
  <si>
    <t>AAA0024EBXS</t>
  </si>
  <si>
    <t>EL OASIS</t>
  </si>
  <si>
    <t>KR 14 G BIS 133 A 22 SUR</t>
  </si>
  <si>
    <t>601 7390482</t>
  </si>
  <si>
    <t>CIUDAD USME</t>
  </si>
  <si>
    <t>CENTRO USME URBANO</t>
  </si>
  <si>
    <t>CIUDADELA EL OASIS</t>
  </si>
  <si>
    <t>AAA0180NOZM</t>
  </si>
  <si>
    <t>MARIA MICAELA</t>
  </si>
  <si>
    <t>KR 14 C ESTE 90 A 07 SUR</t>
  </si>
  <si>
    <t>601 6219232</t>
  </si>
  <si>
    <t>JUAN JOSE RONDON I</t>
  </si>
  <si>
    <t>JUAN JOSÉ RONDON</t>
  </si>
  <si>
    <t>AAA0222RXXR</t>
  </si>
  <si>
    <t>EL CARMEN</t>
  </si>
  <si>
    <t>KR 28 48 A 17 SUR</t>
  </si>
  <si>
    <t>601 8053977</t>
  </si>
  <si>
    <t>Lunes a Viernes: 7:00 am a 4: 30 pm</t>
  </si>
  <si>
    <t>TUNJUELITO</t>
  </si>
  <si>
    <t>VENECIA</t>
  </si>
  <si>
    <t>SAMORE</t>
  </si>
  <si>
    <t>AAA0016BLNX</t>
  </si>
  <si>
    <t>PABLO DE TARSO</t>
  </si>
  <si>
    <t>DG 48 SUR No 51D 57 SUR</t>
  </si>
  <si>
    <t>601 7241136</t>
  </si>
  <si>
    <t>AAA0015WMDM</t>
  </si>
  <si>
    <t>RAFAEL BARBERI CUALLA</t>
  </si>
  <si>
    <t>KR 36 50 B 35 SUR</t>
  </si>
  <si>
    <t>601 7103553</t>
  </si>
  <si>
    <t>FATIMA</t>
  </si>
  <si>
    <t>FÁTIMA</t>
  </si>
  <si>
    <t>AAA0016KDXR</t>
  </si>
  <si>
    <t>SAN BENITO</t>
  </si>
  <si>
    <t>CL 58 SUR 19 B 37</t>
  </si>
  <si>
    <t>601 7690972</t>
  </si>
  <si>
    <t>AAA0022CDUH</t>
  </si>
  <si>
    <t>SANTA LUCIA</t>
  </si>
  <si>
    <t>CL 50 SUR 18 B 60</t>
  </si>
  <si>
    <t>601 7691120</t>
  </si>
  <si>
    <t>SAN CARLOS NORTE</t>
  </si>
  <si>
    <t>AAA0013KASK</t>
  </si>
  <si>
    <t>CL 58 SUR 13 01</t>
  </si>
  <si>
    <t>601 7690990</t>
  </si>
  <si>
    <t>AAA0021UOLF</t>
  </si>
  <si>
    <t>LAURELES</t>
  </si>
  <si>
    <t>CL 73 SUR 81 B 10</t>
  </si>
  <si>
    <t>601 7761827</t>
  </si>
  <si>
    <t>BOSA</t>
  </si>
  <si>
    <t>BOSA CENTRAL</t>
  </si>
  <si>
    <t>GRAN COLOMBIANO</t>
  </si>
  <si>
    <t>GRANCOLOMBIANO II SECTOR</t>
  </si>
  <si>
    <t>AAA0165ZRAF</t>
  </si>
  <si>
    <t>EL ROSARIO</t>
  </si>
  <si>
    <t>CL 63 B BIS 35 A 49</t>
  </si>
  <si>
    <t>601 3150258</t>
  </si>
  <si>
    <t>BARRIOS UNIDOS</t>
  </si>
  <si>
    <t>PARQUE SALITRE</t>
  </si>
  <si>
    <t>AAA0054NHNX</t>
  </si>
  <si>
    <t>LA INMACULADA</t>
  </si>
  <si>
    <t>NO APLICA</t>
  </si>
  <si>
    <t>CL 73 51 27</t>
  </si>
  <si>
    <t>DOCE DE OCTUBRE</t>
  </si>
  <si>
    <t>12 DE OCTUBRE</t>
  </si>
  <si>
    <t>AAA0056LCOE</t>
  </si>
  <si>
    <t>RIONEGRO</t>
  </si>
  <si>
    <t>CL 99 60 46</t>
  </si>
  <si>
    <t>601 3808331
Ext.52018</t>
  </si>
  <si>
    <t>LOS ANDES</t>
  </si>
  <si>
    <t>AAA0057WPZE</t>
  </si>
  <si>
    <t>SANTA SOFIA</t>
  </si>
  <si>
    <t>KR 28 B 75 11</t>
  </si>
  <si>
    <t>LOS ALCAZARES</t>
  </si>
  <si>
    <t>ONCE DE NOVIEMBRE</t>
  </si>
  <si>
    <t>11 DE NOVIEMBRE</t>
  </si>
  <si>
    <t>AAA0086ULCN</t>
  </si>
  <si>
    <t>JORGE BEJARANO</t>
  </si>
  <si>
    <t>CL 10 29 48</t>
  </si>
  <si>
    <t>601 2372826</t>
  </si>
  <si>
    <t>LOS MARTIRES</t>
  </si>
  <si>
    <t>LA SABANA</t>
  </si>
  <si>
    <t>RICAURTE</t>
  </si>
  <si>
    <t>AAA0034FRRJ</t>
  </si>
  <si>
    <t>CENTRO AMAR MARTIRES I</t>
  </si>
  <si>
    <t>CL 20 18 A 51</t>
  </si>
  <si>
    <t>601 3279797 EXT. 62580</t>
  </si>
  <si>
    <t>LA FAVORITA</t>
  </si>
  <si>
    <t>AAA0072URDM</t>
  </si>
  <si>
    <t>CENTRO AMAR MARTIRES II</t>
  </si>
  <si>
    <t>KR 15 BIS 18 37</t>
  </si>
  <si>
    <t>601 3279797 EXT. 62600</t>
  </si>
  <si>
    <t>LUNES A SÁBADO 7:00 AM - 7:00 PM Y NOCTURNO: 7:00PM - 7:00AM Y Domingos
 y Festivos 8:00 AM - 6:00 PM</t>
  </si>
  <si>
    <t>AAA0072TAFT</t>
  </si>
  <si>
    <t>SANTANDER</t>
  </si>
  <si>
    <t>KR 29 B 26 10 SUR</t>
  </si>
  <si>
    <t>601 7272504</t>
  </si>
  <si>
    <t>ANTONIO NARIÑO</t>
  </si>
  <si>
    <t>RESTREPO</t>
  </si>
  <si>
    <t>SANTANDER SUR</t>
  </si>
  <si>
    <t>AAA0013MXUH</t>
  </si>
  <si>
    <t>KR 24 B 15 32 SUR</t>
  </si>
  <si>
    <t>601 5609048</t>
  </si>
  <si>
    <t>RESTREPO OCCIDENTAL</t>
  </si>
  <si>
    <t>AAA0012EEMR</t>
  </si>
  <si>
    <t>BOCHICA MAYRA BARAHONA RODRIGUEZ-</t>
  </si>
  <si>
    <t>CL 1 A BIS 35 20</t>
  </si>
  <si>
    <t>601 3603712</t>
  </si>
  <si>
    <t>PUENTE ARANDA</t>
  </si>
  <si>
    <t>CIUDAD MONTES</t>
  </si>
  <si>
    <t>SANTA MATILDE</t>
  </si>
  <si>
    <t>AAA0037DKRJ</t>
  </si>
  <si>
    <t>CALIXTO TORRES</t>
  </si>
  <si>
    <t>KR 65 4 17</t>
  </si>
  <si>
    <t>601 4143469</t>
  </si>
  <si>
    <t>SAN RAFAEL</t>
  </si>
  <si>
    <t>LA PRADERA</t>
  </si>
  <si>
    <t>AAA0038DAKL</t>
  </si>
  <si>
    <t>ALCALA MUZU</t>
  </si>
  <si>
    <t>KR 52 37 05 SUR</t>
  </si>
  <si>
    <t>601 7106539</t>
  </si>
  <si>
    <t>MUZU</t>
  </si>
  <si>
    <t>ALQUERIA</t>
  </si>
  <si>
    <t>LA ALQUERÍA</t>
  </si>
  <si>
    <t>AAA0040CWNN</t>
  </si>
  <si>
    <t>KR 59 17 60</t>
  </si>
  <si>
    <t>601 4203421</t>
  </si>
  <si>
    <t>AAA0074NFTD</t>
  </si>
  <si>
    <t>SALACUNA PRIMAVERA Y GORGONZOLA</t>
  </si>
  <si>
    <t>CL 4 D 40 55</t>
  </si>
  <si>
    <t>601 3605807</t>
  </si>
  <si>
    <t>PRIMAVERA OCCIDENTAL</t>
  </si>
  <si>
    <t>AAA0036KYYN</t>
  </si>
  <si>
    <t>SATELITE PRIMAVERA</t>
  </si>
  <si>
    <t>KR 41 B 5 57</t>
  </si>
  <si>
    <t>601 3808330</t>
  </si>
  <si>
    <t>AAA0036HRKC</t>
  </si>
  <si>
    <t>TRINIDAD GALAN</t>
  </si>
  <si>
    <t>CL 4 B 59 80</t>
  </si>
  <si>
    <t>601 2904089</t>
  </si>
  <si>
    <t>SAN GABRIEL</t>
  </si>
  <si>
    <t>AAA0038JLTD</t>
  </si>
  <si>
    <t>CENTRO AMAR CANDELARIA</t>
  </si>
  <si>
    <t>CL 9 3 57</t>
  </si>
  <si>
    <t>601 2438376</t>
  </si>
  <si>
    <t>CANDELARIA</t>
  </si>
  <si>
    <t>LA CANDELARIA</t>
  </si>
  <si>
    <t>CENTRO ADMINISTRATIVO</t>
  </si>
  <si>
    <t>AAA0030NMUZ</t>
  </si>
  <si>
    <t>SOCORRO SUR</t>
  </si>
  <si>
    <t>KR 13 B 50 A 24 SUR</t>
  </si>
  <si>
    <t>601 7735049</t>
  </si>
  <si>
    <t>RAFAEL URIBE URIBE</t>
  </si>
  <si>
    <t>MARRUECOS</t>
  </si>
  <si>
    <t>MARCO FIDEL SUAREZ I</t>
  </si>
  <si>
    <t>EL SOCORRO II SECTOR</t>
  </si>
  <si>
    <t>AAA0009KEJZ</t>
  </si>
  <si>
    <t>COLINAS</t>
  </si>
  <si>
    <t>KR 13 B 31 G 40 SUR</t>
  </si>
  <si>
    <t>601 7647146</t>
  </si>
  <si>
    <t>SAN JOSE</t>
  </si>
  <si>
    <t>GUSTAVO RESTREPO</t>
  </si>
  <si>
    <t>AAA0007ERMS</t>
  </si>
  <si>
    <t>PIJAOS</t>
  </si>
  <si>
    <t>KR 10 B 35 02 SUR</t>
  </si>
  <si>
    <t>601 7685863</t>
  </si>
  <si>
    <t>LOS PIJAOS</t>
  </si>
  <si>
    <t>AAA0011BHZM</t>
  </si>
  <si>
    <t>MARCO A. IRIARTE</t>
  </si>
  <si>
    <t>KR 21 23 21 SUR</t>
  </si>
  <si>
    <t>601 4550724</t>
  </si>
  <si>
    <t>QUIROGA</t>
  </si>
  <si>
    <t>OLAYA</t>
  </si>
  <si>
    <t>S.C. OLAYA</t>
  </si>
  <si>
    <t>AAA0012TMZM</t>
  </si>
  <si>
    <t xml:space="preserve">KR 26 A 41 46 SUR </t>
  </si>
  <si>
    <t>601 7678329</t>
  </si>
  <si>
    <t>INGLES</t>
  </si>
  <si>
    <t>S.C. INGLES</t>
  </si>
  <si>
    <t>AAA0013ZZJH</t>
  </si>
  <si>
    <t>CL 41 SUR 31 97</t>
  </si>
  <si>
    <t>601 7642278</t>
  </si>
  <si>
    <t>AAA0013ZKEP</t>
  </si>
  <si>
    <t>SAN JORGE</t>
  </si>
  <si>
    <t>Dig 45 Bis B SUR # 13 F - 36</t>
  </si>
  <si>
    <t>MARCO FIDEL SUAREZ</t>
  </si>
  <si>
    <t>SAN JORGE SUR</t>
  </si>
  <si>
    <t>URB. TANQUE DE SANTA LUCIA</t>
  </si>
  <si>
    <t>AAA0218OYOM</t>
  </si>
  <si>
    <t>RONDAS Y JUEGOS</t>
  </si>
  <si>
    <t>KR 11 A 52 54 SUR</t>
  </si>
  <si>
    <t>601 2051128</t>
  </si>
  <si>
    <t>ABRAHAM LINCOLN</t>
  </si>
  <si>
    <t>AAA0021TDHK</t>
  </si>
  <si>
    <t>ABRIENDO CAMINOS (AFRO)</t>
  </si>
  <si>
    <t>TV 12 G 33 35 SUR</t>
  </si>
  <si>
    <t>601 7682679</t>
  </si>
  <si>
    <t>GRANJAS SAN PABLO</t>
  </si>
  <si>
    <t>GRANJAS DE SAN PABLO</t>
  </si>
  <si>
    <t>AAA0008PMKC</t>
  </si>
  <si>
    <t>ARBORIZADORA ALTA</t>
  </si>
  <si>
    <t>CL 70 SUR 34-05</t>
  </si>
  <si>
    <t>601 7769061</t>
  </si>
  <si>
    <t>CIUDAD BOLIVAR</t>
  </si>
  <si>
    <t>JERUSALEM</t>
  </si>
  <si>
    <t>AAA0172AKNN</t>
  </si>
  <si>
    <t>SAN FRANCISCO</t>
  </si>
  <si>
    <t>ACTIVA CIERRE TEMPORAL</t>
  </si>
  <si>
    <t>KR 19 G 67 21 SUR</t>
  </si>
  <si>
    <t>601 4555642</t>
  </si>
  <si>
    <t>SAN FRANCISCO II SECTOR</t>
  </si>
  <si>
    <t>AAA0022URPA</t>
  </si>
  <si>
    <t>LA ESTANCIA</t>
  </si>
  <si>
    <t>KR 74 G 59 87 SUR</t>
  </si>
  <si>
    <t>601 3808330Ext:58400</t>
  </si>
  <si>
    <t>ISMAEL PERDOMO</t>
  </si>
  <si>
    <t>AAA0184HMDM</t>
  </si>
  <si>
    <t>BELLAVISTA</t>
  </si>
  <si>
    <t>CL 38 SUR 94 C 29</t>
  </si>
  <si>
    <t>601 4527787</t>
  </si>
  <si>
    <t>GALAN</t>
  </si>
  <si>
    <t>AAA0159XJTD</t>
  </si>
  <si>
    <t>CAMINOS DE LA VIDA</t>
  </si>
  <si>
    <t>INMIEBLE DEL OPERADOR</t>
  </si>
  <si>
    <t>KR 76 C BIS 62 F 42 SUR</t>
  </si>
  <si>
    <t>601 4550568</t>
  </si>
  <si>
    <t>LOS TRES REYES</t>
  </si>
  <si>
    <t>CASA GRANDE</t>
  </si>
  <si>
    <t>AAA0148ACDE</t>
  </si>
  <si>
    <t>HOGAR SAN MAURICIO</t>
  </si>
  <si>
    <t>KR 80 172 A 90</t>
  </si>
  <si>
    <t>SAN JOSE DE BAVARIA</t>
  </si>
  <si>
    <t>SAN JOSÉ DE BAVARIA</t>
  </si>
  <si>
    <t>AAA0180DZKC</t>
  </si>
  <si>
    <t>BARRANQUILLITA</t>
  </si>
  <si>
    <t>TV 12 BIS 70 B 10 SUR</t>
  </si>
  <si>
    <t>AAA0165UMTO</t>
  </si>
  <si>
    <t>CHUNIZA</t>
  </si>
  <si>
    <t>CL 91 SUR 4 C 26</t>
  </si>
  <si>
    <t>601 3808330ext52800</t>
  </si>
  <si>
    <t>COMUNEROS</t>
  </si>
  <si>
    <t>CHARALA</t>
  </si>
  <si>
    <t>ALFONSO LÓPEZ SECTOR CHARALA</t>
  </si>
  <si>
    <t>AAA0145FSUH</t>
  </si>
  <si>
    <t>NUEVA ROMA</t>
  </si>
  <si>
    <t>KR 4 ESTE 48 C 36 SUR</t>
  </si>
  <si>
    <t>601 2068522</t>
  </si>
  <si>
    <t>LOS LIBERTADORES</t>
  </si>
  <si>
    <t>VILLABEL</t>
  </si>
  <si>
    <t>URB. NUEVA ROMA ORIENTAL DARDANELOS</t>
  </si>
  <si>
    <t>AAA0155OEPA</t>
  </si>
  <si>
    <t>SERVITA</t>
  </si>
  <si>
    <t>CL 165 7 52</t>
  </si>
  <si>
    <t>601 6698211</t>
  </si>
  <si>
    <t>LA URIBE</t>
  </si>
  <si>
    <t>SANTA TERESA</t>
  </si>
  <si>
    <t>AAA0191FKUZ</t>
  </si>
  <si>
    <t>SAN CAYETANO</t>
  </si>
  <si>
    <t>CL 74 A SUR 16 30 ESTE</t>
  </si>
  <si>
    <t>CIUDAD LONDRES RURAL</t>
  </si>
  <si>
    <t>AAA0159PTZE</t>
  </si>
  <si>
    <t>CL 78 SUR 17 F 80</t>
  </si>
  <si>
    <t>601 7913956</t>
  </si>
  <si>
    <t>EL TESORO</t>
  </si>
  <si>
    <t>QUIBA I</t>
  </si>
  <si>
    <t>URB. BUENAVISTA</t>
  </si>
  <si>
    <t>AAA0171UHPP</t>
  </si>
  <si>
    <t>SAN JERONIMO DEL YUSTE</t>
  </si>
  <si>
    <t>CL 14 SUR 23 44 ESTE</t>
  </si>
  <si>
    <t>601 3373176</t>
  </si>
  <si>
    <t>SAN BLAS</t>
  </si>
  <si>
    <t>TIBAQUE III</t>
  </si>
  <si>
    <t>S.C TIBAQUE</t>
  </si>
  <si>
    <t>AAA0154SFTD</t>
  </si>
  <si>
    <t>KR 80 J 76 38 SUR</t>
  </si>
  <si>
    <t>601 7195177</t>
  </si>
  <si>
    <t>SAN DIEGO-BOSA</t>
  </si>
  <si>
    <t>URB. LA ESPERANZA</t>
  </si>
  <si>
    <t>AAA0226LEXS</t>
  </si>
  <si>
    <t>SANTIAGO DE LAS ATALAYAS</t>
  </si>
  <si>
    <t>KR 89 BIS A 61 A 25 SUR</t>
  </si>
  <si>
    <t>601 7833965</t>
  </si>
  <si>
    <t>BOSA OCCIDENTAL</t>
  </si>
  <si>
    <t>LAS MARGARITAS</t>
  </si>
  <si>
    <t>S.C. LAS MARGARITAS</t>
  </si>
  <si>
    <t>AAA0154CTOM</t>
  </si>
  <si>
    <t>SANTA MARTA</t>
  </si>
  <si>
    <t>CL 56 F SUR 91 D 14</t>
  </si>
  <si>
    <t>601 7839942</t>
  </si>
  <si>
    <t>EL PORVENIR</t>
  </si>
  <si>
    <t>EL CORZO</t>
  </si>
  <si>
    <t>AAA0154TFLW</t>
  </si>
  <si>
    <t>10133-JINF-SDIS-PARAISO-</t>
  </si>
  <si>
    <t>KR 27 L 71 G 14 SUR</t>
  </si>
  <si>
    <t>UPZ 67-LUCERO</t>
  </si>
  <si>
    <t>PARAISO QUIBA</t>
  </si>
  <si>
    <t>EL PARAISO</t>
  </si>
  <si>
    <t>PIEDRA VERDE</t>
  </si>
  <si>
    <t>CL 137 129 35</t>
  </si>
  <si>
    <t>601 6876403</t>
  </si>
  <si>
    <t>TIBABUYES</t>
  </si>
  <si>
    <t>TOSCANA</t>
  </si>
  <si>
    <t>URB. PIEDRA VERDE</t>
  </si>
  <si>
    <t>AAA0160OYAW</t>
  </si>
  <si>
    <t>MONTEBLANCO</t>
  </si>
  <si>
    <t>CL 97 1 03 SUR</t>
  </si>
  <si>
    <t>YOMASA NORTE</t>
  </si>
  <si>
    <t>S.C. YOMASA NORTE</t>
  </si>
  <si>
    <t>AAA0156LJYX</t>
  </si>
  <si>
    <t>NEBRASKA</t>
  </si>
  <si>
    <t>KR 1 C ESTE 66 A 68 SUR</t>
  </si>
  <si>
    <t>DANUBIO</t>
  </si>
  <si>
    <t>LA FISCALA</t>
  </si>
  <si>
    <t>AAA0145XJWF</t>
  </si>
  <si>
    <t>BOLONIA</t>
  </si>
  <si>
    <t>CL 81 A SUR 6 40 ESTE</t>
  </si>
  <si>
    <t>LA ESPERANZA SUR</t>
  </si>
  <si>
    <t>AAA0172FYKC</t>
  </si>
  <si>
    <t>ARBORIZADORA BAJA</t>
  </si>
  <si>
    <t>CL 59 B SUR 43 17</t>
  </si>
  <si>
    <t>601 7927295</t>
  </si>
  <si>
    <t>ARBORIZADORA</t>
  </si>
  <si>
    <t>AAA0019JRAF</t>
  </si>
  <si>
    <t>SAN VICENTE</t>
  </si>
  <si>
    <t>TV 6 C ESTE 33 70 SUR</t>
  </si>
  <si>
    <t>601 2068554</t>
  </si>
  <si>
    <t>SANTA INES SUR</t>
  </si>
  <si>
    <t>SAN VICENTE (PREDIO)</t>
  </si>
  <si>
    <t>AAA0154EOHY</t>
  </si>
  <si>
    <t>LA ALAMEDA</t>
  </si>
  <si>
    <t>KR 13 20 95</t>
  </si>
  <si>
    <t>601 2863299</t>
  </si>
  <si>
    <t>LAS NIEVES</t>
  </si>
  <si>
    <t>AAA0178TUDE</t>
  </si>
  <si>
    <t>EL NOGAL</t>
  </si>
  <si>
    <t>KR 11 183 A 90</t>
  </si>
  <si>
    <t>601 6682598</t>
  </si>
  <si>
    <t>VERBENAL SAN ANTONIO</t>
  </si>
  <si>
    <t>SAN ANTONIO NORTE II SECTOR</t>
  </si>
  <si>
    <t>N00853793330001</t>
  </si>
  <si>
    <t>PALERMO SUR</t>
  </si>
  <si>
    <t>CL 49 D SUR 2 B 26</t>
  </si>
  <si>
    <t>DIANA TURBAY</t>
  </si>
  <si>
    <t>AAA0176OECX</t>
  </si>
  <si>
    <t>SEMILLITAS DE AMOR</t>
  </si>
  <si>
    <t>DG 75 D SUR 75 L 07</t>
  </si>
  <si>
    <t>601 7928996</t>
  </si>
  <si>
    <t>SANTA VIVIANA</t>
  </si>
  <si>
    <t>AAA0147NKMR</t>
  </si>
  <si>
    <t>MARIA GORETTI</t>
  </si>
  <si>
    <t>CL 72 52 18; KR 28 B 75 11</t>
  </si>
  <si>
    <t>POPULAR MODELO</t>
  </si>
  <si>
    <t>AAA0054JYHY</t>
  </si>
  <si>
    <t>TINTALITO</t>
  </si>
  <si>
    <t>AC 43 SUR 88 A 20</t>
  </si>
  <si>
    <t>601 4530956</t>
  </si>
  <si>
    <t>DINDALITO</t>
  </si>
  <si>
    <t>PIAMONTE OCCIDENTAL</t>
  </si>
  <si>
    <t>AAA0137ZCBR</t>
  </si>
  <si>
    <t>CENTRO AMAR SUBA</t>
  </si>
  <si>
    <t>KR 100 A 137 13</t>
  </si>
  <si>
    <t>601 6815727</t>
  </si>
  <si>
    <t>LA CHUCUA</t>
  </si>
  <si>
    <t>LA CHUCUA - LA TRINITARIA</t>
  </si>
  <si>
    <t>AAA0133MLSK</t>
  </si>
  <si>
    <t>FUNDACION PEPASO</t>
  </si>
  <si>
    <t>CL 42 A SUR 99 16</t>
  </si>
  <si>
    <t>601 5702886</t>
  </si>
  <si>
    <t>LOS ALMENDROS</t>
  </si>
  <si>
    <t>AAA0148MKBS</t>
  </si>
  <si>
    <t>CENTRO AMAR USME</t>
  </si>
  <si>
    <t>NO APLICA - INMUEBLE LO APORTA EL OPERADOR</t>
  </si>
  <si>
    <t>KR 12 75 26 SUR</t>
  </si>
  <si>
    <t>601 2006960</t>
  </si>
  <si>
    <t>LA ANDREA</t>
  </si>
  <si>
    <t>SANTA LIBRADA</t>
  </si>
  <si>
    <t>AAA0245KSXS</t>
  </si>
  <si>
    <t>CENTRO AMAR USAQUEN</t>
  </si>
  <si>
    <t>KR 21 160 05</t>
  </si>
  <si>
    <t>601 3808331 EXT 51202</t>
  </si>
  <si>
    <t>TOBERIN</t>
  </si>
  <si>
    <t>ESTRELLA DEL NORTE</t>
  </si>
  <si>
    <t>AAA0114WXRJ</t>
  </si>
  <si>
    <t>CENTRO AMAR BOSA</t>
  </si>
  <si>
    <t>KR 87 83 07 SUR</t>
  </si>
  <si>
    <t>SIN TELEFONO</t>
  </si>
  <si>
    <t>Horarios de Atención Diurno: 7:00am a 7:00pm
Horarios de Atención Nocturno: 7:00pm a 7:00am
Horarios de Atención Domingos y Festivos: 7:00am a 4:00pm</t>
  </si>
  <si>
    <t>TINTAL SUR</t>
  </si>
  <si>
    <t>REMANSO URBANO</t>
  </si>
  <si>
    <t>EL MATORRAL</t>
  </si>
  <si>
    <t>AAA0151DWLW</t>
  </si>
  <si>
    <t>SAN BERNARDINO</t>
  </si>
  <si>
    <t>KR 89 BIS 79 10 SUR</t>
  </si>
  <si>
    <t>601 5744309</t>
  </si>
  <si>
    <t>SAN BERNARDINO POTRERITOS</t>
  </si>
  <si>
    <t>POTERITOS</t>
  </si>
  <si>
    <t>AAA0242MZNX</t>
  </si>
  <si>
    <t>EL CIPRES</t>
  </si>
  <si>
    <t>KR 6 G BIS ESTE 106 A 36 SUR</t>
  </si>
  <si>
    <t>ALFONSO LOPEZ</t>
  </si>
  <si>
    <t>PUERTA AL LLANO DE USME</t>
  </si>
  <si>
    <t>EL UVAL II SECTOR</t>
  </si>
  <si>
    <t>AAA0172NLMS</t>
  </si>
  <si>
    <t>CL 49 D SUR 92 A 34</t>
  </si>
  <si>
    <t>601 7279187</t>
  </si>
  <si>
    <t>PARCELA EL PORVENIR</t>
  </si>
  <si>
    <t>S.C. OSORIO DIEZ</t>
  </si>
  <si>
    <t>AAA0191PMTO</t>
  </si>
  <si>
    <t>LOS ROBLES</t>
  </si>
  <si>
    <t>CL 66 C SUR 18 Y 03</t>
  </si>
  <si>
    <t>601 3247357</t>
  </si>
  <si>
    <t>LUCERO</t>
  </si>
  <si>
    <t>COMPARTIR</t>
  </si>
  <si>
    <t>LAS DELICIAS DEL_SUR</t>
  </si>
  <si>
    <t>AAA0178FZBR</t>
  </si>
  <si>
    <t>JAIRO ANIBAL NIÑO</t>
  </si>
  <si>
    <t>KRA 87 D #39-10 SUR</t>
  </si>
  <si>
    <t>601 4577344</t>
  </si>
  <si>
    <t>KENNEDY OCCIDENTAL SUPERMANZANA 14</t>
  </si>
  <si>
    <t>AAA0043CTCX</t>
  </si>
  <si>
    <t>SAN PEDRO</t>
  </si>
  <si>
    <t>KR 82 C 73 F 67 SUR</t>
  </si>
  <si>
    <t>AAA0049LWFT</t>
  </si>
  <si>
    <t>ASOVIVIR</t>
  </si>
  <si>
    <t>KR 80 N BIS 70 10 SUR</t>
  </si>
  <si>
    <t>SAN PABLO BOSA</t>
  </si>
  <si>
    <t>PIAMONTE II SECTOR</t>
  </si>
  <si>
    <t>AAA0162WSOM</t>
  </si>
  <si>
    <t>MANANTIAL</t>
  </si>
  <si>
    <t>KR 48 B 73 A 84 SUR</t>
  </si>
  <si>
    <t>601 7310089</t>
  </si>
  <si>
    <t>LAS BRISAS</t>
  </si>
  <si>
    <t>JERUSALÉN LAS BRISAS</t>
  </si>
  <si>
    <t>AAA0018WTBR</t>
  </si>
  <si>
    <t>ACEPTA EL CAMBIO</t>
  </si>
  <si>
    <t>CL 65 C SUR 78 C 25</t>
  </si>
  <si>
    <t>601 7751663</t>
  </si>
  <si>
    <t>GUALOCHE</t>
  </si>
  <si>
    <t>SAN JUDAS LA ESTACIÓN</t>
  </si>
  <si>
    <t>AAA0051PYOM</t>
  </si>
  <si>
    <t>SEMILLAS DE ESPERANZA (SAN BERNARDINO)</t>
  </si>
  <si>
    <t>KR 87 B 80 40 SUR</t>
  </si>
  <si>
    <t>EL REMANSO</t>
  </si>
  <si>
    <t>S.C. EL REMANSO</t>
  </si>
  <si>
    <t>AAA0179NXNX</t>
  </si>
  <si>
    <t>SAN PABLO - MANITOS UNIDAS</t>
  </si>
  <si>
    <t>KR 136 16 18</t>
  </si>
  <si>
    <t>601 7589974</t>
  </si>
  <si>
    <t>ZONA FRANCA</t>
  </si>
  <si>
    <t>KASANDRA</t>
  </si>
  <si>
    <t>AAA0140HYSK</t>
  </si>
  <si>
    <t>PEPITOS PROACTIVOS</t>
  </si>
  <si>
    <t>KR 121  65 A  09</t>
  </si>
  <si>
    <t>601 4318246</t>
  </si>
  <si>
    <t>AAA0160DLCN</t>
  </si>
  <si>
    <t>PEPASO II</t>
  </si>
  <si>
    <t>KR 11 B ESTE 43 A 54 SUR</t>
  </si>
  <si>
    <t>601 2331856</t>
  </si>
  <si>
    <t>L-V 07:00 AM - 04:30 PM</t>
  </si>
  <si>
    <t>ALTAMIRA</t>
  </si>
  <si>
    <t>ALTAMIRA CHIQUITA</t>
  </si>
  <si>
    <t>AAA0004AOWF</t>
  </si>
  <si>
    <t>SAN RICARDO DE PAMPURI</t>
  </si>
  <si>
    <t>CL 70 SUR 16 25 ESTE</t>
  </si>
  <si>
    <t>JUAN REY (LA PAZ)</t>
  </si>
  <si>
    <t>S.C CIUDAD LONDRES I</t>
  </si>
  <si>
    <t>AAA0145UZJZ</t>
  </si>
  <si>
    <t>FANA</t>
  </si>
  <si>
    <t>KR 96 156 B 18</t>
  </si>
  <si>
    <t>601 6806000EXT.140</t>
  </si>
  <si>
    <t>SALITRE SUBA</t>
  </si>
  <si>
    <t>ARCABUCO</t>
  </si>
  <si>
    <t>AAA0134NNLW</t>
  </si>
  <si>
    <t>WALDORF</t>
  </si>
  <si>
    <t>TV 73 H BIS 75 B 46 SUR</t>
  </si>
  <si>
    <t>SIERRA MORENA</t>
  </si>
  <si>
    <t>AAA0176YPNX</t>
  </si>
  <si>
    <t>120937-JINF-CC-COLOR KIDS-</t>
  </si>
  <si>
    <t>CL 19 106 34</t>
  </si>
  <si>
    <t>601 9260735</t>
  </si>
  <si>
    <t>BELEN FONTIBON</t>
  </si>
  <si>
    <t>S.C. BELÉN FONTIBÓN</t>
  </si>
  <si>
    <t>AAA0079NESY</t>
  </si>
  <si>
    <t>EMMANUEL-</t>
  </si>
  <si>
    <t>CL 23 106 56</t>
  </si>
  <si>
    <t>601 7788117</t>
  </si>
  <si>
    <t>LA GIRALDA II SECTOR</t>
  </si>
  <si>
    <t>AAA0077TTOE</t>
  </si>
  <si>
    <t>MAMA CANGURO</t>
  </si>
  <si>
    <t>CL 89 Bis 89 A 67</t>
  </si>
  <si>
    <t>601 3573935</t>
  </si>
  <si>
    <t>QUIRIGUA ORIENTAL</t>
  </si>
  <si>
    <t>S.C. PRIMAVERA</t>
  </si>
  <si>
    <t>AAA0064FHBR</t>
  </si>
  <si>
    <t>VILLA MARY</t>
  </si>
  <si>
    <t>CL 67 A 110 B 25</t>
  </si>
  <si>
    <t>601 9427595</t>
  </si>
  <si>
    <t>SAN ANTONIO URBANO</t>
  </si>
  <si>
    <t>AAA0072HULW</t>
  </si>
  <si>
    <t>LA FLORIDA</t>
  </si>
  <si>
    <t>CL 68 A 91 17</t>
  </si>
  <si>
    <t>601 5647514</t>
  </si>
  <si>
    <t>FLORIDA BLANCA</t>
  </si>
  <si>
    <t>AAA0065DZYN</t>
  </si>
  <si>
    <t>ANTON PIRULERO</t>
  </si>
  <si>
    <t>CL 70 109 A 05</t>
  </si>
  <si>
    <t>601 8051811</t>
  </si>
  <si>
    <t>SAN ANTONIO ENGATIVA</t>
  </si>
  <si>
    <t>VILLAS DEL DORADO SAN ANTONIO</t>
  </si>
  <si>
    <t>AAA0152AYAF</t>
  </si>
  <si>
    <t>CL 186 7 A 29</t>
  </si>
  <si>
    <t>TIBABITA</t>
  </si>
  <si>
    <t>TIBABITA II</t>
  </si>
  <si>
    <t>AAA0168YDBR</t>
  </si>
  <si>
    <t>LA ALEGRIA DE APRENDER</t>
  </si>
  <si>
    <t>KR 55 2 B 30</t>
  </si>
  <si>
    <t>601 3676103</t>
  </si>
  <si>
    <t>GALÁN</t>
  </si>
  <si>
    <t>AAA0037WNDE</t>
  </si>
  <si>
    <t>CELESTIN FREINET AURES</t>
  </si>
  <si>
    <t>KR 101 A 132 B 03</t>
  </si>
  <si>
    <t>601 7796090</t>
  </si>
  <si>
    <t>POTRERILLO</t>
  </si>
  <si>
    <t>URB. POTRERILLOS DE SUBA</t>
  </si>
  <si>
    <t>AAA0136MUTO</t>
  </si>
  <si>
    <t>CELESTIN FREINET RINCON</t>
  </si>
  <si>
    <t>CL 128 B BIS A 91 93</t>
  </si>
  <si>
    <t>601 7761925</t>
  </si>
  <si>
    <t>RINCÓN DE SUBA</t>
  </si>
  <si>
    <t>AAA0129AXXS</t>
  </si>
  <si>
    <t>AEIOTU</t>
  </si>
  <si>
    <t>KR 98 156 C 10</t>
  </si>
  <si>
    <t>ORQUÍDEAS II SECTOR</t>
  </si>
  <si>
    <t>AAA0134PWSY</t>
  </si>
  <si>
    <t>ARCOIRIS DE AMOR</t>
  </si>
  <si>
    <t>KR 78 J 39 15 SUR</t>
  </si>
  <si>
    <t>CIUDAD KENNEDY CENTRAL</t>
  </si>
  <si>
    <t>CIUDAD KENNEDY SUPERMANZANA 8</t>
  </si>
  <si>
    <t>AAA0043WKCN</t>
  </si>
  <si>
    <t>CHAMINADE VOZ DE ALERTA</t>
  </si>
  <si>
    <t>DG 54 D SUR 2 05</t>
  </si>
  <si>
    <t>601 3452065</t>
  </si>
  <si>
    <t>LA PAZ</t>
  </si>
  <si>
    <t>LA FISCALA SECTOR DAZA</t>
  </si>
  <si>
    <t>AAA0028JPOE</t>
  </si>
  <si>
    <t>LA VICTORIA</t>
  </si>
  <si>
    <t>CL 37 BIS B SUR 2 81 ESTE</t>
  </si>
  <si>
    <t>601 3013713660</t>
  </si>
  <si>
    <t>LAS GUACAMAYAS I</t>
  </si>
  <si>
    <t>LAS GUACAMAYAS</t>
  </si>
  <si>
    <t>AAA0203SNDM</t>
  </si>
  <si>
    <t>CANDELARIA LA NUEVA</t>
  </si>
  <si>
    <t>KR 49 C BIS A 68 B 07 SUR</t>
  </si>
  <si>
    <t>601 7921990</t>
  </si>
  <si>
    <t>VERONA</t>
  </si>
  <si>
    <t>CANDELARIA LA NUEVA II SECTOR</t>
  </si>
  <si>
    <t>AAA0017AFYN</t>
  </si>
  <si>
    <t>MARAVILLAS INFANTILES NUEVA COLOMBIA SUR</t>
  </si>
  <si>
    <t>CL 70 K SUR 18 L 49 SUR</t>
  </si>
  <si>
    <t>601 7909600</t>
  </si>
  <si>
    <t>NUEVA COLOMBIA</t>
  </si>
  <si>
    <t>AAA0026FFDM</t>
  </si>
  <si>
    <t>FONTIBON CENTRO</t>
  </si>
  <si>
    <t>CL 16 J 97 27</t>
  </si>
  <si>
    <t>EL CARMEN FONTIBON</t>
  </si>
  <si>
    <t>AAA0079BEJZ</t>
  </si>
  <si>
    <t>LA CASA DE JJ</t>
  </si>
  <si>
    <t>CALLE 62 B SUR 19 B 24</t>
  </si>
  <si>
    <t>LAS ACACIAS</t>
  </si>
  <si>
    <t>ACACIAS SUR</t>
  </si>
  <si>
    <t>AAA0022NOZE</t>
  </si>
  <si>
    <t>CHAMINADE BUENOS AIRES</t>
  </si>
  <si>
    <t>CL 49 C BIS SUR 03 21 ESTE</t>
  </si>
  <si>
    <t>601 2058167</t>
  </si>
  <si>
    <t>ARRAYANES V</t>
  </si>
  <si>
    <t>SAN MARTÍN (VILLA NEIZA)</t>
  </si>
  <si>
    <t>AAA0137MBBR</t>
  </si>
  <si>
    <t>CARACOLI</t>
  </si>
  <si>
    <t>KR 73 D 69 C 13 SUR</t>
  </si>
  <si>
    <t>601 7720705</t>
  </si>
  <si>
    <t>AAA0020JZEA</t>
  </si>
  <si>
    <t>HUELLAS Y TALENTOS</t>
  </si>
  <si>
    <t>KR 10 F ESTE 20 96 SUR</t>
  </si>
  <si>
    <t>601 7647635</t>
  </si>
  <si>
    <t>LAS MERCEDES</t>
  </si>
  <si>
    <t>S.C LAS MERCEDES</t>
  </si>
  <si>
    <t>AAA0000PLNN</t>
  </si>
  <si>
    <t>ATAHUALPA</t>
  </si>
  <si>
    <t>KR 112 A 22 I 16</t>
  </si>
  <si>
    <t>VERSALLES FONTIBON</t>
  </si>
  <si>
    <t>AAA0077OZWW</t>
  </si>
  <si>
    <t>RAICES</t>
  </si>
  <si>
    <t>KR 78 A 65 C 49 SUR</t>
  </si>
  <si>
    <t>601 7821693</t>
  </si>
  <si>
    <t>EL LLANITO</t>
  </si>
  <si>
    <t>AAA0051PXRU</t>
  </si>
  <si>
    <t>EL ENCUENTRO</t>
  </si>
  <si>
    <t>KR 27 Q 74 B 51 SUR</t>
  </si>
  <si>
    <t>UPR RIO TUNJUELO</t>
  </si>
  <si>
    <t>QUIBA BAJO</t>
  </si>
  <si>
    <t>S.C. QUIBA BAJO</t>
  </si>
  <si>
    <t>AAA0156NKYN</t>
  </si>
  <si>
    <t>CASTILLO SAN LUCAS-MARIA CANO</t>
  </si>
  <si>
    <t>KRA 74 I 62-03</t>
  </si>
  <si>
    <t>MARIA CANO</t>
  </si>
  <si>
    <t>AAA0018TRZE</t>
  </si>
  <si>
    <t>CENTRO AMAR CIUDAD BOLIVAR</t>
  </si>
  <si>
    <t>KR 17 D 65 72 SUR</t>
  </si>
  <si>
    <t>601 7650644</t>
  </si>
  <si>
    <t>Horarios de Atención Diurno: 7:00am a 7:00pm
Horarios de Atención Nocturno: 4:00pm a 10:00pm
Horarios de Atención Domingos y Festivos: 8:00am a 5:00pm</t>
  </si>
  <si>
    <t>LUCERO DEL SUR</t>
  </si>
  <si>
    <t>EL LUCERO</t>
  </si>
  <si>
    <t>AAA0160BANN</t>
  </si>
  <si>
    <t>CENTRO AMAR FONTIBON</t>
  </si>
  <si>
    <t>KR 123 A 17 F 56</t>
  </si>
  <si>
    <t>601 4181254</t>
  </si>
  <si>
    <t>SAN PABLO</t>
  </si>
  <si>
    <t>AAA0079ZBUZ</t>
  </si>
  <si>
    <t>DULCE MARIA</t>
  </si>
  <si>
    <t>TV 127 C 139 B 48</t>
  </si>
  <si>
    <t>601 6812981</t>
  </si>
  <si>
    <t>Lunes a Viernes
7:00 AM A 4:00 PM Jornada Continua</t>
  </si>
  <si>
    <t>SABANA DE TIBABUYES</t>
  </si>
  <si>
    <t>AAA0169JTHY</t>
  </si>
  <si>
    <t>VILLA RICA</t>
  </si>
  <si>
    <t>KR 77 K BIS A 50 64 SUR</t>
  </si>
  <si>
    <t>601 4503687</t>
  </si>
  <si>
    <t>TIMIZA</t>
  </si>
  <si>
    <t>CATALINA</t>
  </si>
  <si>
    <t>AAA0050OZCX</t>
  </si>
  <si>
    <t>VISION DE COLOMBIA</t>
  </si>
  <si>
    <t>KR 79 G 13 09</t>
  </si>
  <si>
    <t>601 4117349</t>
  </si>
  <si>
    <t>VISION DE ORIENTE</t>
  </si>
  <si>
    <t>VISIÓN DE COLOMBIA</t>
  </si>
  <si>
    <t>AAA0174ZPDM</t>
  </si>
  <si>
    <t>GOTICAS DE ILUSION</t>
  </si>
  <si>
    <t>KR 11 ESTE 1 A 73</t>
  </si>
  <si>
    <t>601 4552631</t>
  </si>
  <si>
    <t>EL ROCIO</t>
  </si>
  <si>
    <t>EL CONSUELO</t>
  </si>
  <si>
    <t>AAA0033PAWW</t>
  </si>
  <si>
    <t>CASTILLO SAN LUCAS</t>
  </si>
  <si>
    <t>DG 40 A SUR 11 86 ESTE</t>
  </si>
  <si>
    <t>601 3507466033</t>
  </si>
  <si>
    <t>SAN JOSE SUR ORIENTAL</t>
  </si>
  <si>
    <t>S.C. SAN JOSÉ SUR ORIENTAL</t>
  </si>
  <si>
    <t>AAA0003XKEA</t>
  </si>
  <si>
    <t>INDEPENDENCIA</t>
  </si>
  <si>
    <t>KR 88 C Bis 78 31 SUR</t>
  </si>
  <si>
    <t>601 5222997</t>
  </si>
  <si>
    <t>VILLA EMMA</t>
  </si>
  <si>
    <t>S.C. SAN BERNARDINO XVIII</t>
  </si>
  <si>
    <t>AAA0140EOYN</t>
  </si>
  <si>
    <t>UBA RHUA ESPIR SEMILLA</t>
  </si>
  <si>
    <t>CASA DE PENSAMIENTO INTERCULTURAL</t>
  </si>
  <si>
    <t>DG 89 A SUR 87 60</t>
  </si>
  <si>
    <t>601 7798393</t>
  </si>
  <si>
    <t>AAA0140ETYX</t>
  </si>
  <si>
    <t>KICHWA "WAWAKUNAPAK YACHAHUNA WASI"</t>
  </si>
  <si>
    <t>KR 70 C 52 99</t>
  </si>
  <si>
    <t>601 4102767</t>
  </si>
  <si>
    <t>SANTA CECILIA</t>
  </si>
  <si>
    <t>NORMANDIA</t>
  </si>
  <si>
    <t>AAA0060KBTD</t>
  </si>
  <si>
    <t>AEIOTU CIUDAD BOLIVAR</t>
  </si>
  <si>
    <t>KR 18 G 74 A 59 SUR</t>
  </si>
  <si>
    <t>NACIONES UNIDAS</t>
  </si>
  <si>
    <t>ESTRELLA DE MARIA</t>
  </si>
  <si>
    <t>AAA0171WTPP</t>
  </si>
  <si>
    <t>LA IGUALDAD</t>
  </si>
  <si>
    <t>CL 2 68 B 08</t>
  </si>
  <si>
    <t>601 2607344</t>
  </si>
  <si>
    <t>AMERICAS</t>
  </si>
  <si>
    <t>HIPOTECHO SUR</t>
  </si>
  <si>
    <t>AAA0051OCOE</t>
  </si>
  <si>
    <t>ACACIAS</t>
  </si>
  <si>
    <t>SIN PREDIO</t>
  </si>
  <si>
    <t>KR 12 G 32 B 03 SUR</t>
  </si>
  <si>
    <t>601 3614526</t>
  </si>
  <si>
    <t>GRANJAS DE SANTA SOFIA</t>
  </si>
  <si>
    <t>RESURRECCIÓN</t>
  </si>
  <si>
    <t>AAA0010YUUH</t>
  </si>
  <si>
    <t>CAMELIA</t>
  </si>
  <si>
    <t>TV 57 1 60 SUR</t>
  </si>
  <si>
    <t>601 2600187</t>
  </si>
  <si>
    <t>AAA0037ZRRU</t>
  </si>
  <si>
    <t>PIEDRA VERDE CELESTIN FREINET</t>
  </si>
  <si>
    <t>KR 136 A 133 40</t>
  </si>
  <si>
    <t>601 6906600EXT116</t>
  </si>
  <si>
    <t>AAA0159LMMS</t>
  </si>
  <si>
    <t>LOURDES MAKADE TINIKA</t>
  </si>
  <si>
    <t>CL 8 SUR 8 B 26</t>
  </si>
  <si>
    <t>601 3653100</t>
  </si>
  <si>
    <t>SOCIEGO</t>
  </si>
  <si>
    <t>EL SOSIEGO</t>
  </si>
  <si>
    <t>AAA0001WRKL</t>
  </si>
  <si>
    <t>EL VIRREY SEMILLAS AMBIKA PIJAO</t>
  </si>
  <si>
    <t>KR 8 D 81 36 SUR</t>
  </si>
  <si>
    <t>601 7648891</t>
  </si>
  <si>
    <t>GRAN YOMASA I</t>
  </si>
  <si>
    <t>AAA0021PFZE</t>
  </si>
  <si>
    <t>JULIO FLORES</t>
  </si>
  <si>
    <t>KR 68 B 94 A 98</t>
  </si>
  <si>
    <t>601 2714357</t>
  </si>
  <si>
    <t>LA FLORESTA</t>
  </si>
  <si>
    <t>JULIO FLOREZ</t>
  </si>
  <si>
    <t>AAA0059ADXS</t>
  </si>
  <si>
    <t>VILLA CRISTINA</t>
  </si>
  <si>
    <t>KR 95 G 91 A 22</t>
  </si>
  <si>
    <t>601 4355202</t>
  </si>
  <si>
    <t>CIUDAD BACHUE</t>
  </si>
  <si>
    <t>AAA0173UJTO</t>
  </si>
  <si>
    <t>WAWITAKUNAPA WASI</t>
  </si>
  <si>
    <t>KR 1 33 00</t>
  </si>
  <si>
    <t>601 2884991</t>
  </si>
  <si>
    <t>LAS CRUCES</t>
  </si>
  <si>
    <t>AAA0032XOEA</t>
  </si>
  <si>
    <t>MARRUECOS BAMBI</t>
  </si>
  <si>
    <t>TV 5 Q 48 J 24 SUR</t>
  </si>
  <si>
    <t>CALLEJON SANTA BARBARA</t>
  </si>
  <si>
    <t>CALLEJÓN DE SANTA BÁRBARA SUR</t>
  </si>
  <si>
    <t>AAA0010FBTD</t>
  </si>
  <si>
    <t>VERGEL OCCIDENTAL - AMIGOS DE JESUS Y MARIA</t>
  </si>
  <si>
    <t>KR 81 B 15 A 30</t>
  </si>
  <si>
    <t>601 8089963</t>
  </si>
  <si>
    <t>VERGEL OCCIDENTAL</t>
  </si>
  <si>
    <t>ANDALUCÍA II SECTOR</t>
  </si>
  <si>
    <t>AAA0148JUFT</t>
  </si>
  <si>
    <t>LOS PINOS</t>
  </si>
  <si>
    <t>CL 144 139 55</t>
  </si>
  <si>
    <t>601 6884982</t>
  </si>
  <si>
    <t>SAN CARLOS DE SUBA</t>
  </si>
  <si>
    <t>S.C. SAN CARLOS DE SUBA</t>
  </si>
  <si>
    <t>AAA0190NMLF</t>
  </si>
  <si>
    <t>EL CARACOL</t>
  </si>
  <si>
    <t>KR 95 A 34 76 SUR</t>
  </si>
  <si>
    <t>601 4513373</t>
  </si>
  <si>
    <t>CALANDAIMA</t>
  </si>
  <si>
    <t>AAA0248RLRU</t>
  </si>
  <si>
    <t>AURES</t>
  </si>
  <si>
    <t>CL 130 B  96 57</t>
  </si>
  <si>
    <t>601 6829652</t>
  </si>
  <si>
    <t>EL NARANJAL</t>
  </si>
  <si>
    <t>AAA0133XBFZ</t>
  </si>
  <si>
    <t>KR 81 A 84 C 25 SUR</t>
  </si>
  <si>
    <t>601 4487646</t>
  </si>
  <si>
    <t>EL JARDIN</t>
  </si>
  <si>
    <t>S.C. EL JARDÍN</t>
  </si>
  <si>
    <t>AAA0202UWDM</t>
  </si>
  <si>
    <t>VILLA ELISA - FER</t>
  </si>
  <si>
    <t>CL 134 A 91 77</t>
  </si>
  <si>
    <t>601 3004943</t>
  </si>
  <si>
    <t>VILLA ELISA</t>
  </si>
  <si>
    <t>AAA0130DPUZ</t>
  </si>
  <si>
    <t>CONTADOR - EL JARDIN</t>
  </si>
  <si>
    <t>CL 135 16 43</t>
  </si>
  <si>
    <t>601 6149965</t>
  </si>
  <si>
    <t>EL CONTADOR</t>
  </si>
  <si>
    <t>AAA0112EZMR</t>
  </si>
  <si>
    <t>CIUDAD ROMA - SHOW KIDS</t>
  </si>
  <si>
    <t>CL 57 B SUR 79 24</t>
  </si>
  <si>
    <t>ROMA</t>
  </si>
  <si>
    <t>ROMA - BERTHA HERNÁNDEZ DE OSPINA I Y III</t>
  </si>
  <si>
    <t>AAA0048JBEA</t>
  </si>
  <si>
    <t>TUNA ALTA OTERO</t>
  </si>
  <si>
    <t>KR 90 147 C 32</t>
  </si>
  <si>
    <t>601 6810876</t>
  </si>
  <si>
    <t>AAA0131WDLW</t>
  </si>
  <si>
    <t>JORDAN</t>
  </si>
  <si>
    <t>CL 20 C 107 53</t>
  </si>
  <si>
    <t>AAA0079OKOE</t>
  </si>
  <si>
    <t>SHOW KIDS - SANTA BARBARA</t>
  </si>
  <si>
    <t>CL 126 7 B 50</t>
  </si>
  <si>
    <t>SANTA BARBARA ORIENTAL</t>
  </si>
  <si>
    <t>SANTA BÁRBARA ORIENTAL</t>
  </si>
  <si>
    <t>AAA0103BHWF</t>
  </si>
  <si>
    <t>CHIQUITINES DEL BOSQUE</t>
  </si>
  <si>
    <t>KR 5 A BIS A 48 P 84 SUR</t>
  </si>
  <si>
    <t>Lunes a Viernes: 8:00 am a 5:00 pm</t>
  </si>
  <si>
    <t>SAN AGUSTIN</t>
  </si>
  <si>
    <t>EL BOSQUE DE LOS MOLINOS</t>
  </si>
  <si>
    <t>AAA0009PORU</t>
  </si>
  <si>
    <t>SEMBRANDO CAMINO</t>
  </si>
  <si>
    <t>CALLE 62 SUR 86 B 75</t>
  </si>
  <si>
    <t>601 4564914</t>
  </si>
  <si>
    <t>PORVENIR III</t>
  </si>
  <si>
    <t>AAA0148WFRU</t>
  </si>
  <si>
    <t>LAS FLORES</t>
  </si>
  <si>
    <t>KR 108 A 140 48</t>
  </si>
  <si>
    <t>601 3004950</t>
  </si>
  <si>
    <t>PUERTA DEL SOL</t>
  </si>
  <si>
    <t>AAA0129HEMR</t>
  </si>
  <si>
    <t>SUEÑOS DEL MAÑANA COMUNEROS</t>
  </si>
  <si>
    <t>CL 102 A SUR 09 29</t>
  </si>
  <si>
    <t>USMINIA</t>
  </si>
  <si>
    <t>AAA0026DEYN</t>
  </si>
  <si>
    <t>KR 59 B 51 A 39 SUR</t>
  </si>
  <si>
    <t>NUEVO MUZU</t>
  </si>
  <si>
    <t>NUEVO MUZU II SECTOR 2A ETAPA</t>
  </si>
  <si>
    <t>AAA0016NBHK</t>
  </si>
  <si>
    <t>LA CASITA DE LOS BEBES</t>
  </si>
  <si>
    <t>KR 78 J 39 A 03 SUR</t>
  </si>
  <si>
    <t>AAA0043WKKC</t>
  </si>
  <si>
    <t>NUEVOS PASOS</t>
  </si>
  <si>
    <t>CL 5 A 26 A 17</t>
  </si>
  <si>
    <t>601 3754176</t>
  </si>
  <si>
    <t>SANTA ISABEL</t>
  </si>
  <si>
    <t>EL PROGRESO</t>
  </si>
  <si>
    <t>AAA0035OMJH</t>
  </si>
  <si>
    <t>AMIGUITOS DEL VALLE DE CAFAM</t>
  </si>
  <si>
    <t>CL 92 BIS SUR 14 H 09</t>
  </si>
  <si>
    <t>601 7620372</t>
  </si>
  <si>
    <t>LA MARICHUELA</t>
  </si>
  <si>
    <t>MARICHUELA</t>
  </si>
  <si>
    <t>AAA0165DYOM</t>
  </si>
  <si>
    <t>AVESOL</t>
  </si>
  <si>
    <t>CL 36 I SUR 1 49 ESTE</t>
  </si>
  <si>
    <t>ATENAS</t>
  </si>
  <si>
    <t>AAA0002UMDM</t>
  </si>
  <si>
    <t>SABANA GRANDE</t>
  </si>
  <si>
    <t>KR 106 15 A 32</t>
  </si>
  <si>
    <t>601 7449603</t>
  </si>
  <si>
    <t>PREDIO CUNDINAMARCA</t>
  </si>
  <si>
    <t>AAA0186JWAF</t>
  </si>
  <si>
    <t>TERESITA AURES</t>
  </si>
  <si>
    <t>CL 132 D 100 A 65</t>
  </si>
  <si>
    <t>AAA0130THMS</t>
  </si>
  <si>
    <t>RANITA DORADA</t>
  </si>
  <si>
    <t>CL 130 89 09</t>
  </si>
  <si>
    <t>601 6823370</t>
  </si>
  <si>
    <t>LOS NARANJOS</t>
  </si>
  <si>
    <t>PALMA ALDEA</t>
  </si>
  <si>
    <t>AAA0128XKEA</t>
  </si>
  <si>
    <t>ASERRIN ASERRAN</t>
  </si>
  <si>
    <t>CL 9 SUR 35 A 04</t>
  </si>
  <si>
    <t>601 7499066</t>
  </si>
  <si>
    <t>REMANSO</t>
  </si>
  <si>
    <t>SANTA MATILDE II SECTOR</t>
  </si>
  <si>
    <t>AAA0039EESK</t>
  </si>
  <si>
    <t>TALLER DE LAS MARIPOSAS</t>
  </si>
  <si>
    <t>KR 80 C 65 F 29 SUR</t>
  </si>
  <si>
    <t>JIMENEZ DE QUESADA II SECTOR</t>
  </si>
  <si>
    <t>JIMÉNEZ DE QUESADA</t>
  </si>
  <si>
    <t>AAA0046BCRJ</t>
  </si>
  <si>
    <t>SONRISAS DE LA NIÑEZ</t>
  </si>
  <si>
    <t>KR 87 G 57 C 31 SUR</t>
  </si>
  <si>
    <t>601 7842831</t>
  </si>
  <si>
    <t>ESCOCIA</t>
  </si>
  <si>
    <t>VILLA NORA II</t>
  </si>
  <si>
    <t>AAA0053UMAF</t>
  </si>
  <si>
    <t>SAUCES 2 - EL PREGUNTARIO</t>
  </si>
  <si>
    <t>601 7783140</t>
  </si>
  <si>
    <t>AAA0022UUHY</t>
  </si>
  <si>
    <t>SEMILLAS DEL FUTURO</t>
  </si>
  <si>
    <t>CL 5 A 86 A 34</t>
  </si>
  <si>
    <t>TAIRONA</t>
  </si>
  <si>
    <t>TAYRONA</t>
  </si>
  <si>
    <t>AAA0052YXWF</t>
  </si>
  <si>
    <t>CAMPO DE SUEÑOS</t>
  </si>
  <si>
    <t>KR 70 B 2 34</t>
  </si>
  <si>
    <t>HIPOTECHO OCCIDENTAL</t>
  </si>
  <si>
    <t>CENTRO AMERICAS</t>
  </si>
  <si>
    <t>AAA0040XJDM</t>
  </si>
  <si>
    <t>CRECIENDO FELICES</t>
  </si>
  <si>
    <t>CL 50 A SUR 80 A 40</t>
  </si>
  <si>
    <t>601 4501969</t>
  </si>
  <si>
    <t>CASA BLANCA SUR</t>
  </si>
  <si>
    <t>PASTRANITA I SECTOR</t>
  </si>
  <si>
    <t>AAA0053OJYN</t>
  </si>
  <si>
    <t>VOCES DE LAS NIÑAS Y LOS NIÑOS</t>
  </si>
  <si>
    <t>KR 78 M 57 H 12 SUR</t>
  </si>
  <si>
    <t>601 7765086</t>
  </si>
  <si>
    <t>EL RUBI</t>
  </si>
  <si>
    <t>EL RUBÍ DE KENNEDY</t>
  </si>
  <si>
    <t>AAA0048NPKL</t>
  </si>
  <si>
    <t>CREADORES DE SUEÑOS</t>
  </si>
  <si>
    <t>KR 72 L BIS 48 B 51 SUR</t>
  </si>
  <si>
    <t>601 7281260</t>
  </si>
  <si>
    <t>BOITA</t>
  </si>
  <si>
    <t>BOITA I SECTOR</t>
  </si>
  <si>
    <t>AAA0044YLUH</t>
  </si>
  <si>
    <t>LA ESTACION DE LA ALEGRIA</t>
  </si>
  <si>
    <t>CL 63 SUR 77 L 51</t>
  </si>
  <si>
    <t>601 7826479</t>
  </si>
  <si>
    <t>LA ESTACIÓN</t>
  </si>
  <si>
    <t>AAA0051SZRJ</t>
  </si>
  <si>
    <t>ARCOIRIS DE SUEÑOS</t>
  </si>
  <si>
    <t>CL 74 BIS SUR 87 C 76</t>
  </si>
  <si>
    <t>601 4558927</t>
  </si>
  <si>
    <t>EL REMANSO I</t>
  </si>
  <si>
    <t>AAA0151FAHY</t>
  </si>
  <si>
    <t>LA CIUDAD QUE SOÑAMOS</t>
  </si>
  <si>
    <t>KR 55 70 45</t>
  </si>
  <si>
    <t>601 3108875</t>
  </si>
  <si>
    <t>SAN FERNANDO</t>
  </si>
  <si>
    <t>AAA0056NPMR</t>
  </si>
  <si>
    <t>LUNA DEL SABER</t>
  </si>
  <si>
    <t>KR 2 B 48 Y 22 SUR</t>
  </si>
  <si>
    <t>AAA0010OPRU</t>
  </si>
  <si>
    <t>SIMONCITO</t>
  </si>
  <si>
    <t>KR 65 A 62 C 16 SUR</t>
  </si>
  <si>
    <t>601 7241442</t>
  </si>
  <si>
    <t>Lunes a Viernes: 7:00 am a 5:00 pm</t>
  </si>
  <si>
    <t>ISLA DEL SOL</t>
  </si>
  <si>
    <t>AAA0016RUSK</t>
  </si>
  <si>
    <t>CASA DE LAS HADAS</t>
  </si>
  <si>
    <t xml:space="preserve">CALLE 98  8 35 ESTE </t>
  </si>
  <si>
    <t>601 3279797Ext.3052</t>
  </si>
  <si>
    <t>AAA0144NBZE</t>
  </si>
  <si>
    <t>LA SALAMANDRA</t>
  </si>
  <si>
    <t>CL 75 A BIS SUR 27 28</t>
  </si>
  <si>
    <t>601 7921406</t>
  </si>
  <si>
    <t>LA TORRE</t>
  </si>
  <si>
    <t>BELLA FLOR</t>
  </si>
  <si>
    <t>AAA0147CPLF</t>
  </si>
  <si>
    <t>JOSE MARTI</t>
  </si>
  <si>
    <t>CL 27 A SUR 2 75</t>
  </si>
  <si>
    <t>601 31027518023214900000</t>
  </si>
  <si>
    <t>CORDOBA</t>
  </si>
  <si>
    <t>CÓRDOBA</t>
  </si>
  <si>
    <t>AAA0002NDTO</t>
  </si>
  <si>
    <t>TEUSAQUILLO LUGAR DE RECREO</t>
  </si>
  <si>
    <t>CL 45 C 24 42</t>
  </si>
  <si>
    <t>TEUSAQUILLO</t>
  </si>
  <si>
    <t>GALERIAS</t>
  </si>
  <si>
    <t>PALERMO</t>
  </si>
  <si>
    <t>AAA0084NBYX</t>
  </si>
  <si>
    <t>GRAN YOMASA ARTE...SANOS DE SONRISAS</t>
  </si>
  <si>
    <t>CL 75 SUR 10 67 (NUEVA)</t>
  </si>
  <si>
    <t>601 7352332</t>
  </si>
  <si>
    <t>ACUNAR COPITO DE NIEVE</t>
  </si>
  <si>
    <t>KR 13 G ESTE 90 D 02 SUR</t>
  </si>
  <si>
    <t>AAA0006PTXR</t>
  </si>
  <si>
    <t>SHURS UREK KUSREIK YA</t>
  </si>
  <si>
    <t>DG 15 D 98 40</t>
  </si>
  <si>
    <t>URB. PARQUE EMPRESARIAL SANTA HELENA</t>
  </si>
  <si>
    <t>AAA0186HSJH</t>
  </si>
  <si>
    <t>ARABIA</t>
  </si>
  <si>
    <t>DG 82 SUR 18 I 35</t>
  </si>
  <si>
    <t>601 7911971</t>
  </si>
  <si>
    <t>AAA0029ESXS</t>
  </si>
  <si>
    <t>LA CABAÑA FONTIBON</t>
  </si>
  <si>
    <t>CL 23 G 104 A BIS  44</t>
  </si>
  <si>
    <t>601 4211645</t>
  </si>
  <si>
    <t>VILLA BEATRIZ</t>
  </si>
  <si>
    <t>AAA0077TMTD</t>
  </si>
  <si>
    <t>VILLA ANDREA ACUNAR</t>
  </si>
  <si>
    <t>CL 17 C 134 70 MZ I CASA 22</t>
  </si>
  <si>
    <t>PUENTE GRANDE</t>
  </si>
  <si>
    <t>VILLA ANDREA</t>
  </si>
  <si>
    <t>AAA0165OUYX</t>
  </si>
  <si>
    <t>ACUNAR NIDO DE AMOR</t>
  </si>
  <si>
    <t>KR 2 C BIS 58 03 SUR</t>
  </si>
  <si>
    <t>DANUBIO AZUL</t>
  </si>
  <si>
    <t>AAA0171TPBS</t>
  </si>
  <si>
    <t>BRISAS DE ALEGRIA</t>
  </si>
  <si>
    <t>CL 41 SUR 94 12</t>
  </si>
  <si>
    <t>601 6758093</t>
  </si>
  <si>
    <t>CIUDAD DE CALI</t>
  </si>
  <si>
    <t>AAA0138NCHK</t>
  </si>
  <si>
    <t>JUEGOS Y AVENTURAS</t>
  </si>
  <si>
    <t>KR 98 A 42 13 SUR</t>
  </si>
  <si>
    <t>601 5713401</t>
  </si>
  <si>
    <t>AAA0148NZKC</t>
  </si>
  <si>
    <t>EL CASTORCITO</t>
  </si>
  <si>
    <t>CL 134 A 150 B 03</t>
  </si>
  <si>
    <t>601 2785192</t>
  </si>
  <si>
    <t>LISBOA</t>
  </si>
  <si>
    <t>SAN PEDRO DE TIBABUYES</t>
  </si>
  <si>
    <t>AAA0141OMJH</t>
  </si>
  <si>
    <t>SHINYAC (CAMENTSÁ - SHINYAC)</t>
  </si>
  <si>
    <t>KR 13 A 1 B 56</t>
  </si>
  <si>
    <t>601 2331769</t>
  </si>
  <si>
    <t>SAN BERNARDO</t>
  </si>
  <si>
    <t>AAA0032RYWF</t>
  </si>
  <si>
    <t>ACUNAR EL UVAL FRANCESCO TONUCCI</t>
  </si>
  <si>
    <t>KR 6 F ESTE 106 55 SUR</t>
  </si>
  <si>
    <t>AAA0146WWDE</t>
  </si>
  <si>
    <t>CASITA DE ILUSIONES</t>
  </si>
  <si>
    <t> CALLE 41 SUR. 94-04</t>
  </si>
  <si>
    <t>601 7115567</t>
  </si>
  <si>
    <t>AAA0188JSKL</t>
  </si>
  <si>
    <t>FORJADORES DE PAZ</t>
  </si>
  <si>
    <t>KR 91 BIS 26 03 SUR</t>
  </si>
  <si>
    <t>AAA0139KDYX</t>
  </si>
  <si>
    <t>LOS MARTIRES PAYACUA</t>
  </si>
  <si>
    <t>KR 25 A 11 09</t>
  </si>
  <si>
    <t>601 3754663</t>
  </si>
  <si>
    <t>AAA0034AYEP</t>
  </si>
  <si>
    <t>DULCES SONRISAS</t>
  </si>
  <si>
    <t>CL 1 A SUR 71 D 30</t>
  </si>
  <si>
    <t>LAS AMERCIAS SECTOR GALÁN</t>
  </si>
  <si>
    <t>AAA0040WESK</t>
  </si>
  <si>
    <t>AMIGUITOS POR SIEMPRE</t>
  </si>
  <si>
    <t>KR 91 42 A 31 SUR</t>
  </si>
  <si>
    <t>601 7642611</t>
  </si>
  <si>
    <t>AAA0138EJBS</t>
  </si>
  <si>
    <t>SUEÑOS Y SONRISAS</t>
  </si>
  <si>
    <t>CL 27 A SUR 11 A 23</t>
  </si>
  <si>
    <t>601 2996310</t>
  </si>
  <si>
    <t>SOSIEGO SUR</t>
  </si>
  <si>
    <t>AVENIDA DÉCIMA</t>
  </si>
  <si>
    <t>AAA0007OZPP</t>
  </si>
  <si>
    <t>KHPL´ SXZXUUNWE´ SX  (LOS NIETOS DEL TRUENO)</t>
  </si>
  <si>
    <t>KR 80 F 42 46 SUR</t>
  </si>
  <si>
    <t>601 7442197</t>
  </si>
  <si>
    <t>CORABASTOS</t>
  </si>
  <si>
    <t>CHUCUA DE LA VACA II</t>
  </si>
  <si>
    <t>EL OLIVO</t>
  </si>
  <si>
    <t>S00462001900101</t>
  </si>
  <si>
    <t>LA ESPIGUITA DORADA ACUNAR</t>
  </si>
  <si>
    <t>KR 13 F 51 24 SUR</t>
  </si>
  <si>
    <t>601 7144956</t>
  </si>
  <si>
    <t>AAA0021YAPA</t>
  </si>
  <si>
    <t>LA LUCERNA</t>
  </si>
  <si>
    <t>CL 38 D SUR 72 Q 91</t>
  </si>
  <si>
    <t>PROVIVIENDA OCCIDENTAL</t>
  </si>
  <si>
    <t>LUCERNA</t>
  </si>
  <si>
    <t>AAA0042NCUH</t>
  </si>
  <si>
    <t>ALEGRIA DEL QUERER</t>
  </si>
  <si>
    <t>MANZANA LOTE 16 VEREDA QUIBA BAJO</t>
  </si>
  <si>
    <t>SINCHIP0000</t>
  </si>
  <si>
    <t>ESTRELLA DEL MAÑANA</t>
  </si>
  <si>
    <t>KR 19 78 D 05 SUR</t>
  </si>
  <si>
    <t>601 4552337</t>
  </si>
  <si>
    <t>CORDILLERA DEL SUR</t>
  </si>
  <si>
    <t>TIERRA LINDA</t>
  </si>
  <si>
    <t>AAA0028FKAW</t>
  </si>
  <si>
    <t>ALQUERIA LA FRAGUA</t>
  </si>
  <si>
    <t>KR 68 A 36 25 SUR</t>
  </si>
  <si>
    <t>601 2700329</t>
  </si>
  <si>
    <t>ALQUERIA LA FRAGUA NORTE</t>
  </si>
  <si>
    <t>ALQUERÍA DE LA FRAGUA</t>
  </si>
  <si>
    <t>AAA0049WSAW</t>
  </si>
  <si>
    <t>RISITAS INFANTILES PATIO BONITO</t>
  </si>
  <si>
    <t>KR 86 D 39 A 05 SUR</t>
  </si>
  <si>
    <t>AAA0052HPWW</t>
  </si>
  <si>
    <t>AC 191 8 38</t>
  </si>
  <si>
    <t>601 6781097</t>
  </si>
  <si>
    <t>URB. EL PALMAR</t>
  </si>
  <si>
    <t>AAA0115MKUH</t>
  </si>
  <si>
    <t>KR 5 A 164 A 03</t>
  </si>
  <si>
    <t>601 7310020</t>
  </si>
  <si>
    <t>SAN CRISTOBAL NORTE</t>
  </si>
  <si>
    <t>BOSQUE DE PINOS</t>
  </si>
  <si>
    <t>SANTA CECILIA PARTE BAJA</t>
  </si>
  <si>
    <t>AAA0108JZLF</t>
  </si>
  <si>
    <t>CL 95 SUR 3 A 10 (antigua)
CL 95 SUR 14 C 46</t>
  </si>
  <si>
    <t>AAA0025UHJH</t>
  </si>
  <si>
    <t>PEBLES Y BAM BAM</t>
  </si>
  <si>
    <t>CL 76 B SUR 8 C 12</t>
  </si>
  <si>
    <t>ALMIRANTE PADILLA</t>
  </si>
  <si>
    <t>AAA0023XASK</t>
  </si>
  <si>
    <t>NELSON MANDELA</t>
  </si>
  <si>
    <t>KR 14 102 02 SUR</t>
  </si>
  <si>
    <t>BRAZUELOS</t>
  </si>
  <si>
    <t>AAA0162SPDM</t>
  </si>
  <si>
    <t>ROSITA ENCANTADA  ACUNAR</t>
  </si>
  <si>
    <t>KR 19 56 A 73 SUR</t>
  </si>
  <si>
    <t>601 2059303</t>
  </si>
  <si>
    <t>SAN CARLOS</t>
  </si>
  <si>
    <t>AAA0020SAOE</t>
  </si>
  <si>
    <t>LA CASITA ALEX Y NIEVES</t>
  </si>
  <si>
    <t>CL 58 SUR 16 19 ESTE</t>
  </si>
  <si>
    <t>601 3652276</t>
  </si>
  <si>
    <t>SAN RAFAEL USME</t>
  </si>
  <si>
    <t>SAN RAFAEL SUR ORIENTAL</t>
  </si>
  <si>
    <t>AAA0004YDBS</t>
  </si>
  <si>
    <t>LA AURORA</t>
  </si>
  <si>
    <t>KR 14 L 69 D 35 SUR</t>
  </si>
  <si>
    <t>AAA0143JHWF</t>
  </si>
  <si>
    <t>USME CENTRO</t>
  </si>
  <si>
    <t>CL 137 B SUR 13 64</t>
  </si>
  <si>
    <t>601 6221673</t>
  </si>
  <si>
    <t>CENTRO USME</t>
  </si>
  <si>
    <t>S.C. CENTRO USME</t>
  </si>
  <si>
    <t>AAA0157BSEA</t>
  </si>
  <si>
    <t>MIS PRIMEROS TRAZOS</t>
  </si>
  <si>
    <t>SIN CONTRATO DE ARRENDAMIENTO</t>
  </si>
  <si>
    <t>KR 87 D 39 10 SUR</t>
  </si>
  <si>
    <t>AAA0052DSZM</t>
  </si>
  <si>
    <t>ACUNAR EL PRINCIPITO</t>
  </si>
  <si>
    <t>KR 100 23 22</t>
  </si>
  <si>
    <t>SAN JOSE DE FONTIBON</t>
  </si>
  <si>
    <t>VERACRUZ II SECTOR</t>
  </si>
  <si>
    <t>N00640307490001</t>
  </si>
  <si>
    <t>ACUNAR-ATRAPAESTRELLAS</t>
  </si>
  <si>
    <t>JARDIN INFANTIL NOCTURNO</t>
  </si>
  <si>
    <t>CL 38 A SUR 86 F 15</t>
  </si>
  <si>
    <t xml:space="preserve">Lunes a Viernes: 05:30 pm a 6:00 am </t>
  </si>
  <si>
    <t>AAA0052HPSY</t>
  </si>
  <si>
    <t>BAUL DE COLORES</t>
  </si>
  <si>
    <t>CL 13 A SUR 10 49</t>
  </si>
  <si>
    <t>601 2722235</t>
  </si>
  <si>
    <t>CIUDAD JARDIN</t>
  </si>
  <si>
    <t>CIUDAD JARDIN SUR</t>
  </si>
  <si>
    <t>CIUDAD JARDÍN DEL SUR</t>
  </si>
  <si>
    <t>AAA0001SXRU</t>
  </si>
  <si>
    <t>ACUNAR-RAYITO DE LUNA</t>
  </si>
  <si>
    <t>601 2407359</t>
  </si>
  <si>
    <t>Lunes a viernes: 5:00 pm a 7:00 am</t>
  </si>
  <si>
    <t>ACUNAR-LUCIERNAGA FELIZ</t>
  </si>
  <si>
    <t>Lunes a viernes: 4:00 pm a 10:00 pm</t>
  </si>
  <si>
    <t>MODULAR GABITO</t>
  </si>
  <si>
    <t>601 3202075931</t>
  </si>
  <si>
    <t>121816-JINF-SDIS-YANACONA MUYU KAUSAY</t>
  </si>
  <si>
    <t>TV 17 B 77 A 74 SUR</t>
  </si>
  <si>
    <t>601 7906849</t>
  </si>
  <si>
    <t xml:space="preserve">EL JARDIN INFANTIL PALOMITAS DE PAZ COD 121816 CAMBIA DE NOMBRE Y MODALIDAD </t>
  </si>
  <si>
    <t>EL REFLEJO</t>
  </si>
  <si>
    <t>AAA0024UOWF</t>
  </si>
  <si>
    <t>ACUNAR-UN MUNDO PARA SOÑAR</t>
  </si>
  <si>
    <t>Lunes a viernes: 4:00 pm a 07:00 am</t>
  </si>
  <si>
    <t>EL REPARADOR DE SUEÑOS</t>
  </si>
  <si>
    <t>601 7615198</t>
  </si>
  <si>
    <t>ACUNAR-LAS HADAS DE LOS SUEÑOS</t>
  </si>
  <si>
    <t xml:space="preserve">Lunes a viernes: 4:00 p.m A 10:00 p.m </t>
  </si>
  <si>
    <t>SDIS-LUNA LUNERA</t>
  </si>
  <si>
    <t>KR 74 G 59 A 87 SUR</t>
  </si>
  <si>
    <t>SDIS-HAMACA DE SUEÑOS</t>
  </si>
  <si>
    <t>CASTILLO SAN LUCAS EMMA Y ANTONIO</t>
  </si>
  <si>
    <t>CL 62 H SUR74 H 22</t>
  </si>
  <si>
    <t>601 7927275</t>
  </si>
  <si>
    <t>RINCON DE GALICIA</t>
  </si>
  <si>
    <t>RINCÓN DE GALICIA</t>
  </si>
  <si>
    <t>AAA0147MHTD</t>
  </si>
  <si>
    <t>LOS ANGELES DE DAVID - ACUNAR</t>
  </si>
  <si>
    <t>CL 6 B SUR 0 14</t>
  </si>
  <si>
    <t>CALVO SUR</t>
  </si>
  <si>
    <t>S.C. CALVO SUR</t>
  </si>
  <si>
    <t>AAA0002DLEA</t>
  </si>
  <si>
    <t>DORADITO LAGUNERO</t>
  </si>
  <si>
    <t>601 6623637</t>
  </si>
  <si>
    <t>OJO DE PERDIZ</t>
  </si>
  <si>
    <t>CL 92 70 15 sur</t>
  </si>
  <si>
    <t>601 7843052</t>
  </si>
  <si>
    <t>CIUDADELA EL RECREO II</t>
  </si>
  <si>
    <t>S.C. SAN BERNARDINO XVI</t>
  </si>
  <si>
    <t>AAA0162JYDM</t>
  </si>
  <si>
    <t>LA FELICIDAD</t>
  </si>
  <si>
    <t>ya se cuenta con concepto técnico de infraestructura, hace falta el concepto Gestión Predial y el avalúo</t>
  </si>
  <si>
    <t>CL 49 A SUR 5 B 25</t>
  </si>
  <si>
    <t>SAN AGUSTÍN</t>
  </si>
  <si>
    <t>AAA0009LMZM</t>
  </si>
  <si>
    <t>TORITO FELIZ</t>
  </si>
  <si>
    <t>KR 91 B 51 47 SUR</t>
  </si>
  <si>
    <t>601 7852089</t>
  </si>
  <si>
    <t>EL PORVENIR PARCELA 23</t>
  </si>
  <si>
    <t>AAA0251KSEA</t>
  </si>
  <si>
    <t>CDI PARA NIÑOS Y NIÑAS "ESPERANZA"</t>
  </si>
  <si>
    <t xml:space="preserve">DG 7 BIS 14 35
</t>
  </si>
  <si>
    <t>601 3427893</t>
  </si>
  <si>
    <t>LA ESTANZUELA</t>
  </si>
  <si>
    <t>AAA0034MOLF</t>
  </si>
  <si>
    <t>NOCHES DE CARTAGENA</t>
  </si>
  <si>
    <t>DG 70 SUR 56 04</t>
  </si>
  <si>
    <t>601 2643919</t>
  </si>
  <si>
    <t>AAA0020HBXR</t>
  </si>
  <si>
    <t>HORIZONTE</t>
  </si>
  <si>
    <t>KR 3 A 183 A 15</t>
  </si>
  <si>
    <t>601 7170680</t>
  </si>
  <si>
    <t>HORIZONTES NORTE</t>
  </si>
  <si>
    <t>HORIZONTES</t>
  </si>
  <si>
    <t>AAA0117EBDM</t>
  </si>
  <si>
    <t>ORQUIDEAS</t>
  </si>
  <si>
    <t>AC 161 16 B 43</t>
  </si>
  <si>
    <t>601 6793191</t>
  </si>
  <si>
    <t>VILLA MAGDALA</t>
  </si>
  <si>
    <t>AAA0114YJMR</t>
  </si>
  <si>
    <t>BABILONIA</t>
  </si>
  <si>
    <t>CL 164 B 14 C 49</t>
  </si>
  <si>
    <t>601 6728878</t>
  </si>
  <si>
    <t>LA PRADERA NORTE</t>
  </si>
  <si>
    <t>AAA0108AKYN</t>
  </si>
  <si>
    <t>CASA LOMA</t>
  </si>
  <si>
    <t>TV 8 B ESTE 88 I 41 SUR</t>
  </si>
  <si>
    <t>SAN FELIPE DE USME</t>
  </si>
  <si>
    <t>CASALOMA</t>
  </si>
  <si>
    <t>AAA0145ZZBR</t>
  </si>
  <si>
    <t>TENERIFE</t>
  </si>
  <si>
    <t>CL 91 A SUR 14 90</t>
  </si>
  <si>
    <t>601 7613359</t>
  </si>
  <si>
    <t>AAA0165FHZM</t>
  </si>
  <si>
    <t>LORENZO ALCANTUZ</t>
  </si>
  <si>
    <t>DG 102 SUR 4 21 ESTE</t>
  </si>
  <si>
    <t>601 7623116</t>
  </si>
  <si>
    <t>LORENZO ALCANTUZ I SECTOR</t>
  </si>
  <si>
    <t>AAA0171WCWW</t>
  </si>
  <si>
    <t>COMUNEROS ASVECOM</t>
  </si>
  <si>
    <t>KR 1 C 96 56 SUR</t>
  </si>
  <si>
    <t>AAA0026SKMS</t>
  </si>
  <si>
    <t>KR 9 84 A 82 SUR</t>
  </si>
  <si>
    <t>CHUNIZA I</t>
  </si>
  <si>
    <t>AAA0025XDHK</t>
  </si>
  <si>
    <t>CONSTRUYENDO SUEÑOS</t>
  </si>
  <si>
    <t>CL 39 SUR 89 C 37</t>
  </si>
  <si>
    <t>601 4557447</t>
  </si>
  <si>
    <t>EL PARAÍSO</t>
  </si>
  <si>
    <t>AAA0140FLKC</t>
  </si>
  <si>
    <t>PORTAL DE LOS SUEÑOS</t>
  </si>
  <si>
    <t>DG 51A SUR 5 B 25</t>
  </si>
  <si>
    <t>LA PICOTA ORIENTAL</t>
  </si>
  <si>
    <t>AAA0022DOTD</t>
  </si>
  <si>
    <t>GOTICAS DE ROCIO</t>
  </si>
  <si>
    <t>CL 3 5 B 54 ESTE</t>
  </si>
  <si>
    <t>601 6758141</t>
  </si>
  <si>
    <t>ROCÍO PARTE BAJA</t>
  </si>
  <si>
    <t>AAA0033LWTD</t>
  </si>
  <si>
    <t>ATA</t>
  </si>
  <si>
    <t>KR 4  3  34</t>
  </si>
  <si>
    <t>601 2895255</t>
  </si>
  <si>
    <t>LOURDES 2</t>
  </si>
  <si>
    <t>AAA0033ZXZM</t>
  </si>
  <si>
    <t>SUEÑOS DE CUNA</t>
  </si>
  <si>
    <t>LOS URAPANES</t>
  </si>
  <si>
    <t>KR 18 A 80 82 SUR</t>
  </si>
  <si>
    <t>601 7910074</t>
  </si>
  <si>
    <t>QUIBA</t>
  </si>
  <si>
    <t>AAA0194OTZE</t>
  </si>
  <si>
    <t>KR 12 H ESTE 89 32 SUR</t>
  </si>
  <si>
    <t>601 7642805</t>
  </si>
  <si>
    <t>VILLA DIANA</t>
  </si>
  <si>
    <t>AAA0006OBBS</t>
  </si>
  <si>
    <t>DIEGO PARAMO ROCHA</t>
  </si>
  <si>
    <t>AC 24 81 66</t>
  </si>
  <si>
    <t>MODELIA</t>
  </si>
  <si>
    <t>AAA0074WUTD</t>
  </si>
  <si>
    <t>SOL NACIENTE</t>
  </si>
  <si>
    <t>CL 164 B 8 F 31</t>
  </si>
  <si>
    <t>601 7623675</t>
  </si>
  <si>
    <t>DANUBIO OCCIDENTAL</t>
  </si>
  <si>
    <t>AAA0108PDWW</t>
  </si>
  <si>
    <t>LA LIBERTAD</t>
  </si>
  <si>
    <t>KR 87 M 59 01 SUR</t>
  </si>
  <si>
    <t>601 7845712</t>
  </si>
  <si>
    <t>LA LIBERTAD SECTOR MAGNOLIA</t>
  </si>
  <si>
    <t>AAA0173AJBR</t>
  </si>
  <si>
    <t>SDIS-CURRUCUTU</t>
  </si>
  <si>
    <t>KR 90 B 56 G 20 SUR</t>
  </si>
  <si>
    <t>601 7302803</t>
  </si>
  <si>
    <t>LA CABAÑA Y LA SUERTE</t>
  </si>
  <si>
    <t>AAA0140BWFT</t>
  </si>
  <si>
    <t>LA PIRAGUA</t>
  </si>
  <si>
    <t>KR 89 A 56 18 SUR
CL 57 A SUR 92 A 30</t>
  </si>
  <si>
    <t>601 7236100</t>
  </si>
  <si>
    <t>S.C. LA CABAÑA</t>
  </si>
  <si>
    <t>AAA0176ZZPP</t>
  </si>
  <si>
    <t>TIBANICA</t>
  </si>
  <si>
    <t xml:space="preserve">KR 89 A 56 18 SUR
</t>
  </si>
  <si>
    <t>601 7842819</t>
  </si>
  <si>
    <t>CASA NUEVA</t>
  </si>
  <si>
    <t>AAA0139ZWKL</t>
  </si>
  <si>
    <t>MUNDO NUEVO</t>
  </si>
  <si>
    <t>CL 2 SUR 12 90 COMPLEJO SAN JUAN DE DIOS</t>
  </si>
  <si>
    <t>601 7033068</t>
  </si>
  <si>
    <t>LA HORTUA</t>
  </si>
  <si>
    <t>S.C. LA HORTUA</t>
  </si>
  <si>
    <t>AAA0235HCOM</t>
  </si>
  <si>
    <t>MIRADOR MAGICO</t>
  </si>
  <si>
    <t>DG 48 K BIS SUR 5 X 67</t>
  </si>
  <si>
    <t>601 2053637</t>
  </si>
  <si>
    <t>MOLINOS DEL SUR</t>
  </si>
  <si>
    <t>EL MIRADOR</t>
  </si>
  <si>
    <t>AAA0009DADM</t>
  </si>
  <si>
    <t>AMAS DE CASA JACKELINE</t>
  </si>
  <si>
    <t>KR 77 Q 45 A 11 SUR</t>
  </si>
  <si>
    <t>601 4508837</t>
  </si>
  <si>
    <t>JACQUELINE</t>
  </si>
  <si>
    <t>AAA0045BMTO</t>
  </si>
  <si>
    <t>BRITALIA</t>
  </si>
  <si>
    <t>CL 56 SUR 81 26</t>
  </si>
  <si>
    <t>601 2932425</t>
  </si>
  <si>
    <t>AAA0052PXHK</t>
  </si>
  <si>
    <t>CLASS</t>
  </si>
  <si>
    <t>CL 57 B No. 80 H - 15 SUR</t>
  </si>
  <si>
    <t>601 7753877</t>
  </si>
  <si>
    <t>AAA0048MABR</t>
  </si>
  <si>
    <t>LA UNIDAD</t>
  </si>
  <si>
    <t>CL 57 D SUR 77 I 85</t>
  </si>
  <si>
    <t>601 7797321</t>
  </si>
  <si>
    <t>LA CECILIA</t>
  </si>
  <si>
    <t>AAA0047WEZE</t>
  </si>
  <si>
    <t>PERPETUO SOCORRO / MI PEQUEÑO MUNDO</t>
  </si>
  <si>
    <t>CL 50  78 18 SUR</t>
  </si>
  <si>
    <t>601 4524706</t>
  </si>
  <si>
    <t>PERPETUO SOCORRO</t>
  </si>
  <si>
    <t>AAA0044ZEUH</t>
  </si>
  <si>
    <t>KR 86 B 42 F 03 SUR</t>
  </si>
  <si>
    <t>601 7652606</t>
  </si>
  <si>
    <t>AAA0139SYHK</t>
  </si>
  <si>
    <t>NUESTRA SEÑORA DE GUADALUPE EL PARAISO</t>
  </si>
  <si>
    <t>COMUNEROS NORTE</t>
  </si>
  <si>
    <t>CL 140 A 111 B 30</t>
  </si>
  <si>
    <t>LOS COMUNEROS PUERTA DEL SOL</t>
  </si>
  <si>
    <t>AAA0129FPPP</t>
  </si>
  <si>
    <t>EL RUBY</t>
  </si>
  <si>
    <t>CL 128 A BIS A 92 72</t>
  </si>
  <si>
    <t>601 6817707</t>
  </si>
  <si>
    <t>AAA0129DXKL</t>
  </si>
  <si>
    <t>CL 131 C 100 44</t>
  </si>
  <si>
    <t>601 68280965391114</t>
  </si>
  <si>
    <t>CHUCUA III SECTOR</t>
  </si>
  <si>
    <t>AAA0129RMUH</t>
  </si>
  <si>
    <t>NUEVOS TIMANQUITOS</t>
  </si>
  <si>
    <t>KR 125 B 132 B 51</t>
  </si>
  <si>
    <t>601 6907424</t>
  </si>
  <si>
    <t>LA GAITANA</t>
  </si>
  <si>
    <t>AAA0141TSXS</t>
  </si>
  <si>
    <t>KR 93 F 127 B 48</t>
  </si>
  <si>
    <t>RINCON DE SUBA</t>
  </si>
  <si>
    <t>AAA0128SLLW</t>
  </si>
  <si>
    <t>TIMANQUITOS</t>
  </si>
  <si>
    <t>CL 133 BIS 126 37</t>
  </si>
  <si>
    <t>AAA0132JTPP</t>
  </si>
  <si>
    <t>ANTONIA SANTOS</t>
  </si>
  <si>
    <t>CL 67 SUR 81 B 10</t>
  </si>
  <si>
    <t>601 7760975</t>
  </si>
  <si>
    <t>PASO ANCHO</t>
  </si>
  <si>
    <t>S.C. PASO ANCHO</t>
  </si>
  <si>
    <t>AAA0047CWFZ</t>
  </si>
  <si>
    <t>BOSANOVA</t>
  </si>
  <si>
    <t>CL 58 SUR 98 C 63</t>
  </si>
  <si>
    <t>SANTA FE BOSA</t>
  </si>
  <si>
    <t>SANTA BÁRBARA</t>
  </si>
  <si>
    <t>AAA0139YBRU</t>
  </si>
  <si>
    <t>HIJOS DE PALESTINA</t>
  </si>
  <si>
    <t>KR 81 D 68 33 SUR</t>
  </si>
  <si>
    <t>LA PALESTINA I</t>
  </si>
  <si>
    <t>AAA0047BXNX</t>
  </si>
  <si>
    <t>HUMBERTO VALENCIA</t>
  </si>
  <si>
    <t>KR 82 71 A 35 SUR</t>
  </si>
  <si>
    <t>601 7797571</t>
  </si>
  <si>
    <t>HUMBERTO VALENCIA II SECTOR</t>
  </si>
  <si>
    <t>AAA0047CNHY</t>
  </si>
  <si>
    <t>ISRAELITA</t>
  </si>
  <si>
    <t>KR 78 C 73 B 15 SUR</t>
  </si>
  <si>
    <t>JOSE MARIA CARBONEL</t>
  </si>
  <si>
    <t>EL LLANO SECTOR FANDINO</t>
  </si>
  <si>
    <t>AAA0051HPWF</t>
  </si>
  <si>
    <t>LA ABEJA MAYA</t>
  </si>
  <si>
    <t>CL 57 N BIS SUR 75 B 26</t>
  </si>
  <si>
    <t>601 7775675</t>
  </si>
  <si>
    <t>APOGEO</t>
  </si>
  <si>
    <t>CEMENTERIO JARDINES APOGEO</t>
  </si>
  <si>
    <t>EL MOTORISTA</t>
  </si>
  <si>
    <t>AAA0047DBNX</t>
  </si>
  <si>
    <t>LA ESCUELITA</t>
  </si>
  <si>
    <t>CL 59 D SUR 85 28</t>
  </si>
  <si>
    <t>BOSA NOVA</t>
  </si>
  <si>
    <t>BOSALINDA HIDELBRANDO OLARTE</t>
  </si>
  <si>
    <t>AAA0046UWJH</t>
  </si>
  <si>
    <t>LOS BULLICIOSOS</t>
  </si>
  <si>
    <t>KR 87 I 65 19 SUR</t>
  </si>
  <si>
    <t>601 7233534</t>
  </si>
  <si>
    <t>CHICO SUR</t>
  </si>
  <si>
    <t>AAA0150YLBS</t>
  </si>
  <si>
    <t>NUEVO CHILE</t>
  </si>
  <si>
    <t>CL 56 SUR 73 24</t>
  </si>
  <si>
    <t>601 7795130</t>
  </si>
  <si>
    <t>AAA0172ZOZE</t>
  </si>
  <si>
    <t>OLARTE</t>
  </si>
  <si>
    <t>KR 71 D 54 15 SUR</t>
  </si>
  <si>
    <t>601 7827258</t>
  </si>
  <si>
    <t>AAA0049DXJZ</t>
  </si>
  <si>
    <t>PEQUEÑOS GIGANTES</t>
  </si>
  <si>
    <t>KR 89 52 B 61 SUR</t>
  </si>
  <si>
    <t>601 7851880</t>
  </si>
  <si>
    <t>BRASIL</t>
  </si>
  <si>
    <t>EL PORVENIR_SECTOR BRASIL</t>
  </si>
  <si>
    <t>AAA0139EHWF</t>
  </si>
  <si>
    <t>VILLA CLEMENCIA</t>
  </si>
  <si>
    <t>KR 86 A 57 C 47 SUR</t>
  </si>
  <si>
    <t>601 7832458</t>
  </si>
  <si>
    <t>AAA0045KTJH</t>
  </si>
  <si>
    <t>CASTILLO DE SUEÑOS</t>
  </si>
  <si>
    <t>CL 50 C SUR 11 B 22</t>
  </si>
  <si>
    <t>EL PLAYON</t>
  </si>
  <si>
    <t>PLAYÓN LA PLAYITA</t>
  </si>
  <si>
    <t>AAA0170PERJ</t>
  </si>
  <si>
    <t>EL REFUGIO</t>
  </si>
  <si>
    <t xml:space="preserve"> CL 48 P BIS C SUR 5 10</t>
  </si>
  <si>
    <t>LOS MOLINOS II SECTOR</t>
  </si>
  <si>
    <t>AAA0009PLJZ</t>
  </si>
  <si>
    <t>KR 12 J 33 03 SUR</t>
  </si>
  <si>
    <t>601 7670936</t>
  </si>
  <si>
    <t>EL TRIUNFO SUR</t>
  </si>
  <si>
    <t>AAA0008SHTD</t>
  </si>
  <si>
    <t>LAS LOMAS</t>
  </si>
  <si>
    <t>DG 38 F SUR 11 B 24</t>
  </si>
  <si>
    <t>AAA0008ZKHK</t>
  </si>
  <si>
    <t>LOS PRINCIPITOS</t>
  </si>
  <si>
    <t>CL 49 B BIS SUR 5 U 15</t>
  </si>
  <si>
    <t>AAA0009EFDM</t>
  </si>
  <si>
    <t>MI PEQUEÑA CASITA</t>
  </si>
  <si>
    <t>DG 48 Q 5 Z 20 SUR</t>
  </si>
  <si>
    <t>AAA0009EDRU</t>
  </si>
  <si>
    <t>MI PEQUEÑO HOGAR</t>
  </si>
  <si>
    <t>CL 49 BIS SUR 5 D 59</t>
  </si>
  <si>
    <t>AAA0009LDMR</t>
  </si>
  <si>
    <t>MI TALLER CREATIVO</t>
  </si>
  <si>
    <t>TV 1 B ESTE 49  20 SUR</t>
  </si>
  <si>
    <t>LOS ARRAYANES II</t>
  </si>
  <si>
    <t>LA MARQUEZA</t>
  </si>
  <si>
    <t>AAA0159RMNN</t>
  </si>
  <si>
    <t>GUACAMAYAS (MI PEQUEÑO PARAISO)</t>
  </si>
  <si>
    <t>CL 37 A BIS A SUR 3 A 84</t>
  </si>
  <si>
    <t>601 3102815834</t>
  </si>
  <si>
    <t>LAS GUACAMAYAS III</t>
  </si>
  <si>
    <t>AAA0005RAJH</t>
  </si>
  <si>
    <t>JUAN REY</t>
  </si>
  <si>
    <t>CL 71 SUR 13 B 22 ESTE</t>
  </si>
  <si>
    <t>601 3024217169</t>
  </si>
  <si>
    <t>AAA0005HWZM</t>
  </si>
  <si>
    <t>LA GRAN COLOMBIA POSITO DE SUEÑOS)</t>
  </si>
  <si>
    <t>KR 22 BIS ESTE 9 A 68 SUR</t>
  </si>
  <si>
    <t>601 2336557</t>
  </si>
  <si>
    <t>MOLINOS DE ORIENTE</t>
  </si>
  <si>
    <t>LA GRAN COLOMBIA</t>
  </si>
  <si>
    <t>AAA0000MARU</t>
  </si>
  <si>
    <t>LA PENINSULA</t>
  </si>
  <si>
    <t>CL 47 SUR 1 03</t>
  </si>
  <si>
    <t>601 7645212</t>
  </si>
  <si>
    <t>Lunes a Viernes: 7:00 am a 4:30 pm</t>
  </si>
  <si>
    <t>CANADA O GUIRA</t>
  </si>
  <si>
    <t>LA PENÍNSULA</t>
  </si>
  <si>
    <t>AAA0006EXOM</t>
  </si>
  <si>
    <t>REPUBLICA DE CANADA</t>
  </si>
  <si>
    <t>TV 12 B ESTE 55 98 SUR</t>
  </si>
  <si>
    <t>601 2998345</t>
  </si>
  <si>
    <t>AAA0005WWEP</t>
  </si>
  <si>
    <t>SAN ISIDRO LOS CARIÑOSITOS</t>
  </si>
  <si>
    <t>CL 35 A SUR 6 A 15</t>
  </si>
  <si>
    <t>601 3613803</t>
  </si>
  <si>
    <t>SAN ISIDRO_II</t>
  </si>
  <si>
    <t>AAA0008FPOE</t>
  </si>
  <si>
    <t>SAN MARTIN DE LOBA</t>
  </si>
  <si>
    <t>CL 41 B SUR 1 23 ESTE</t>
  </si>
  <si>
    <t>601 3672191</t>
  </si>
  <si>
    <t>SAN MARTIN SUR</t>
  </si>
  <si>
    <t>SAN MARTÍN DE LOBA</t>
  </si>
  <si>
    <t>AAA0004UJMR</t>
  </si>
  <si>
    <t>SAN MIGUEL</t>
  </si>
  <si>
    <t>CL 40 SUR 5 30 ESTE</t>
  </si>
  <si>
    <t>601 3679801</t>
  </si>
  <si>
    <t>LA GLORIA OCCIDENTAL</t>
  </si>
  <si>
    <t>AAA0003PKDM</t>
  </si>
  <si>
    <t>VILLA DE LA PAZ</t>
  </si>
  <si>
    <t>CL 66 SUR 11 A 27 ESTE</t>
  </si>
  <si>
    <t>LA BELLEZA</t>
  </si>
  <si>
    <t>VALPARAÍSO</t>
  </si>
  <si>
    <t>AAA0006SMLW</t>
  </si>
  <si>
    <t>EL TRIUNFO</t>
  </si>
  <si>
    <t>CL 1 BIS B 1 B 69</t>
  </si>
  <si>
    <t>601 2801188</t>
  </si>
  <si>
    <t>RAMIREZ</t>
  </si>
  <si>
    <t>AAA0033TUKC</t>
  </si>
  <si>
    <t>SANTA ROSA DE LIMA</t>
  </si>
  <si>
    <t xml:space="preserve">
CL 1 D 6 03 ESTE
</t>
  </si>
  <si>
    <t>601 2336737</t>
  </si>
  <si>
    <t>AAA0033PALF</t>
  </si>
  <si>
    <t>CL 67 B SUR 63 15</t>
  </si>
  <si>
    <t>601 3808330ext53203</t>
  </si>
  <si>
    <t>AAA0016UEEP</t>
  </si>
  <si>
    <t>SAN VICENTE FERRER</t>
  </si>
  <si>
    <t>PROPIO ADMINISTRADO - TEMPORAL</t>
  </si>
  <si>
    <t>KR 54 # 47 A 18 SUR</t>
  </si>
  <si>
    <t>AAA0153NNMR</t>
  </si>
  <si>
    <t>ACACIA SUR</t>
  </si>
  <si>
    <t>CRA 19 A # 63 D 05 SUR</t>
  </si>
  <si>
    <t>SAN FRANCISCO LA PALMERA</t>
  </si>
  <si>
    <t>AAA0022NZHY</t>
  </si>
  <si>
    <t>BARLOVENTO</t>
  </si>
  <si>
    <t xml:space="preserve">CL 62 B SUR 71 H 24 </t>
  </si>
  <si>
    <t>URB. BARLOVENTO</t>
  </si>
  <si>
    <t>AAA0017TKKC</t>
  </si>
  <si>
    <t>CARTAGENA DE INDIAS</t>
  </si>
  <si>
    <t>CL 78 SUR 18 B 78</t>
  </si>
  <si>
    <t>CEDRITOS DEL SUR</t>
  </si>
  <si>
    <t>AAA0029AWSY</t>
  </si>
  <si>
    <t>ESTRELLA DEL SUR</t>
  </si>
  <si>
    <t>KR 18 G 72 15 SUR</t>
  </si>
  <si>
    <t>AAA0026KPEP</t>
  </si>
  <si>
    <t>J.J. RONDON NIÑO JESUS</t>
  </si>
  <si>
    <t>KR 22 68 C 05 SUR</t>
  </si>
  <si>
    <t>601 7152081</t>
  </si>
  <si>
    <t>AAA0025EKZE</t>
  </si>
  <si>
    <t>JJ RONDON ALTO DE LA CRUZ</t>
  </si>
  <si>
    <t>TV 22 N 68 K 22 SUR</t>
  </si>
  <si>
    <t>601 7316515</t>
  </si>
  <si>
    <t>JUAN JOSE RONDON</t>
  </si>
  <si>
    <t>AAA0027XZXS</t>
  </si>
  <si>
    <t>LA CASONA</t>
  </si>
  <si>
    <t>KR 20 C 68 B 31 SUR</t>
  </si>
  <si>
    <t>601 3087203</t>
  </si>
  <si>
    <t>AAA0164BBMR</t>
  </si>
  <si>
    <t>LA ESTANCIA MIS PRIMERAS LETRAS</t>
  </si>
  <si>
    <t>KR 75 H 59 A 18 SUR</t>
  </si>
  <si>
    <t>601 4559104</t>
  </si>
  <si>
    <t>AAA0017ZNYX</t>
  </si>
  <si>
    <t>LOS NIÑOS TRAVIESOS</t>
  </si>
  <si>
    <t>CL 63 B SUR 18 N 11</t>
  </si>
  <si>
    <t>GIBRALTAR SUR</t>
  </si>
  <si>
    <t>DOMINGO LAIN I</t>
  </si>
  <si>
    <t>AAA0027SPFT</t>
  </si>
  <si>
    <t>MANUELA BELTRAN MIS PEQUEÑAS TRAVESURAS</t>
  </si>
  <si>
    <t>KR 46 C 69 D 20 SUR</t>
  </si>
  <si>
    <t>JERUSALEN</t>
  </si>
  <si>
    <t>MANUELA_BELTRÁN</t>
  </si>
  <si>
    <t>AAA0019PDAF</t>
  </si>
  <si>
    <t>MANITAS</t>
  </si>
  <si>
    <t>CL 70 B SUR 18 J 33</t>
  </si>
  <si>
    <t>601 7902992</t>
  </si>
  <si>
    <t>JUAN PABLO II</t>
  </si>
  <si>
    <t>LAS MANITAS</t>
  </si>
  <si>
    <t>AAA0027JMAF</t>
  </si>
  <si>
    <t>MI REFUGIO</t>
  </si>
  <si>
    <t>KR 74 G 60 A 10 SUR</t>
  </si>
  <si>
    <t>LA PRIMAVERA I</t>
  </si>
  <si>
    <t>AAA0020NPMS</t>
  </si>
  <si>
    <t>MINUTO DE MARIA</t>
  </si>
  <si>
    <t>KR 18 A BIS B 80 A 21  SUR</t>
  </si>
  <si>
    <t>EL MINUTO DE MARIA</t>
  </si>
  <si>
    <t>AAA0219OHJZ</t>
  </si>
  <si>
    <t>NUESTRA ESPERANZA COMPARTIR</t>
  </si>
  <si>
    <t>KR 18 U 65 40 SUR</t>
  </si>
  <si>
    <t>AAA0165UKBR</t>
  </si>
  <si>
    <t>SANTA ROSITA LAS VEGAS</t>
  </si>
  <si>
    <t>TV 49 C 75 A 60 SUR</t>
  </si>
  <si>
    <t>AAA0018XJHK</t>
  </si>
  <si>
    <t>ALASKA</t>
  </si>
  <si>
    <t>DG 100 B SUR 5 A 05</t>
  </si>
  <si>
    <t>601 7191382</t>
  </si>
  <si>
    <t>SERRANIAS I</t>
  </si>
  <si>
    <t>EL RUBÍ</t>
  </si>
  <si>
    <t>AAA0029BHKC</t>
  </si>
  <si>
    <t>CL 64 SUR 2 14 ESTE</t>
  </si>
  <si>
    <t>LA FISCALA NORTE</t>
  </si>
  <si>
    <t>AAA0145TZPP</t>
  </si>
  <si>
    <t>KR 5 83 03 SUR</t>
  </si>
  <si>
    <t>AAA0021NKZM</t>
  </si>
  <si>
    <t>CL 77 A SUR 14 C 32</t>
  </si>
  <si>
    <t>601 7624850</t>
  </si>
  <si>
    <t>AAA0024TBPP</t>
  </si>
  <si>
    <t>NEVADO</t>
  </si>
  <si>
    <t>CL 68 C SUR 6 A 50</t>
  </si>
  <si>
    <t>EL NEVADO</t>
  </si>
  <si>
    <t>S.C. EL NEVADO</t>
  </si>
  <si>
    <t>AAA0143FSFZ</t>
  </si>
  <si>
    <t>NUEVA ESPERANZA OLIVARES</t>
  </si>
  <si>
    <t>CL 75 C SUR 2 36</t>
  </si>
  <si>
    <t>601 7686117</t>
  </si>
  <si>
    <t>OLIVARES</t>
  </si>
  <si>
    <t>AAA0024FMSY</t>
  </si>
  <si>
    <t>PUERTA AL LLANO</t>
  </si>
  <si>
    <t>CL 107 SUR 7 D 14 ESTE</t>
  </si>
  <si>
    <t>AAA0146XZZE</t>
  </si>
  <si>
    <t>CL 68 C SUR 9 A 50</t>
  </si>
  <si>
    <t>601 7642119</t>
  </si>
  <si>
    <t>SANTA MARTHA</t>
  </si>
  <si>
    <t>AAA0023YWMR</t>
  </si>
  <si>
    <t>SERRANIAS</t>
  </si>
  <si>
    <t>DG 96 SUR 2 A 67 ESTE</t>
  </si>
  <si>
    <t>SERRANÍAS</t>
  </si>
  <si>
    <t>AAA0026PUCN</t>
  </si>
  <si>
    <t>122174-JARDIN INFANTIL SDIS AFROBOGOTANO KENNEDY</t>
  </si>
  <si>
    <t>KR 74 42 G 52 SUR</t>
  </si>
  <si>
    <t>601 4522162</t>
  </si>
  <si>
    <t>TIMIZA A</t>
  </si>
  <si>
    <t>LAGOS DE TIMIZA I</t>
  </si>
  <si>
    <t>AAA0045HAEA</t>
  </si>
  <si>
    <t>ACUNAR METRO</t>
  </si>
  <si>
    <t>KR 88 C 43 47 SUR</t>
  </si>
  <si>
    <t>601 3182801255</t>
  </si>
  <si>
    <t>LAS MARGARITAS OCCIDENTAL</t>
  </si>
  <si>
    <t>AAA0203SHNN</t>
  </si>
  <si>
    <t>LA PAJARA PINTA ACUNAR</t>
  </si>
  <si>
    <t>KR 117 A 69 C 91</t>
  </si>
  <si>
    <t>601 3808330Ext:54800</t>
  </si>
  <si>
    <t>LA FAENA</t>
  </si>
  <si>
    <t>S.C. LA FAENA</t>
  </si>
  <si>
    <t>AAA0189YUNN</t>
  </si>
  <si>
    <t>MATERILE LIRE LO</t>
  </si>
  <si>
    <t>CL 50 SUR 80 H 18</t>
  </si>
  <si>
    <t>AAA0052OLPP</t>
  </si>
  <si>
    <t>ALISO DEL MOCHUELO</t>
  </si>
  <si>
    <t>KILOMETRO 26 MOCHUELO ALTO SECTOR ISLA</t>
  </si>
  <si>
    <t>601 7315686</t>
  </si>
  <si>
    <t>MOCHUELO ALTO URBANO</t>
  </si>
  <si>
    <t>S.C. MOCHUELO ALTO</t>
  </si>
  <si>
    <t>AAA0143XJCX</t>
  </si>
  <si>
    <t>KR 79 F 41 56 SUR</t>
  </si>
  <si>
    <t>601 2647562</t>
  </si>
  <si>
    <t>AAA0043CEHK</t>
  </si>
  <si>
    <t>LOS SAUCES</t>
  </si>
  <si>
    <t>CL 69 121 29</t>
  </si>
  <si>
    <t>601 4411911</t>
  </si>
  <si>
    <t>CENTRO ENGATIVA II</t>
  </si>
  <si>
    <t>AAA0142WMTD</t>
  </si>
  <si>
    <t>SAMPER MENDOZA</t>
  </si>
  <si>
    <t>KR 22 22 A 62</t>
  </si>
  <si>
    <t>601 2680746</t>
  </si>
  <si>
    <t>AAA0072RLLF</t>
  </si>
  <si>
    <t>LA ALEGRIA DE LA HOJA</t>
  </si>
  <si>
    <t>KR 31 4 55</t>
  </si>
  <si>
    <t>601 8362857</t>
  </si>
  <si>
    <t>ZONA INDUSTRIAL</t>
  </si>
  <si>
    <t>ESTACION CENTRAL</t>
  </si>
  <si>
    <t>ESTACIÓN CENTRAL</t>
  </si>
  <si>
    <t>AAA0246KSDM</t>
  </si>
  <si>
    <t>JAVIER DE NICOLO</t>
  </si>
  <si>
    <t>KR 85 B 61 A 54 SUR</t>
  </si>
  <si>
    <t>601 7833601</t>
  </si>
  <si>
    <t>AAA0046UZSY</t>
  </si>
  <si>
    <t>CL 49 3 40 ESTE</t>
  </si>
  <si>
    <t>601 3381662</t>
  </si>
  <si>
    <t>SIBERIA CENTRAL</t>
  </si>
  <si>
    <t>AAA0092FLNX</t>
  </si>
  <si>
    <t>SAN PABLO DE CALAMO</t>
  </si>
  <si>
    <t>KR 78 A 65 J BIS 05 SUR</t>
  </si>
  <si>
    <t>LA ESTACION BOSA</t>
  </si>
  <si>
    <t>S.C. LA ESTACIÓN BOSA</t>
  </si>
  <si>
    <t>AAA0045UHUZ</t>
  </si>
  <si>
    <t>SEMILLEROS DEL FUTURO MILLAN</t>
  </si>
  <si>
    <t>DG 65 C SUR 19 A 83</t>
  </si>
  <si>
    <t>MILLAN</t>
  </si>
  <si>
    <t>MILLÁN LOS SAUCES</t>
  </si>
  <si>
    <t>AAA0020XNZM</t>
  </si>
  <si>
    <t>ZAGALES</t>
  </si>
  <si>
    <t>CL 2 17 A 07</t>
  </si>
  <si>
    <t>EDUARDO SANTOS</t>
  </si>
  <si>
    <t>AAA0034RTTD</t>
  </si>
  <si>
    <t>EXPLORADORES DE COLORES</t>
  </si>
  <si>
    <t>KR 112 23 B 30</t>
  </si>
  <si>
    <t>INTERNACIONAL</t>
  </si>
  <si>
    <t>AAA0077MXJZ</t>
  </si>
  <si>
    <t>TEJARES</t>
  </si>
  <si>
    <t>KR 8 B 75 A 52 SUR</t>
  </si>
  <si>
    <t>SANTA LIBRADA NORTE</t>
  </si>
  <si>
    <t>SANTA LIBRADA LOS TEJARES</t>
  </si>
  <si>
    <t>AAA0171UADE</t>
  </si>
  <si>
    <t>CIUDAD DE DIOS</t>
  </si>
  <si>
    <t>CL 42 A SUR 10 71 ESTE</t>
  </si>
  <si>
    <t>601 7455669</t>
  </si>
  <si>
    <t>LA GLORIA ORIENTAL</t>
  </si>
  <si>
    <t>S.C. LA GLORIA ORIENTAL</t>
  </si>
  <si>
    <t>AAA0242CYMS</t>
  </si>
  <si>
    <t>EL INICIO DEL SABER</t>
  </si>
  <si>
    <t>KR 19 53 A 25 SUR</t>
  </si>
  <si>
    <t>AAA0020TSTD</t>
  </si>
  <si>
    <t>TRAVESURAS DE COLORES</t>
  </si>
  <si>
    <t>KR 13 A 31 F 25 SUR</t>
  </si>
  <si>
    <t>AAA0007ETXR</t>
  </si>
  <si>
    <t>ARCO IRIS</t>
  </si>
  <si>
    <t>CALLE 142 118 74</t>
  </si>
  <si>
    <t>601 3808330Ext.55202</t>
  </si>
  <si>
    <t>URB. PUERTO SOL</t>
  </si>
  <si>
    <t>AAA0161XMZE</t>
  </si>
  <si>
    <t>ALELI</t>
  </si>
  <si>
    <t>CL 162 17 A 75</t>
  </si>
  <si>
    <t>LAS ORQUIDEAS</t>
  </si>
  <si>
    <t>LAS ORQUÍDEAS</t>
  </si>
  <si>
    <t>AAA0113NBUH</t>
  </si>
  <si>
    <t>-RELOJ MÁGICO</t>
  </si>
  <si>
    <t>KR 1 B ESTE 51  31 SUR</t>
  </si>
  <si>
    <t>AAA0025ORBR</t>
  </si>
  <si>
    <t>ANALU VERBENAL QUIBA</t>
  </si>
  <si>
    <t>VERBENAL QUIBA</t>
  </si>
  <si>
    <t>601 2652338</t>
  </si>
  <si>
    <t>Calle 2 17 A 07</t>
  </si>
  <si>
    <t>601 3399438</t>
  </si>
  <si>
    <t>BOSQUE ENCANTADO</t>
  </si>
  <si>
    <t>KR  136C  152F - 44</t>
  </si>
  <si>
    <t>601 6625563</t>
  </si>
  <si>
    <t>SABANA DE TIBABUYES NORTE</t>
  </si>
  <si>
    <t>RINCÓN DE SANTA INÉS COMPARTIR SUBA</t>
  </si>
  <si>
    <t>AAA0135ROXR</t>
  </si>
  <si>
    <t>RUEDA DE COLORES</t>
  </si>
  <si>
    <t>KR 80 N BIS  70  10 SUR</t>
  </si>
  <si>
    <t>601 7755214</t>
  </si>
  <si>
    <t>WOUNAANH CHAAIN JAU DI BAUR DO</t>
  </si>
  <si>
    <t>KR 18 G 72 D 15 SUR</t>
  </si>
  <si>
    <t>601 7166231</t>
  </si>
  <si>
    <t>FUNTALENTUM</t>
  </si>
  <si>
    <t>KR 20 24 88 SUR</t>
  </si>
  <si>
    <t>AAA0012RWXR</t>
  </si>
  <si>
    <t>OSO DE ANTEOJOS</t>
  </si>
  <si>
    <t>NOGAL DE LA ESPERANZA</t>
  </si>
  <si>
    <t>AC 72 52 18</t>
  </si>
  <si>
    <t>601 6609243</t>
  </si>
  <si>
    <t>AAA0056KTOE</t>
  </si>
  <si>
    <t>CENTRO ABRAZAR</t>
  </si>
  <si>
    <t>Horarios de Atención Diurno: 8:00am a 8:00pm
Horarios de Atención Nocturno: 8:00am a 8:00pm
Horarios de Atención Domingos y Festivos: 8:00am a 8:00pm</t>
  </si>
  <si>
    <t>EL RINCÓN DE LAS ARDILLAS</t>
  </si>
  <si>
    <t>CL 53 SUR 13 C 56</t>
  </si>
  <si>
    <t>601 7698033</t>
  </si>
  <si>
    <t>AAA0247TXNX</t>
  </si>
  <si>
    <t>LA FORTALEZA DEL OSO</t>
  </si>
  <si>
    <t xml:space="preserve">CL 71 SUR D 14 - 64 </t>
  </si>
  <si>
    <t>LA FORTALEZA</t>
  </si>
  <si>
    <t>AAA0024AECX</t>
  </si>
  <si>
    <t>AVENTURAS MAGICAS</t>
  </si>
  <si>
    <t>CL 73 SUR 92 21</t>
  </si>
  <si>
    <t>601 0</t>
  </si>
  <si>
    <t>SAN BERNARDINO XIX</t>
  </si>
  <si>
    <t>S.C. SAN BERNARDINO XIX</t>
  </si>
  <si>
    <t>AAA0226SXEP</t>
  </si>
  <si>
    <t>JUEGO DE COLORES</t>
  </si>
  <si>
    <t>KR 99 154 A 35</t>
  </si>
  <si>
    <t>601 6834759</t>
  </si>
  <si>
    <t>LA ESTRELLA</t>
  </si>
  <si>
    <t>KR 18 G 74 A 75 SUR</t>
  </si>
  <si>
    <t>ABSUN (SEMILLA DE VIDA)</t>
  </si>
  <si>
    <t>CL 81 SUR 81 - 75</t>
  </si>
  <si>
    <t>601 3808330EXT:5302</t>
  </si>
  <si>
    <t>LOS LAURELES</t>
  </si>
  <si>
    <t>S.C. LOS LAURELES</t>
  </si>
  <si>
    <t>AAA0250KTCX</t>
  </si>
  <si>
    <t>NOCHES MAGICAS DE SAMPER</t>
  </si>
  <si>
    <t xml:space="preserve">BOSQUES DE SUEÑOS – CAMPO VERDE - </t>
  </si>
  <si>
    <t>TV 95 A 85  90 SUR</t>
  </si>
  <si>
    <t>CAMPO VERDE</t>
  </si>
  <si>
    <t>S.C. SAN BERNARDINO XXII</t>
  </si>
  <si>
    <t>AAA0247TTTD</t>
  </si>
  <si>
    <t>NUEVO ACACIAS</t>
  </si>
  <si>
    <t>CL  36 SUR 13 F 85</t>
  </si>
  <si>
    <t>RÍO DE JANEIRO EL PESEBRE</t>
  </si>
  <si>
    <t>AAA0224HCAW</t>
  </si>
  <si>
    <t>VIENTOS DE AMOR</t>
  </si>
  <si>
    <t>MONTAÑA DE COLORES</t>
  </si>
  <si>
    <t>ESPACIOS RURALES</t>
  </si>
  <si>
    <t xml:space="preserve">Niñas y niños de primera infancia </t>
  </si>
  <si>
    <t>PASQUILLA FINCA LA FLORESTA</t>
  </si>
  <si>
    <t>601 7658785</t>
  </si>
  <si>
    <t>Lunes a Viernes: 7:45 a.m. - a 03:30 pm</t>
  </si>
  <si>
    <t>PASQUILLA URBANA</t>
  </si>
  <si>
    <t>S.C. PASQUILLA</t>
  </si>
  <si>
    <t>AAA0157BZYN</t>
  </si>
  <si>
    <t>SEMILLITAS DEL SABER CAMPESINO</t>
  </si>
  <si>
    <t>CORREGIMIENTO SAN JUAN VEREDA LA UNION SALON COMUNAL LA UNIÓN, KILOMETRO 8 VIA CABRERA</t>
  </si>
  <si>
    <t>Lunes a Jueves 8:00Am a 03:00Pm - Lunes a Viernes: 8:00am a 02:00 pm</t>
  </si>
  <si>
    <t>SUMAPAZ</t>
  </si>
  <si>
    <t>UPR RIO SUMAPAZ</t>
  </si>
  <si>
    <t>LA UNION URBANO</t>
  </si>
  <si>
    <t>PEQUEÑOS EXPLORADORES SUMAPASEÑOS</t>
  </si>
  <si>
    <t>CORREGIMIENTO SAN JUAN CENTRO POBLADO SAN JUAN ESCUELA JUAN DE LA CRUZ VARELA</t>
  </si>
  <si>
    <t>RUANITAS ENTRE NUBES</t>
  </si>
  <si>
    <t xml:space="preserve">VEREDA AURAS </t>
  </si>
  <si>
    <t>JS-RESO-LAS CRUCES</t>
  </si>
  <si>
    <t>JARDIN DIURNO - JARDIN NOCTURNO</t>
  </si>
  <si>
    <t>CR 7  1   57</t>
  </si>
  <si>
    <t>8:00 am - 4:00 pm</t>
  </si>
  <si>
    <t>AAA0032WLWF</t>
  </si>
  <si>
    <t>122386-JINF-JS-RESO-ENTRE NUBES-</t>
  </si>
  <si>
    <t>CL 79 SUR 10 ESTE 50</t>
  </si>
  <si>
    <t>601 3308330</t>
  </si>
  <si>
    <t>BOLONIA I</t>
  </si>
  <si>
    <t>S.C. BOLONIA I</t>
  </si>
  <si>
    <t>AAA0246TDFT</t>
  </si>
  <si>
    <t>122387-JINF-SDIS-RESO-ALTOS DE ZUQUE</t>
  </si>
  <si>
    <t>JARDIN DIURNO - JARDIN NOCTURNO - JID HORARIO ADICIONAL</t>
  </si>
  <si>
    <t>CL 43 A BIS SUR 17 42 ESTE</t>
  </si>
  <si>
    <t>601 3360272</t>
  </si>
  <si>
    <t>7:00 am a 4:00 p.m. - 5:00 pm a 6 am</t>
  </si>
  <si>
    <t>ALTOS DEL ZUQUE</t>
  </si>
  <si>
    <t>LOS ALTOS DEL ZUQUE</t>
  </si>
  <si>
    <t>AAA0006KRCN</t>
  </si>
  <si>
    <t>122388-JINF-SDIS-RESO-PARAISO</t>
  </si>
  <si>
    <t>7:00 am a 4:00 p.m.</t>
  </si>
  <si>
    <t>AAA0147LECN</t>
  </si>
  <si>
    <t>122389-JINF-JS-RESO-SANTA TERESITA</t>
  </si>
  <si>
    <t>KR 15 ESTE 61 A 10 SUR</t>
  </si>
  <si>
    <t>601 3638394</t>
  </si>
  <si>
    <t>7:00 AM - 12:00 PM</t>
  </si>
  <si>
    <t>&lt;Null&gt;</t>
  </si>
  <si>
    <t>CHIGUAZA RURAL</t>
  </si>
  <si>
    <t>LA ARBOLEDA</t>
  </si>
  <si>
    <t>AAA0005FUNN</t>
  </si>
  <si>
    <t>122404-JINF-SDIS-RESO-TEUSAQUILLO LUGAR DE RECREO- </t>
  </si>
  <si>
    <t>JARDIN NOCTURNO -JID HORARIO ADICIONAL -</t>
  </si>
  <si>
    <t>Lunes a viernes: 4:30 p.m A 10:00 p.m y de 4:30 P.M A 6:00 A.M</t>
  </si>
  <si>
    <t>GALERÍAS</t>
  </si>
  <si>
    <t>122405JINF-SDIS-RESO-EL ROSARIO </t>
  </si>
  <si>
    <t>UPZ 103-PARQUE SALITRE</t>
  </si>
  <si>
    <t>122407-JINF-SDIS-RESO-LA ABEJA MAYA </t>
  </si>
  <si>
    <t>L-V 5:00 pm a 10:00 pm; S hasta las 12:00 pm</t>
  </si>
  <si>
    <t>122410-JINF-SDIS-RESO-LA ESCUELITA </t>
  </si>
  <si>
    <t>KR 81 G 73 44 SUR</t>
  </si>
  <si>
    <t>Lunes a viernes: 5:00 pm a 10:00 pm - Sabado: 8:00 a 12:00 pm</t>
  </si>
  <si>
    <t>UPZ 84-BOSA OCCIDENTAL</t>
  </si>
  <si>
    <t>AAA0049JZUH</t>
  </si>
  <si>
    <t>122411-JINF-SDIS-RESO-JAVIER DE NICOLO </t>
  </si>
  <si>
    <t>KR 85B 61A 54 SUR</t>
  </si>
  <si>
    <t>122412-JINF-SDIS-RESO-VILLA CLEMENCIA </t>
  </si>
  <si>
    <t>122415-JINF-SDIS-RESO-ARBORIZADORA BAJA </t>
  </si>
  <si>
    <t xml:space="preserve">Lunes a viernes: 4:00 pm a 9.30 pm </t>
  </si>
  <si>
    <t>UPZ 65-ARBORIZADORA</t>
  </si>
  <si>
    <t>S.C. ARBORIZADORA BAJA</t>
  </si>
  <si>
    <t>122418-JINF-SDIS-RESO-SEMILLEROS DEL FUTURO MILLAN </t>
  </si>
  <si>
    <t>UPZ 66-SAN FRANCISCO</t>
  </si>
  <si>
    <t>122422-JINF-SDIS-RESO-LA CABAÑA FONTIBON </t>
  </si>
  <si>
    <t>CL 23 G 103 B 79</t>
  </si>
  <si>
    <t>5:00 pm a 6:00 am</t>
  </si>
  <si>
    <t>VILLABEATRIZ</t>
  </si>
  <si>
    <t>122423-JINF-SDIS-RESO-LUCERNA </t>
  </si>
  <si>
    <t>601 2644620</t>
  </si>
  <si>
    <t>122424-JINF-SDIS-RESO-KENNEDY SALACUNA </t>
  </si>
  <si>
    <t>CL 40 C SUR 79 10</t>
  </si>
  <si>
    <t>601 4111561</t>
  </si>
  <si>
    <t>N00450853160001</t>
  </si>
  <si>
    <t>122425-JINF-SDIS-RESO-CASITA DE ILUSIONES </t>
  </si>
  <si>
    <t>CL 41 SUR 94 04</t>
  </si>
  <si>
    <t>122427-JINF-SDIS-RESO-SEMILLAS DEL FUTURO </t>
  </si>
  <si>
    <t>122428-JINF-SDIS-RESO-CRECIENDO FELICES </t>
  </si>
  <si>
    <t>122429-JINF-SDIS-RESO-MATERILE LIRE LO </t>
  </si>
  <si>
    <t>NO REGISTRA</t>
  </si>
  <si>
    <t>122431-JINF-SDIS-RESO-PIO XII </t>
  </si>
  <si>
    <t>122432-JINF-SDIS-RESO-TINTALITO </t>
  </si>
  <si>
    <t>122434-JINF-SDIS-RESO-SATELITE PRIMAVERA </t>
  </si>
  <si>
    <t>601 2771672</t>
  </si>
  <si>
    <t>122435-JINF-SDIS-RESO-LUNA DEL SABER </t>
  </si>
  <si>
    <t>RAFAEL URIBE</t>
  </si>
  <si>
    <t>UPZ 55-DIANA TURBAY</t>
  </si>
  <si>
    <t>122436-JINF-SDIS-RESO-OLAYA </t>
  </si>
  <si>
    <t>KR 26 A 41 26 SUR</t>
  </si>
  <si>
    <t>UPZ 39-QUIROGA</t>
  </si>
  <si>
    <t>122444-JINF-SDIS-RESO-LA RANITA DORADA </t>
  </si>
  <si>
    <t>122445-JINF-SDIS-RESO-TIMANQUITOS </t>
  </si>
  <si>
    <t>122446-JINF-SDIS-RESO-CASTORCITO </t>
  </si>
  <si>
    <t>601 6759327</t>
  </si>
  <si>
    <t>122449JINF-SDIS-RESO-SANTA CECILIA </t>
  </si>
  <si>
    <t>BARRANCAS ORIENTAL RURAL</t>
  </si>
  <si>
    <t>122469-JINF-SDIS-RESO-NOGAL DE LA ESPERANZA</t>
  </si>
  <si>
    <t>LUNES A VIERNES 5:30 pm a 9:30 pm - SABADOS 8:00 AM a 12:00 pm</t>
  </si>
  <si>
    <t>122470-JINF-SDIS-RESO-RIONEGRO</t>
  </si>
  <si>
    <t>601 6227392</t>
  </si>
  <si>
    <t>122471-JINF-SDIS-RESO-SANTA SOFIA</t>
  </si>
  <si>
    <t>601 2503567</t>
  </si>
  <si>
    <t>122472-JINF-SDIS-RESO-LA CIUDAD QUE SOÑAMOS</t>
  </si>
  <si>
    <t>122480-JINF-SDIS-RESO-RESTREPO-</t>
  </si>
  <si>
    <t>L-V 4:30pm a 9:30 pm; S 8:00 am- 12:00 pm</t>
  </si>
  <si>
    <t>122481-JINF-SDIS-RESO-SANTANDER-</t>
  </si>
  <si>
    <t>122482-JINF-SDIS-RESO-ALCALA MUZU-</t>
  </si>
  <si>
    <t>L-V 3:30 pm a 9:30 pm; S 8:00 am- 12:00 pm</t>
  </si>
  <si>
    <t>122483-JINF-SDIS-RESO-ANTONIO NARIÑO-</t>
  </si>
  <si>
    <t>122484-JINF-SDIS-RESO-CALIXTO TORRES-</t>
  </si>
  <si>
    <t>122485-JINF-SDIS-RESO-CAMELIA-</t>
  </si>
  <si>
    <t>122496-JINF-SDIS-RESO-LOS CEDROS</t>
  </si>
  <si>
    <t>UPZ 85-BOSA CENTRAL</t>
  </si>
  <si>
    <t>SAN EUGENIO</t>
  </si>
  <si>
    <t>122506-JINF-SDIS-RESO-MARCO A IRIARTE-</t>
  </si>
  <si>
    <t>122521-JINF-SDIS-RESO-EL TRIUNFO-</t>
  </si>
  <si>
    <t>122522-JINF-SDIS-RESO-GOTICAS DE ROCIO-</t>
  </si>
  <si>
    <t>122523-JINF-SDIS-RESO-ATANASIO GIRARDOT-</t>
  </si>
  <si>
    <t>KR 1 A ESTE 1 F 6</t>
  </si>
  <si>
    <t>122524-JINF-SDIS-RESO-LOS LACHES-</t>
  </si>
  <si>
    <t>DG 4 A 6 B 37 ESTE</t>
  </si>
  <si>
    <t>122526-JINF-SDIS-RESO-ATA-</t>
  </si>
  <si>
    <t>122527-JINF-SDIS-RESO-DORADITO LAGUNERO-</t>
  </si>
  <si>
    <t>CL 144 136 A 65</t>
  </si>
  <si>
    <t>L-V 4:00 pm a 9:30 pm; S 8:00 am- 12:00 pm</t>
  </si>
  <si>
    <t>122529-JINF-SDIS-RESO-HELVETIA-</t>
  </si>
  <si>
    <t>CL 129 55 05</t>
  </si>
  <si>
    <t>122530-JINF-SDIS-RESO-AURES-</t>
  </si>
  <si>
    <t>122531-JINF-SDIS-RESO- CASA DE LA HADAS</t>
  </si>
  <si>
    <t>CL 96 A 6 37 ESTE KM 5 VIA LA CALERA</t>
  </si>
  <si>
    <t>122532-JINF-SDIS-RESO-BARLOVENTO</t>
  </si>
  <si>
    <t>CL 62 B SUR 71 H 24</t>
  </si>
  <si>
    <t>UPZ 69-ISMAEL PERDOMO</t>
  </si>
  <si>
    <t>URB._BARLOVENTO</t>
  </si>
  <si>
    <t>122533-JINF-SDIS-RESO-LOS NIÑOS TRAVIESOS</t>
  </si>
  <si>
    <t>ALTOS DE JALISCO</t>
  </si>
  <si>
    <t>122534-JINF-SDIS-RESO-LA CHUCUA-</t>
  </si>
  <si>
    <t>601 6828096</t>
  </si>
  <si>
    <t>122535-JINF-SDIS-RESO-COMUNEROS NORTE-</t>
  </si>
  <si>
    <t>Lunes a viernes: 4:00 pm a 9:30 pm
Sabado 8:00 am a 12:00 pm</t>
  </si>
  <si>
    <t>UPZ 28-EL RINCON</t>
  </si>
  <si>
    <t>122536-JINF-SDIS-RESO-SUBA-</t>
  </si>
  <si>
    <t>122537-JINF-SDIS-RESO-BOSQUE ENCANTADO-</t>
  </si>
  <si>
    <t>KR 136 C 152 F 44</t>
  </si>
  <si>
    <t>122538-JINF-SDIS-RESO-NUEVOS TIMANQUITOS-</t>
  </si>
  <si>
    <t>122539-JINF-SDIS-RESO-JULIO FLOREZ-</t>
  </si>
  <si>
    <t>122540-JINF-SDIS-RESO-SAN CAYETANO-</t>
  </si>
  <si>
    <t>122541-JINF-SDIS-RESO-JUEGO DE COLORES-</t>
  </si>
  <si>
    <t>122543-JINF-SDIS-RESO-NUESTRA ESPERANZA COMPA</t>
  </si>
  <si>
    <t>LAS DELICIAS DEL SUR</t>
  </si>
  <si>
    <t>122551-JINF-SDIS-RESO-VERBENAL-</t>
  </si>
  <si>
    <t>4:30pm a 9:30 pm</t>
  </si>
  <si>
    <t>122552-JINF-SDIS-RESO-ALELI-</t>
  </si>
  <si>
    <t>601 6799781</t>
  </si>
  <si>
    <t>122553-JINF-SDIS-RESO-BUENAVISTA-</t>
  </si>
  <si>
    <t>CL 190 4 A 15</t>
  </si>
  <si>
    <t>122554-JINF-SDIS-RESO-TIBABITA-</t>
  </si>
  <si>
    <t>122555-JINF-SDIS-RESO-ORQUIDEAS-</t>
  </si>
  <si>
    <t>122556-JINF-SDIS-RESO-HORIZONTE-</t>
  </si>
  <si>
    <t>122557-JINF-SDIS-RESO-BABILONIA-</t>
  </si>
  <si>
    <t>CL 164 B 14 C 51</t>
  </si>
  <si>
    <t>122560-JINF-SDIS-RESO-SANTA MARTA-</t>
  </si>
  <si>
    <t>Lunes a viernes: 5:00 pm a 6:00 am</t>
  </si>
  <si>
    <t>UPZ 57-GRAN YOMASA</t>
  </si>
  <si>
    <t>122575-JINF-SDIS-RESO-JJ RONDON NIÑO JESUS</t>
  </si>
  <si>
    <t>122581-JINF-SDIS-RESO-ENGATIVA</t>
  </si>
  <si>
    <t>122582-JINF-SDIS-RESO-VILLA AMALIA</t>
  </si>
  <si>
    <t>CL 71 C 110 B 21</t>
  </si>
  <si>
    <t>122583-JINF-SDIS-RESO-PLAZUELAS DEL VIRREY</t>
  </si>
  <si>
    <t>601 4334831</t>
  </si>
  <si>
    <t>122584-JINF-SDIS-RESO-LA PAJARA PINTA</t>
  </si>
  <si>
    <t>601 3118752</t>
  </si>
  <si>
    <t>122585-JINF-SDIS-RESO-BELLAVISTA-</t>
  </si>
  <si>
    <t>122586-JINF-SDIS-RESO-SATELITE LAS FERIAS</t>
  </si>
  <si>
    <t>122587-JINF-SDIS-RESO-SAN MARCOS</t>
  </si>
  <si>
    <t>122588-JINF-SDIS-RESO-VILLA CRISTINA</t>
  </si>
  <si>
    <t>122589-JINF-SDIS-RESO-RAFAEL POMBO</t>
  </si>
  <si>
    <t>KR 97 A 19 11</t>
  </si>
  <si>
    <t>601 3114736</t>
  </si>
  <si>
    <t>122590-JINF-SDIS-RESO-OSO DE ANTEOJOS</t>
  </si>
  <si>
    <t>601 2674073</t>
  </si>
  <si>
    <t>122591-JINF-SDIS-RESO-SABANA GRANDE</t>
  </si>
  <si>
    <t>122593-JINF-SDIS-RESO-CIUDAD DE BOGOTA</t>
  </si>
  <si>
    <t>122594-JINF-SDIS-RESO-LA IGUALDAD</t>
  </si>
  <si>
    <t>122595-JINF-SDIS-RESO-ARGELIA</t>
  </si>
  <si>
    <t>122596-JINF-SDIS-RESO-PERPETUO SOCORRO</t>
  </si>
  <si>
    <t>CL 50 SUR 75 A 18</t>
  </si>
  <si>
    <t>601 3158221</t>
  </si>
  <si>
    <t>122597-JINF-SDIS-RESO-BRITALIA</t>
  </si>
  <si>
    <t>CL 55 SUR 80 J 17</t>
  </si>
  <si>
    <t>601 3102037</t>
  </si>
  <si>
    <t>AAA0162DONN</t>
  </si>
  <si>
    <t>122598-JINF-SDIS-RESO-CLASS</t>
  </si>
  <si>
    <t>CL 57 B SUR 80 H 15</t>
  </si>
  <si>
    <t>601 3053095</t>
  </si>
  <si>
    <t>122599-JINF-SDIS-RESO-LA UNIDAD-</t>
  </si>
  <si>
    <t>122600-JINF-SDIS-RESO-DELICIAS</t>
  </si>
  <si>
    <t>CL 44 SUR 72 B 81</t>
  </si>
  <si>
    <t>122601-JINF-SDIS-RESO-ALQUERIA DE LA FRAGUA</t>
  </si>
  <si>
    <t>122602-JINF-SDIS-RESO-CREADORES DE SUEÑOS</t>
  </si>
  <si>
    <t>122603-JINF-SDIS-RESO-VILLA RICA</t>
  </si>
  <si>
    <t>122604-JINF-SDIS-RESO-AMAS DE CASA JACKELINE</t>
  </si>
  <si>
    <t>122605-JINF-SDIS-RESO-LAS VOCES DE LOS NIÑOS</t>
  </si>
  <si>
    <t>122606-JINF-SDIS-RESO-JAIRO ANIBAL NIÑO</t>
  </si>
  <si>
    <t>KR 79 B 41 B 34 SUR</t>
  </si>
  <si>
    <t>601 2995144</t>
  </si>
  <si>
    <t>122607-JINF-SDIS-RESO-VISION DE COLOMBIA</t>
  </si>
  <si>
    <t>122608-JINF-SDIS-RESO-RISITAS INFAN-PATIO BONITO</t>
  </si>
  <si>
    <t>122609-JINF-SDIS-RESO-PATIO BONITO SATELITE</t>
  </si>
  <si>
    <t>KR 87 5 B 21</t>
  </si>
  <si>
    <t>601 4513580</t>
  </si>
  <si>
    <t>122610-JINF-SDIS-RESO-METRO</t>
  </si>
  <si>
    <t>KR 88 C 43 37 SUR</t>
  </si>
  <si>
    <t>122611-JINF-SDIS-RESO-AMIGUITOS POR SIEMPRE</t>
  </si>
  <si>
    <t>122612-JINF-SDIS-RESO-EL CARACOL</t>
  </si>
  <si>
    <t>122614-JINF-SDIS-RESO-NUEVOS PASOS-</t>
  </si>
  <si>
    <t>122615-JINF-SDIS-RESO-ESPERANZA</t>
  </si>
  <si>
    <t>DG 7 BIS 14 35</t>
  </si>
  <si>
    <t>122616-JINF-SDIS-RESO-MUNDO NUEVO</t>
  </si>
  <si>
    <t>122617-JINF-SDIS-RESO-TRINIDAD GALAN</t>
  </si>
  <si>
    <t>122618-JINF-SDIS-RESO-ASERRIN ASERRAN</t>
  </si>
  <si>
    <t>601 2025640</t>
  </si>
  <si>
    <t>122619-JINF-SDIS-RESO-PEQUEÑOS GIGANTES-</t>
  </si>
  <si>
    <t>122620-JINF-SDIS-RESO-LA VICTORIA-</t>
  </si>
  <si>
    <t>601 3637407</t>
  </si>
  <si>
    <t>122621-JINF-SDIS-RESO-REPUBLICA DE CANADA-</t>
  </si>
  <si>
    <t>601 3651493</t>
  </si>
  <si>
    <t>122623-JINF-SDIS-RESO-JORGE BEJARANO-</t>
  </si>
  <si>
    <t>601 2333746</t>
  </si>
  <si>
    <t>122624-JINF-SDIS-RESO-EL RINCON DE LAS ARDILLAS</t>
  </si>
  <si>
    <t>122625-JINF-SDIS-RESO-SAN MIGUEL-</t>
  </si>
  <si>
    <t>Lunes a viernes: 5:00 pm a 10:00 pm
Sabado: 8:00 a 12:00 pm</t>
  </si>
  <si>
    <t>UPZ 50-LA GLORIA</t>
  </si>
  <si>
    <t>AAA0003MYNX</t>
  </si>
  <si>
    <t>122626-JINF-SDIS-RESO-BETANIA-</t>
  </si>
  <si>
    <t xml:space="preserve">7613373 - </t>
  </si>
  <si>
    <t>122628-JINF-SDIS-RESO-LA GIRALDA-</t>
  </si>
  <si>
    <t>122629-JINF-SDIS-RESO-MARIA GORETTI</t>
  </si>
  <si>
    <t>CL 67 D 58 14</t>
  </si>
  <si>
    <t>122632-JINF-SDIS-RESO-SALACUNA PRIMAVERA Y GORGONZOLA-</t>
  </si>
  <si>
    <t>122638-JINF-SDIS-RESO-CHUNIZA </t>
  </si>
  <si>
    <t>UPZ 58-COMUNEROS</t>
  </si>
  <si>
    <t>122639-JINF-SDIS-RESO-JUAN XXIII-</t>
  </si>
  <si>
    <t>CL 65 B 1 19</t>
  </si>
  <si>
    <t>Lunes a viernes 3:30 pm a 09:30 pm</t>
  </si>
  <si>
    <t>UPZ 90-PARDO RUBIO</t>
  </si>
  <si>
    <t>122640-JINF-SDIS-RESO-LOS SAUCES</t>
  </si>
  <si>
    <t xml:space="preserve">Lunes a Viernes: 07:30 am a 04:00 pm </t>
  </si>
  <si>
    <t>UPZ 74-ENGATIVA</t>
  </si>
  <si>
    <t>122642-JINF-SDIS-RESO-PREGUNTARIO</t>
  </si>
  <si>
    <t>122645-JINF-JS-ENTRE NUBES-</t>
  </si>
  <si>
    <t>UPZ 60- PARQUE ENTRENUBES</t>
  </si>
  <si>
    <t>122646-JINF-LAS CRUCES</t>
  </si>
  <si>
    <t>KR 7  1   57</t>
  </si>
  <si>
    <t>3808331 Ext 80120-80121</t>
  </si>
  <si>
    <t>SANTAFE</t>
  </si>
  <si>
    <t>UPZ 95-LAS CRUCES</t>
  </si>
  <si>
    <t>122647-JINF-JS-SANTA TERESITA</t>
  </si>
  <si>
    <t>51-LOS LIBERTADORES</t>
  </si>
  <si>
    <t>ARBOLEDA DE SANTA TERESITA</t>
  </si>
  <si>
    <t>122649-JINF-SDIS-NOCT-EL ROSARIO</t>
  </si>
  <si>
    <t xml:space="preserve">Lunes a viernes: 4:00 p.m A 9:30 p.m </t>
  </si>
  <si>
    <t>122650-JINF-SDIS-ALTOS DE ZUQUE</t>
  </si>
  <si>
    <t>CL 43 A BIS A SUR 17 44 ESTE</t>
  </si>
  <si>
    <t>50-LA GLORIA</t>
  </si>
  <si>
    <t>122651-JINF-SDIS-NOCT-BETANIA</t>
  </si>
  <si>
    <t>CL 76 B SUR 5 64 ESTE</t>
  </si>
  <si>
    <t>7613373 -</t>
  </si>
  <si>
    <t>122652-JINF-SDIS-NOCT-CHUNIZA</t>
  </si>
  <si>
    <t>122653-JINF-SDIS-NOCT-SANTA MARTA</t>
  </si>
  <si>
    <t>122654-JINF-SDIS-NOCT-SANTA CECILIA</t>
  </si>
  <si>
    <t>UPZ 11-SAN CRISTOBAL NORTE</t>
  </si>
  <si>
    <t>122655-JINF-SDIS-NOCT-EL RINCON DE LAS ARDILLAS</t>
  </si>
  <si>
    <t>UPZ 62-TUNJUELITO</t>
  </si>
  <si>
    <t>122656-JINF-SDIS-NOCT-CASTORCITO</t>
  </si>
  <si>
    <t>Lunes a viernes: 5:00 pm a 10:00 pm</t>
  </si>
  <si>
    <t>UPZ 71-TIBABUYES</t>
  </si>
  <si>
    <t>122657-JINF-SDIS-NOCT-TIMANQUITOS</t>
  </si>
  <si>
    <t>FUSION CON NOCTURNO NUEVOS TIMANQUITOS</t>
  </si>
  <si>
    <t>122658-JINF-SDIS-NOCT-LA RANITA DORADA</t>
  </si>
  <si>
    <t>JAPÓN</t>
  </si>
  <si>
    <t>122659-JINF-SDIS-NOCT-SAN MIGUEL</t>
  </si>
  <si>
    <t>CL 40 SUR 5 30</t>
  </si>
  <si>
    <t>122660-JINF-SDIS-NOCT-REPUBLICA DE CANADA</t>
  </si>
  <si>
    <t>UPZ 51-LOS LIBERTADORES</t>
  </si>
  <si>
    <t>122661-JINF-SDIS-NOCT-LA VICTORIA</t>
  </si>
  <si>
    <t>122662-JINF-SDIS-NOCT-OLAYA</t>
  </si>
  <si>
    <t>KR 26 A 41 46 SUR</t>
  </si>
  <si>
    <t>122663-JINF-SDIS-NOCT-LUNA DEL SABER</t>
  </si>
  <si>
    <t>122664-JINF-SDIS-NOCT-MARCO A IRIARTE</t>
  </si>
  <si>
    <t>122665-JINF-SDIS-NOCT-SALACUNA PRIMAVERA Y GORGONZ</t>
  </si>
  <si>
    <t>40-CIUDAD MONTES</t>
  </si>
  <si>
    <t>122666-JINF-SDIS-NOCT-SATELITE PRIMAVERA</t>
  </si>
  <si>
    <t>UPZ 40-CIUDAD MONTES</t>
  </si>
  <si>
    <t>122667-JINF-SDIS-NOCT-TINTALITO</t>
  </si>
  <si>
    <t>Lunes a viernes 4:00 pm a 10:00 pm</t>
  </si>
  <si>
    <t>UPZ 82-PATIO BONITO</t>
  </si>
  <si>
    <t>122668-JINF-SDIS-NOCT-PIO XII</t>
  </si>
  <si>
    <t>UPZ 46-CASTILLA</t>
  </si>
  <si>
    <t>122669-JINF-SDIS-NOCT-MATERILE LIRE LO</t>
  </si>
  <si>
    <t>UPZ 81-GRAN BRITALIA</t>
  </si>
  <si>
    <t>122670-JINF-SDIS-NOCT-CRECIENDO FELICES</t>
  </si>
  <si>
    <t>PASTRANITA</t>
  </si>
  <si>
    <t>122671-JINF-SDIS-NOCT-TEUSAQUILLO LUGAR DE RECREO</t>
  </si>
  <si>
    <t>100-GALERÍAS</t>
  </si>
  <si>
    <t>122672-JINF-SDIS-NOCT-LOS CEDROS</t>
  </si>
  <si>
    <t xml:space="preserve">Lunes a viernes: 5:00 pm a 10:00 pm
</t>
  </si>
  <si>
    <t>122673-JINF-SDIS-NOCT-LA ABEJA MAYA</t>
  </si>
  <si>
    <t>UPZ 49-APOGEO</t>
  </si>
  <si>
    <t>122674-JINF-SDIS-NOCT-LA ESCUELITA</t>
  </si>
  <si>
    <t>122675-JINF-SDIS-NOCT-JAVIER DE NICOLO</t>
  </si>
  <si>
    <t>BOSALINDA</t>
  </si>
  <si>
    <t>122676-JINF-SDIS-NOCT-VILLA CLEMENCIA</t>
  </si>
  <si>
    <t>122677-JINF-SDIS-NOCT-PEQUEÑOS GIGANTES</t>
  </si>
  <si>
    <t>Brasil I Sector</t>
  </si>
  <si>
    <t>122678-JINF-SDIS-NOCT-BARLOVENTO</t>
  </si>
  <si>
    <t>CL 62 B 71 H 24 SUR</t>
  </si>
  <si>
    <t>122679-JINF-SDIS-NOCT-LOS NIÑOS TRAVIESOS</t>
  </si>
  <si>
    <t>122680-JINF-SDIS-NOCT-NUESTRA ESPERANZA COMPA</t>
  </si>
  <si>
    <t>KR 18 T 65 A 27 SUR INT 2</t>
  </si>
  <si>
    <t>122681-JINF-SDIS-NOCT-JJ RONDON NIÑO JESUS</t>
  </si>
  <si>
    <t>122682-JINF-SDIS-NOCT-ARBORIZADORA BAJA</t>
  </si>
  <si>
    <t>122683-JINF-SDIS-NOCT-SEMILLEROS DEL FUTURO MILLAN</t>
  </si>
  <si>
    <t>122684-JINF-SDIS-NOCT-PREGUNTARIO</t>
  </si>
  <si>
    <t>122685-JINF-SDIS-NOCT-LA CABAÑA  FONTIBON</t>
  </si>
  <si>
    <t>Lunes a Viernes
4:00 PM A 6:00 A.M. Jornada Continua</t>
  </si>
  <si>
    <t>UPZ 75-FONTIBON</t>
  </si>
  <si>
    <t>122686-JINF-SDIS-NOCT-LUCERNA</t>
  </si>
  <si>
    <t>UPZ 45-CARVAJAL</t>
  </si>
  <si>
    <t>122687-JINF-SDIS-NOCT-KENNEDY SALACUNA</t>
  </si>
  <si>
    <t>UPZ 47-KENNEDY CENTRAL</t>
  </si>
  <si>
    <t>122688-JINF-SDIS-NOCT-CASITA DE ILUSIONES</t>
  </si>
  <si>
    <t xml:space="preserve">LAS BRISAS </t>
  </si>
  <si>
    <t>122689-JINF-SDIS-NOCT-SEMILLAS DEL FUTURO</t>
  </si>
  <si>
    <t>PARAISO</t>
  </si>
  <si>
    <t>122692-JINF-SDIS-NOCT-BABILONIA</t>
  </si>
  <si>
    <t>Lunes a viernes: 4:30 pm a 10:00 pm</t>
  </si>
  <si>
    <t>UPZ 12-TOBERIN</t>
  </si>
  <si>
    <t>122693-JINF-SDIS-NOCT-HORIZONTE</t>
  </si>
  <si>
    <t>UPZ 9-VERBENAL</t>
  </si>
  <si>
    <t>122694-JINF-SDIS-NOCT-ORQUIDEAS</t>
  </si>
  <si>
    <t>122695-JINF-SDIS-NOCT-TIBABITA</t>
  </si>
  <si>
    <t>CL 191 8 38</t>
  </si>
  <si>
    <t>ANDALUCIA</t>
  </si>
  <si>
    <t>12269-JINF-SDIS-NOCT-BUENAVISTA</t>
  </si>
  <si>
    <t>122697-JINF-SDIS-NOCT-VERBENAL</t>
  </si>
  <si>
    <t>122698-JINF-SDIS-NOCT-JUEGO DE COLORES</t>
  </si>
  <si>
    <t>KR 99 154 A 25</t>
  </si>
  <si>
    <t>UPZ 27-SUBA</t>
  </si>
  <si>
    <t>LA ORQUIDEA III SECTOR</t>
  </si>
  <si>
    <t>122699-JINF-SDIS-NOCT-SAN CAYETANO</t>
  </si>
  <si>
    <t>122700-JINF-SDIS-NOCT-NOGAL DE LA ESPERANZA</t>
  </si>
  <si>
    <t>CL 72 52 18</t>
  </si>
  <si>
    <t>UPZ 12-DOCE DE OCTUBRE</t>
  </si>
  <si>
    <t>122701-JINF-SDIS-NOCT-NUEVOS TIMANQUITOS</t>
  </si>
  <si>
    <t>PATRICIA CASTILLO (E)</t>
  </si>
  <si>
    <t>122702-JINF-SDIS-NOCT-RIONEGRO</t>
  </si>
  <si>
    <t>UPZ 21-LOS ANDES</t>
  </si>
  <si>
    <t>122703-JINF-SDIS-NOCT-SUBA</t>
  </si>
  <si>
    <t>SUBA CENTRO</t>
  </si>
  <si>
    <t>122704-JINF-SDIS-NOCT-SANTA SOFIA</t>
  </si>
  <si>
    <t>UPZ 98-LOS ALCAZARES</t>
  </si>
  <si>
    <t>122705-JINF-SDIS-NOCT-COMUNEROS NORTE</t>
  </si>
  <si>
    <t>122706-JINF-SDIS-NOCT-LA CIUDAD QUE SOÑAMOS</t>
  </si>
  <si>
    <t>122707-JINF-SDIS-NOCT-CASA DE LA HADAS</t>
  </si>
  <si>
    <t xml:space="preserve">LUNES A VIERNES 04:00 pm a 10:00 pm </t>
  </si>
  <si>
    <t>UPZ 89-SAN ISIDRO - PATIOS</t>
  </si>
  <si>
    <t>122708-JINF-SDIS-NOCT-JUAN XXIII</t>
  </si>
  <si>
    <t>Lunes a  viernes: 4:00 pm a 10:00 pm</t>
  </si>
  <si>
    <t>122709-JINF-SDIS-NOCT-LA CHUCUA</t>
  </si>
  <si>
    <t>122710-JINF-SDIS-NOCT-ENGATIVA</t>
  </si>
  <si>
    <t>Lunes a viernes 5:30 pm a 9:30 pm
Sabado: 8:00 am a 12:00 pm</t>
  </si>
  <si>
    <t>122711-JINF-SDIS-NOCT-VILLA AMALIA</t>
  </si>
  <si>
    <t>UPZ 73-GARCES NAVAS</t>
  </si>
  <si>
    <t>122712-JINF-SDIS-NOCT-AURES</t>
  </si>
  <si>
    <t>122713-JINF-SDIS-NOCT-PLAZUELAS DEL VIRREY</t>
  </si>
  <si>
    <t>122714-JINF-SDIS-NOCT-LA PAJARA PINTA</t>
  </si>
  <si>
    <t>Lunes a viernes 4:00 pm a 11:00 pm</t>
  </si>
  <si>
    <t>122715-JINF-SDIS-NOCT-HELVETIA</t>
  </si>
  <si>
    <t>UPZ 24-NIZA</t>
  </si>
  <si>
    <t>122716-JINF-SDIS-NOCT-VILLA CRISTINA</t>
  </si>
  <si>
    <t>UPZ 26-LAS FERIAS</t>
  </si>
  <si>
    <t>122717-JINF-SDIS-NOCT-RAFAEL POMBO</t>
  </si>
  <si>
    <t>CRA 97  A 19-11</t>
  </si>
  <si>
    <t>VILLEMAR FONTIBON</t>
  </si>
  <si>
    <t>VILLEMAR  FONTIBÓN</t>
  </si>
  <si>
    <t>122718-JINF-SDIS-NOCT-ATA</t>
  </si>
  <si>
    <t>Lunes a Viernes: 4:00 am a 9:30 pm</t>
  </si>
  <si>
    <t>UPZ 96-LOURDES</t>
  </si>
  <si>
    <t>LOURDES III</t>
  </si>
  <si>
    <t>122719-JINF-SDIS-NOCT-ATANASIO GIRARDOT</t>
  </si>
  <si>
    <t>122720-JINF-SDIS-NOCT-OSO DE ANTEOJOS</t>
  </si>
  <si>
    <t>122721-JINF-SDIS-NOCT-SABANA GRANDE</t>
  </si>
  <si>
    <t>UPZ 77-ZONA FRANCA</t>
  </si>
  <si>
    <t>122722-JINF-SDIS-NOCT-GOTICAS DE ROCIO</t>
  </si>
  <si>
    <t>122723-JINF-SDIS-NOCT-LA GIRALDA</t>
  </si>
  <si>
    <t xml:space="preserve">LUNES A VIERNES 4:00 pm a 10:00 pm </t>
  </si>
  <si>
    <t>122724-JINF-SDIS-NOCT-CIUDAD DE BOGOTA</t>
  </si>
  <si>
    <t>122725-JINF-SDIS-NOCT-LA IGUALDAD</t>
  </si>
  <si>
    <t>UPZ 44-AMERICAS</t>
  </si>
  <si>
    <t>122726-JINF-SDIS-NOCT-EL TRIUNFO</t>
  </si>
  <si>
    <t>122727-JINF-SDIS-NOCT-ARGELIA</t>
  </si>
  <si>
    <t>122728-JINF-SDIS-NOCT-PERPETUO SOCORRO</t>
  </si>
  <si>
    <t>CL 50 SUR 78 18</t>
  </si>
  <si>
    <t>UPZ 48-TIMIZA</t>
  </si>
  <si>
    <t>122729-JINF-SDIS-NOCT-CAMELIA</t>
  </si>
  <si>
    <t xml:space="preserve">Lunes a viernes: 4:00 p.m a 10:00 p.m </t>
  </si>
  <si>
    <t>43-SAN RAFAEL</t>
  </si>
  <si>
    <t>122730-JINF-SDIS-NOCT-BRITALIA</t>
  </si>
  <si>
    <t>122731-JINF-SDIS-NOCT-CLASS</t>
  </si>
  <si>
    <t>122732-JINF-SDIS-NOCT-CALIXTO TORRES</t>
  </si>
  <si>
    <t>UPZ 43-SAN RAFAEL</t>
  </si>
  <si>
    <t>122733-JINF-SDIS-NOCT-LA UNIDAD</t>
  </si>
  <si>
    <t>CL 57 D No. 77 I  - 85 SUR</t>
  </si>
  <si>
    <t>122734-JINF-SDIS-NOCT-ANTONIO NARIÐO</t>
  </si>
  <si>
    <t>UPZ 111-PUENTE ARANDA</t>
  </si>
  <si>
    <t>122735-JINF-SDIS-NOCT-DELICIAS</t>
  </si>
  <si>
    <t>122736-JINF-SDIS-NOCT-ALCALA MUZU</t>
  </si>
  <si>
    <t>UPZ 41-MUZU</t>
  </si>
  <si>
    <t>122737-JINF-SDIS-NOCT-ASERRIN ASERRAN</t>
  </si>
  <si>
    <t>122738-JINF-SDIS-NOCT-TRINIDAD GALAN</t>
  </si>
  <si>
    <t>LA TRINIDAD</t>
  </si>
  <si>
    <t>122739-JINF-SDIS-NOCT-SANTANDER</t>
  </si>
  <si>
    <t>UPZ 38-RESTREPO</t>
  </si>
  <si>
    <t>122740-JINF-SDIS-NOCT-RESTREPO</t>
  </si>
  <si>
    <t>122741-JINF-SDIS-NOCT-MUNDO NUEVO</t>
  </si>
  <si>
    <t>UPZ 35-CIUDAD JARDIN</t>
  </si>
  <si>
    <t>POLICARPA SALAVARRIETA</t>
  </si>
  <si>
    <t>122742-JINF-SDIS-NOCT-JORGE BEJARANO</t>
  </si>
  <si>
    <t>UPZ 37-SANTA ISABEL</t>
  </si>
  <si>
    <t>122743-JINF-SDIS-NOCT-ESPERANZA</t>
  </si>
  <si>
    <t>UPZ 102-LA SABANA</t>
  </si>
  <si>
    <t>122744-JINF-SDIS-NOCT-NUEVOS PASOS</t>
  </si>
  <si>
    <t>122745-JINF-SDIS-NOCT-EL CARACOL</t>
  </si>
  <si>
    <t>122746-JINF-SDIS-NOCT-AMIGUITOS POR SIEMPRE</t>
  </si>
  <si>
    <t>122747-JINF-SDIS-NOCT-METRO</t>
  </si>
  <si>
    <t>UPZ 83-LAS MARGARITAS</t>
  </si>
  <si>
    <t>122748-JINF-SDIS-NOCT-ALQUERIA DE LA FRAGUA</t>
  </si>
  <si>
    <t>122749-JINF-SDIS-NOCT-CREADORES DE SUEÑOS</t>
  </si>
  <si>
    <t>122750-JINF-SDIS-NOCT-VILLA RICA</t>
  </si>
  <si>
    <t>122751-JINF-SDIS-NOCT-AMAS DE CASA JACKELINE</t>
  </si>
  <si>
    <t>122752-JINF-SDIS-NOCT-LAS VOCES DE LOS NIÑOS</t>
  </si>
  <si>
    <t>Estrato 3</t>
  </si>
  <si>
    <t>122753-JINF-SDIS-NOCT-VISION DE COLOMBIA</t>
  </si>
  <si>
    <t>122754-JINF-SDIS-NOCT-RISITAS-INFANTI-PATIO-BONITO</t>
  </si>
  <si>
    <t>122755-JINF-SDIS-NOCT-PATIO BONITO SATELITE</t>
  </si>
  <si>
    <t>122756-JINF-SDIS-NOCT-SAN MARCOS</t>
  </si>
  <si>
    <t>122757-JINF-SDIS-DEJANDO-HUELLA</t>
  </si>
  <si>
    <t>CL 91 C SUR # 18 H 14</t>
  </si>
  <si>
    <t>UPZ 64-MONTE BLANCO</t>
  </si>
  <si>
    <t>LAGUNITAS URBANO</t>
  </si>
  <si>
    <t>PATICOS</t>
  </si>
  <si>
    <t>122758-JINF-SDIS-COLIBRI DE LA ESPERANZA</t>
  </si>
  <si>
    <t>AV KR 118  137 A 25</t>
  </si>
  <si>
    <t>PENDIENTE</t>
  </si>
  <si>
    <t>NOCTURNO-COLOREANDO SUEÑOS</t>
  </si>
  <si>
    <t>KR 13 22 91</t>
  </si>
  <si>
    <t>LA PUERTA DEL AMOR</t>
  </si>
  <si>
    <t>ATENCIÓN INTEGRAL A MUJERES GESTANTES, NIÑAS Y NIÑOS MENORES DE DOS AÑOS "CRECIENDO EN FAMILIA"</t>
  </si>
  <si>
    <t>gestantes, niñas y niños</t>
  </si>
  <si>
    <t>KR 1 22 A 01 SUR</t>
  </si>
  <si>
    <t>LUNES A VIERNES 7:00 AM - 5:00 PM</t>
  </si>
  <si>
    <t>GRANADA SUR</t>
  </si>
  <si>
    <t>AAA0002JKXS</t>
  </si>
  <si>
    <t>TIERRA DE PAZ</t>
  </si>
  <si>
    <t>CL 46 D SUR 16 A 12 ESTE</t>
  </si>
  <si>
    <t>Encuentros grupales</t>
  </si>
  <si>
    <t>PASPHA CUNA</t>
  </si>
  <si>
    <t>LOS LUCEROS</t>
  </si>
  <si>
    <t>BUENOS AIRES</t>
  </si>
  <si>
    <t>AAA0203ZTTD</t>
  </si>
  <si>
    <t>SUMAK KAWSAY</t>
  </si>
  <si>
    <t>CL 88 G SUR 12 D 14 ESTE</t>
  </si>
  <si>
    <t>AAA0006OMFT</t>
  </si>
  <si>
    <t>APUSHI</t>
  </si>
  <si>
    <t>CL 73 D SUR 89 F 50</t>
  </si>
  <si>
    <t>VILLAS DEL PROGRESO</t>
  </si>
  <si>
    <t>AAA0194PSPA</t>
  </si>
  <si>
    <t>SEMBRADORES DE PAZ</t>
  </si>
  <si>
    <t>CL 26 SUR 91 C 67</t>
  </si>
  <si>
    <t>RIBERAS DE OCCIDENTE SEGUNDO SECTOR</t>
  </si>
  <si>
    <t>AAA0139NPTD</t>
  </si>
  <si>
    <t>ALUNA</t>
  </si>
  <si>
    <t>KR 104 B 22 J 15</t>
  </si>
  <si>
    <t>BOTONCILLO DE AGUA</t>
  </si>
  <si>
    <t>PAULO FREIRE</t>
  </si>
  <si>
    <t>CL 153 99 43</t>
  </si>
  <si>
    <t>EL PINO</t>
  </si>
  <si>
    <t>S.C. EL PINO</t>
  </si>
  <si>
    <t>AAA0189PRLW</t>
  </si>
  <si>
    <t>ALO</t>
  </si>
  <si>
    <t>KR 118 141 55</t>
  </si>
  <si>
    <t>LUNES A VIERNES 8:00 AM - 5:30 PM</t>
  </si>
  <si>
    <t>LUZ DE VIDA</t>
  </si>
  <si>
    <t>CL 32 B SUR 10 C 05</t>
  </si>
  <si>
    <t>AVENIDA DÉCIMA II SECTOR</t>
  </si>
  <si>
    <t>AAA0007ZBFZ</t>
  </si>
  <si>
    <t>MÉJICO</t>
  </si>
  <si>
    <t>KR 16 C 65 A 50 SUR</t>
  </si>
  <si>
    <t>MEXICO</t>
  </si>
  <si>
    <t>MÉXICO III SECTOR</t>
  </si>
  <si>
    <t>AAA0022XOKC</t>
  </si>
  <si>
    <t>122778-JINF-SDIS-NOCT-PARAISO</t>
  </si>
  <si>
    <t>122779-JINF-SDIS-NOCT-ALTOS DE ZUQUE</t>
  </si>
  <si>
    <t>122796</t>
  </si>
  <si>
    <t>122796-JINF-SDIS-NOCT-NUEVO ACACIAS</t>
  </si>
  <si>
    <t>JARDIN NOCTURNO - ADICIONAL</t>
  </si>
  <si>
    <t>20</t>
  </si>
  <si>
    <t>18</t>
  </si>
  <si>
    <t>39</t>
  </si>
  <si>
    <t xml:space="preserve">Atender a 20700 niñas niños y adolescentes con discapacidad, alteraciones en el desarrollo, restricciones médicas, pertenecientes a grupos étnicos y víctimas por el conflicto armado con enfoque diferencial y de género </t>
  </si>
  <si>
    <t>Atender a 21200 niñas, niños y adolescentes del distrito en riesgo de trabajo infantil y violencias sexuales; y migrantes en riesgo de vulneración de sus derechos de manera flexible con enfoque diferencial y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</si>
</sst>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0_ ;\-#,##0\ "/>
    <numFmt numFmtId="168" formatCode="0.0%"/>
    <numFmt numFmtId="169" formatCode="_-&quot;$&quot;\ * #,##0_-;\-&quot;$&quot;\ * #,##0_-;_-&quot;$&quot;\ * &quot;-&quot;??_-;_-@_-"/>
    <numFmt numFmtId="170" formatCode="0.0"/>
    <numFmt numFmtId="171" formatCode="0.000"/>
    <numFmt numFmtId="172" formatCode="_-&quot;$&quot;* #,##0.00_-;\-&quot;$&quot;* #,##0.00_-;_-&quot;$&quot;* &quot;-&quot;_-;_-@_-"/>
    <numFmt numFmtId="173" formatCode="_-&quot;$&quot;\ * #,##0.0_-;\-&quot;$&quot;\ * #,##0.0_-;_-&quot;$&quot;\ * &quot;-&quot;??_-;_-@_-"/>
    <numFmt numFmtId="174" formatCode="0.0000"/>
    <numFmt numFmtId="175" formatCode="#,##0.00_ ;\-#,##0.00\ "/>
    <numFmt numFmtId="176" formatCode="#,##0.000"/>
    <numFmt numFmtId="177" formatCode="_-* #,##0_-;\-* #,##0_-;_-* &quot;-&quot;??_-;_-@_-"/>
  </numFmts>
  <fonts count="84" x14ac:knownFonts="1">
    <font>
      <sz val="11"/>
      <color theme="1"/>
      <name val="Comic Sans MS"/>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Narrow"/>
      <family val="2"/>
    </font>
    <font>
      <sz val="10"/>
      <color theme="1"/>
      <name val="Arial Narrow"/>
      <family val="2"/>
    </font>
    <font>
      <sz val="10"/>
      <color theme="1"/>
      <name val="Arial Narrow"/>
      <family val="2"/>
    </font>
    <font>
      <sz val="10"/>
      <color theme="1"/>
      <name val="Arial Narrow"/>
      <family val="2"/>
    </font>
    <font>
      <sz val="10"/>
      <color theme="1"/>
      <name val="Arial Narrow"/>
      <family val="2"/>
    </font>
    <font>
      <sz val="8"/>
      <name val="Comic Sans MS"/>
      <family val="2"/>
    </font>
    <font>
      <sz val="11"/>
      <color theme="1"/>
      <name val="Comic Sans MS"/>
      <family val="2"/>
    </font>
    <font>
      <sz val="11"/>
      <color theme="1"/>
      <name val="Calibri"/>
      <family val="2"/>
      <scheme val="minor"/>
    </font>
    <font>
      <sz val="10"/>
      <name val="Arial"/>
      <family val="2"/>
    </font>
    <font>
      <sz val="11"/>
      <color theme="1"/>
      <name val="Arial"/>
      <family val="2"/>
    </font>
    <font>
      <sz val="11"/>
      <name val="Arial"/>
      <family val="2"/>
    </font>
    <font>
      <sz val="11"/>
      <color indexed="8"/>
      <name val="Calibri"/>
      <family val="2"/>
    </font>
    <font>
      <sz val="9"/>
      <color theme="1"/>
      <name val="Segoe UI"/>
      <family val="2"/>
      <charset val="1"/>
    </font>
    <font>
      <sz val="12"/>
      <color theme="1"/>
      <name val="Calibri"/>
      <family val="2"/>
      <scheme val="minor"/>
    </font>
    <font>
      <sz val="10"/>
      <color theme="1"/>
      <name val="Arial"/>
      <family val="2"/>
    </font>
    <font>
      <b/>
      <sz val="12"/>
      <color theme="1"/>
      <name val="Arial Narrow"/>
      <family val="2"/>
    </font>
    <font>
      <sz val="12"/>
      <color theme="1"/>
      <name val="Arial Narrow"/>
      <family val="2"/>
    </font>
    <font>
      <sz val="11"/>
      <color indexed="8"/>
      <name val="Arial"/>
      <family val="2"/>
    </font>
    <font>
      <b/>
      <sz val="10"/>
      <color theme="1"/>
      <name val="Arial Narrow"/>
      <family val="2"/>
    </font>
    <font>
      <sz val="11"/>
      <color theme="1"/>
      <name val="Arial Narrow"/>
      <family val="2"/>
    </font>
    <font>
      <sz val="10"/>
      <name val="Arial Narrow"/>
      <family val="2"/>
    </font>
    <font>
      <b/>
      <sz val="10"/>
      <name val="Arial Narrow"/>
      <family val="2"/>
    </font>
    <font>
      <b/>
      <sz val="14"/>
      <color theme="1"/>
      <name val="Arial Narrow"/>
      <family val="2"/>
    </font>
    <font>
      <sz val="14"/>
      <color theme="1"/>
      <name val="Arial Narrow"/>
      <family val="2"/>
    </font>
    <font>
      <sz val="14"/>
      <name val="Arial Narrow"/>
      <family val="2"/>
    </font>
    <font>
      <u/>
      <sz val="11"/>
      <color theme="10"/>
      <name val="Calibri"/>
      <family val="2"/>
    </font>
    <font>
      <sz val="11"/>
      <color rgb="FF3CB1EC"/>
      <name val="Arial Narrow"/>
      <family val="2"/>
    </font>
    <font>
      <sz val="8"/>
      <color theme="1"/>
      <name val="Arial Narrow"/>
      <family val="2"/>
    </font>
    <font>
      <sz val="11"/>
      <color rgb="FF201F1E"/>
      <name val="Arial Narrow"/>
      <family val="2"/>
    </font>
    <font>
      <sz val="11"/>
      <color rgb="FF17375E"/>
      <name val="Arial Narrow"/>
      <family val="2"/>
    </font>
    <font>
      <sz val="11"/>
      <color rgb="FF002060"/>
      <name val="Arial Narrow"/>
      <family val="2"/>
    </font>
    <font>
      <sz val="16"/>
      <color theme="1"/>
      <name val="Arial Narrow"/>
      <family val="2"/>
    </font>
    <font>
      <b/>
      <sz val="22"/>
      <name val="Arial Narrow"/>
      <family val="2"/>
    </font>
    <font>
      <b/>
      <sz val="20"/>
      <name val="Arial Narrow"/>
      <family val="2"/>
    </font>
    <font>
      <sz val="16"/>
      <name val="Arial Narrow"/>
      <family val="2"/>
    </font>
    <font>
      <u/>
      <sz val="16"/>
      <name val="Arial Narrow"/>
      <family val="2"/>
    </font>
    <font>
      <sz val="16"/>
      <color rgb="FF27A637"/>
      <name val="Arial Narrow"/>
      <family val="2"/>
    </font>
    <font>
      <b/>
      <i/>
      <u/>
      <sz val="22"/>
      <color theme="4" tint="-0.249977111117893"/>
      <name val="Arial Narrow"/>
      <family val="2"/>
    </font>
    <font>
      <sz val="10"/>
      <color rgb="FF3CB1EC"/>
      <name val="Arial"/>
      <family val="2"/>
    </font>
    <font>
      <sz val="10"/>
      <color indexed="8"/>
      <name val="Arial"/>
      <family val="2"/>
    </font>
    <font>
      <sz val="16"/>
      <color theme="0"/>
      <name val="Arial Narrow"/>
      <family val="2"/>
    </font>
    <font>
      <sz val="9"/>
      <color theme="1"/>
      <name val="Arial"/>
      <family val="2"/>
    </font>
    <font>
      <sz val="9"/>
      <name val="Arial"/>
      <family val="2"/>
    </font>
    <font>
      <sz val="10"/>
      <color theme="0"/>
      <name val="Arial Narrow"/>
      <family val="2"/>
    </font>
    <font>
      <sz val="11"/>
      <color rgb="FF000000"/>
      <name val="Arial"/>
      <family val="2"/>
    </font>
    <font>
      <sz val="20"/>
      <color theme="1"/>
      <name val="Arial Narrow"/>
      <family val="2"/>
    </font>
    <font>
      <sz val="12"/>
      <name val="Arial Narrow"/>
      <family val="2"/>
    </font>
    <font>
      <b/>
      <sz val="11"/>
      <color theme="1"/>
      <name val="Calibri"/>
      <family val="2"/>
      <scheme val="minor"/>
    </font>
    <font>
      <sz val="10"/>
      <color rgb="FFFF0000"/>
      <name val="Arial Narrow"/>
      <family val="2"/>
    </font>
    <font>
      <sz val="12"/>
      <color theme="1" tint="0.499984740745262"/>
      <name val="Arial Narrow"/>
      <family val="2"/>
    </font>
    <font>
      <b/>
      <sz val="18"/>
      <color theme="1"/>
      <name val="Arial Narrow"/>
      <family val="2"/>
    </font>
    <font>
      <b/>
      <sz val="20"/>
      <color theme="1"/>
      <name val="Arial Narrow"/>
      <family val="2"/>
    </font>
    <font>
      <b/>
      <sz val="16"/>
      <color theme="1"/>
      <name val="Arial Narrow"/>
      <family val="2"/>
    </font>
    <font>
      <b/>
      <sz val="12"/>
      <color rgb="FFFF0000"/>
      <name val="Arial Narrow"/>
      <family val="2"/>
    </font>
    <font>
      <sz val="9"/>
      <color indexed="81"/>
      <name val="Tahoma"/>
      <family val="2"/>
    </font>
    <font>
      <b/>
      <sz val="9"/>
      <color indexed="81"/>
      <name val="Tahoma"/>
      <family val="2"/>
    </font>
    <font>
      <sz val="9"/>
      <color theme="1"/>
      <name val="Arial Narrow"/>
      <family val="2"/>
    </font>
    <font>
      <sz val="12"/>
      <color rgb="FF000000"/>
      <name val="Arial Narrow"/>
      <family val="2"/>
    </font>
    <font>
      <b/>
      <sz val="8"/>
      <color theme="0"/>
      <name val="Arial Narrow"/>
      <family val="2"/>
    </font>
    <font>
      <b/>
      <sz val="8"/>
      <name val="Arial Narrow"/>
      <family val="2"/>
    </font>
    <font>
      <b/>
      <i/>
      <sz val="12"/>
      <color theme="1"/>
      <name val="Arial Narrow"/>
      <family val="2"/>
    </font>
    <font>
      <sz val="8"/>
      <color theme="0"/>
      <name val="Arial Narrow"/>
      <family val="2"/>
    </font>
    <font>
      <b/>
      <sz val="12"/>
      <name val="Arial Narrow"/>
      <family val="2"/>
    </font>
    <font>
      <b/>
      <sz val="11"/>
      <color theme="0"/>
      <name val="Calibri"/>
      <family val="2"/>
      <scheme val="minor"/>
    </font>
    <font>
      <sz val="11"/>
      <color theme="0"/>
      <name val="Calibri"/>
      <family val="2"/>
      <scheme val="minor"/>
    </font>
    <font>
      <sz val="12"/>
      <color theme="0"/>
      <name val="Arial Narrow"/>
      <family val="2"/>
    </font>
    <font>
      <sz val="11"/>
      <name val="Calibri"/>
      <family val="2"/>
    </font>
    <font>
      <sz val="9"/>
      <name val="Arial Narrow"/>
      <family val="2"/>
    </font>
    <font>
      <sz val="12"/>
      <color rgb="FFFF0000"/>
      <name val="Arial Narrow"/>
      <family val="2"/>
    </font>
    <font>
      <sz val="8"/>
      <name val="Arial Narrow"/>
      <family val="2"/>
    </font>
    <font>
      <sz val="10"/>
      <color rgb="FF000000"/>
      <name val="Arial Narrow"/>
      <family val="2"/>
    </font>
    <font>
      <sz val="10"/>
      <name val="Calibri"/>
      <family val="2"/>
    </font>
    <font>
      <b/>
      <sz val="9"/>
      <color rgb="FF000000"/>
      <name val="Tahoma"/>
      <family val="2"/>
    </font>
    <font>
      <sz val="9"/>
      <color rgb="FF000000"/>
      <name val="Tahoma"/>
      <family val="2"/>
    </font>
    <font>
      <sz val="10"/>
      <name val="Arial Narrow"/>
      <family val="2"/>
    </font>
  </fonts>
  <fills count="24">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AB62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bgColor theme="7"/>
      </patternFill>
    </fill>
    <fill>
      <patternFill patternType="solid">
        <fgColor theme="0" tint="-0.499984740745262"/>
        <bgColor indexed="64"/>
      </patternFill>
    </fill>
    <fill>
      <patternFill patternType="solid">
        <fgColor theme="7"/>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bgColor indexed="64"/>
      </patternFill>
    </fill>
    <fill>
      <patternFill patternType="solid">
        <fgColor theme="9"/>
        <bgColor indexed="64"/>
      </patternFill>
    </fill>
    <fill>
      <patternFill patternType="solid">
        <fgColor rgb="FF00B050"/>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59999389629810485"/>
        <bgColor rgb="FF000000"/>
      </patternFill>
    </fill>
    <fill>
      <patternFill patternType="solid">
        <fgColor theme="0" tint="-0.249977111117893"/>
        <bgColor indexed="64"/>
      </patternFill>
    </fill>
    <fill>
      <patternFill patternType="solid">
        <fgColor rgb="FFFFFF00"/>
        <bgColor indexed="64"/>
      </patternFill>
    </fill>
  </fills>
  <borders count="6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style="hair">
        <color indexed="64"/>
      </top>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right/>
      <top style="thin">
        <color rgb="FFFFC000"/>
      </top>
      <bottom/>
      <diagonal/>
    </border>
    <border>
      <left/>
      <right/>
      <top style="thin">
        <color theme="7"/>
      </top>
      <bottom/>
      <diagonal/>
    </border>
    <border>
      <left/>
      <right style="thin">
        <color theme="7"/>
      </right>
      <top/>
      <bottom/>
      <diagonal/>
    </border>
    <border>
      <left style="thin">
        <color indexed="64"/>
      </left>
      <right style="thin">
        <color theme="7"/>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auto="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right style="medium">
        <color indexed="64"/>
      </right>
      <top/>
      <bottom style="thin">
        <color auto="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theme="4" tint="0.39997558519241921"/>
      </bottom>
      <diagonal/>
    </border>
    <border>
      <left style="thin">
        <color theme="7"/>
      </left>
      <right/>
      <top style="thin">
        <color theme="7"/>
      </top>
      <bottom/>
      <diagonal/>
    </border>
    <border>
      <left style="thin">
        <color theme="7"/>
      </left>
      <right/>
      <top style="double">
        <color theme="7"/>
      </top>
      <bottom style="thin">
        <color theme="7"/>
      </bottom>
      <diagonal/>
    </border>
    <border>
      <left/>
      <right/>
      <top style="double">
        <color theme="7"/>
      </top>
      <bottom style="thin">
        <color theme="7"/>
      </bottom>
      <diagonal/>
    </border>
    <border>
      <left/>
      <right style="thin">
        <color theme="7"/>
      </right>
      <top style="thin">
        <color theme="7"/>
      </top>
      <bottom/>
      <diagonal/>
    </border>
    <border>
      <left/>
      <right style="thin">
        <color theme="7"/>
      </right>
      <top style="double">
        <color theme="7"/>
      </top>
      <bottom style="thin">
        <color theme="7"/>
      </bottom>
      <diagonal/>
    </border>
    <border>
      <left style="thin">
        <color rgb="FFFFC000"/>
      </left>
      <right/>
      <top style="thin">
        <color rgb="FFFFC000"/>
      </top>
      <bottom/>
      <diagonal/>
    </border>
    <border>
      <left/>
      <right style="thin">
        <color rgb="FFFFC000"/>
      </right>
      <top style="thin">
        <color rgb="FFFFC000"/>
      </top>
      <bottom/>
      <diagonal/>
    </border>
  </borders>
  <cellStyleXfs count="70">
    <xf numFmtId="0" fontId="0" fillId="0" borderId="0"/>
    <xf numFmtId="43" fontId="15" fillId="0" borderId="0" applyFont="0" applyFill="0" applyBorder="0" applyAlignment="0" applyProtection="0"/>
    <xf numFmtId="0" fontId="16" fillId="0" borderId="0">
      <alignment vertical="center"/>
    </xf>
    <xf numFmtId="0" fontId="17" fillId="0" borderId="0"/>
    <xf numFmtId="9" fontId="15" fillId="0" borderId="0" applyFont="0" applyFill="0" applyBorder="0" applyAlignment="0" applyProtection="0"/>
    <xf numFmtId="0" fontId="16" fillId="0" borderId="0"/>
    <xf numFmtId="165"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166" fontId="20" fillId="0" borderId="0" applyFont="0" applyFill="0" applyBorder="0" applyAlignment="0" applyProtection="0"/>
    <xf numFmtId="9" fontId="20" fillId="0" borderId="0" applyFont="0" applyFill="0" applyBorder="0" applyAlignment="0" applyProtection="0"/>
    <xf numFmtId="0" fontId="17" fillId="0" borderId="0"/>
    <xf numFmtId="164" fontId="16" fillId="0" borderId="0" applyFont="0" applyFill="0" applyBorder="0" applyAlignment="0" applyProtection="0"/>
    <xf numFmtId="166" fontId="20" fillId="0" borderId="0" applyFont="0" applyFill="0" applyBorder="0" applyAlignment="0" applyProtection="0"/>
    <xf numFmtId="41" fontId="16" fillId="0" borderId="0" applyFont="0" applyFill="0" applyBorder="0" applyAlignment="0" applyProtection="0"/>
    <xf numFmtId="0" fontId="16" fillId="0" borderId="0"/>
    <xf numFmtId="9" fontId="20" fillId="0" borderId="0" applyFont="0" applyFill="0" applyBorder="0" applyAlignment="0" applyProtection="0"/>
    <xf numFmtId="0" fontId="21" fillId="0" borderId="0"/>
    <xf numFmtId="43" fontId="20"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21"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7" fillId="0" borderId="0"/>
    <xf numFmtId="164" fontId="22" fillId="0" borderId="0" applyFont="0" applyFill="0" applyBorder="0" applyAlignment="0" applyProtection="0"/>
    <xf numFmtId="0" fontId="34" fillId="0" borderId="0" applyNumberFormat="0" applyFill="0" applyBorder="0" applyAlignment="0" applyProtection="0">
      <alignment vertical="top"/>
      <protection locked="0"/>
    </xf>
    <xf numFmtId="44" fontId="15" fillId="0" borderId="0" applyFont="0" applyFill="0" applyBorder="0" applyAlignment="0" applyProtection="0"/>
    <xf numFmtId="0" fontId="8" fillId="0" borderId="0"/>
    <xf numFmtId="0" fontId="7" fillId="0" borderId="0"/>
    <xf numFmtId="0" fontId="6" fillId="0" borderId="0"/>
    <xf numFmtId="0" fontId="6" fillId="0" borderId="0"/>
    <xf numFmtId="0" fontId="6" fillId="0" borderId="0">
      <alignment vertical="center"/>
    </xf>
    <xf numFmtId="4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4" fillId="0" borderId="0"/>
    <xf numFmtId="42" fontId="15" fillId="0" borderId="0" applyFont="0" applyFill="0" applyBorder="0" applyAlignment="0" applyProtection="0"/>
    <xf numFmtId="0" fontId="3" fillId="0" borderId="0"/>
    <xf numFmtId="0" fontId="3" fillId="0" borderId="0"/>
  </cellStyleXfs>
  <cellXfs count="601">
    <xf numFmtId="0" fontId="0" fillId="0" borderId="0" xfId="0"/>
    <xf numFmtId="0" fontId="18" fillId="0" borderId="0" xfId="0" applyFont="1"/>
    <xf numFmtId="0" fontId="24" fillId="0" borderId="0" xfId="0" applyFont="1" applyProtection="1">
      <protection hidden="1"/>
    </xf>
    <xf numFmtId="0" fontId="25" fillId="0" borderId="0" xfId="0" applyFont="1" applyProtection="1">
      <protection hidden="1"/>
    </xf>
    <xf numFmtId="0" fontId="0" fillId="3" borderId="0" xfId="0" applyFill="1"/>
    <xf numFmtId="0" fontId="29" fillId="3" borderId="1" xfId="0" applyFont="1" applyFill="1" applyBorder="1" applyAlignment="1" applyProtection="1">
      <alignment horizontal="center" vertical="center" wrapText="1"/>
      <protection locked="0"/>
    </xf>
    <xf numFmtId="0" fontId="30" fillId="8" borderId="1" xfId="0" applyFont="1" applyFill="1" applyBorder="1" applyAlignment="1">
      <alignment horizontal="center" vertical="center" wrapText="1"/>
    </xf>
    <xf numFmtId="0" fontId="13" fillId="0" borderId="0" xfId="0" applyFont="1"/>
    <xf numFmtId="0" fontId="13" fillId="0" borderId="0" xfId="0" applyFont="1" applyAlignment="1">
      <alignment wrapText="1"/>
    </xf>
    <xf numFmtId="0" fontId="13" fillId="0" borderId="0" xfId="0" applyFont="1" applyAlignment="1">
      <alignment horizontal="center" vertical="center"/>
    </xf>
    <xf numFmtId="0" fontId="29" fillId="0" borderId="0" xfId="0" applyFont="1" applyAlignment="1">
      <alignment horizontal="center" vertical="center" wrapText="1"/>
    </xf>
    <xf numFmtId="0" fontId="29" fillId="6" borderId="0" xfId="0" applyFont="1" applyFill="1" applyAlignment="1">
      <alignment horizontal="center" vertical="center" wrapText="1"/>
    </xf>
    <xf numFmtId="0" fontId="29" fillId="6" borderId="0" xfId="0" applyFont="1" applyFill="1" applyAlignment="1">
      <alignment horizontal="left" vertical="center" wrapText="1"/>
    </xf>
    <xf numFmtId="0" fontId="29" fillId="0" borderId="0" xfId="0" applyFont="1" applyAlignment="1">
      <alignment horizontal="left" vertical="center" wrapText="1"/>
    </xf>
    <xf numFmtId="0" fontId="12" fillId="0" borderId="0" xfId="0" applyFont="1"/>
    <xf numFmtId="0" fontId="29" fillId="9" borderId="0" xfId="0" applyFont="1" applyFill="1" applyAlignment="1">
      <alignment horizontal="center" vertical="center" wrapText="1"/>
    </xf>
    <xf numFmtId="0" fontId="28" fillId="0" borderId="0" xfId="0" applyFont="1"/>
    <xf numFmtId="0" fontId="13" fillId="0" borderId="0" xfId="0" applyFont="1" applyAlignment="1">
      <alignment vertical="center" wrapText="1"/>
    </xf>
    <xf numFmtId="0" fontId="30" fillId="6" borderId="0" xfId="0" applyFont="1" applyFill="1" applyAlignment="1">
      <alignment horizontal="center" vertical="center" wrapText="1"/>
    </xf>
    <xf numFmtId="167" fontId="30" fillId="6" borderId="0" xfId="0" applyNumberFormat="1" applyFont="1" applyFill="1" applyAlignment="1">
      <alignment horizontal="center" vertical="center" wrapText="1"/>
    </xf>
    <xf numFmtId="0" fontId="29" fillId="0" borderId="0" xfId="0" applyFont="1" applyAlignment="1">
      <alignment horizontal="center"/>
    </xf>
    <xf numFmtId="0" fontId="13" fillId="0" borderId="0" xfId="0" applyFont="1" applyAlignment="1">
      <alignment horizontal="center"/>
    </xf>
    <xf numFmtId="0" fontId="11" fillId="0" borderId="0" xfId="0" applyFont="1"/>
    <xf numFmtId="0" fontId="30" fillId="0" borderId="0" xfId="0" applyFont="1" applyAlignment="1">
      <alignment horizontal="center" vertical="center" wrapText="1"/>
    </xf>
    <xf numFmtId="3" fontId="30" fillId="0" borderId="0" xfId="0" applyNumberFormat="1" applyFont="1" applyAlignment="1">
      <alignment horizontal="center" vertical="center" wrapText="1"/>
    </xf>
    <xf numFmtId="0" fontId="11" fillId="0" borderId="0" xfId="0" applyFont="1" applyAlignment="1">
      <alignment wrapText="1"/>
    </xf>
    <xf numFmtId="0" fontId="32" fillId="0" borderId="0" xfId="0" applyFont="1"/>
    <xf numFmtId="0" fontId="32" fillId="0" borderId="0" xfId="0" applyFont="1" applyAlignment="1">
      <alignment wrapText="1"/>
    </xf>
    <xf numFmtId="0" fontId="30" fillId="0" borderId="0" xfId="5" applyFont="1" applyAlignment="1">
      <alignment horizontal="center" vertical="center" wrapText="1"/>
    </xf>
    <xf numFmtId="0" fontId="10" fillId="0" borderId="0" xfId="0" applyFont="1" applyAlignment="1">
      <alignment wrapText="1"/>
    </xf>
    <xf numFmtId="0" fontId="10" fillId="0" borderId="0" xfId="0" applyFont="1" applyAlignment="1">
      <alignment horizontal="center" wrapText="1"/>
    </xf>
    <xf numFmtId="0" fontId="35" fillId="0" borderId="0" xfId="0" applyFont="1"/>
    <xf numFmtId="0" fontId="36" fillId="10" borderId="3" xfId="0" applyFont="1" applyFill="1" applyBorder="1" applyAlignment="1">
      <alignment horizontal="center" vertical="center"/>
    </xf>
    <xf numFmtId="0" fontId="37" fillId="0" borderId="0" xfId="0" applyFont="1"/>
    <xf numFmtId="0" fontId="36" fillId="0" borderId="0" xfId="0" applyFont="1"/>
    <xf numFmtId="0" fontId="28" fillId="0" borderId="0" xfId="0" applyFont="1" applyAlignment="1" applyProtection="1">
      <alignment horizontal="center" vertical="center"/>
      <protection hidden="1"/>
    </xf>
    <xf numFmtId="0" fontId="28" fillId="12" borderId="0" xfId="0" applyFont="1" applyFill="1" applyProtection="1">
      <protection hidden="1"/>
    </xf>
    <xf numFmtId="0" fontId="28" fillId="12" borderId="0" xfId="0" applyFont="1" applyFill="1" applyAlignment="1" applyProtection="1">
      <alignment horizontal="center" vertical="center"/>
      <protection hidden="1"/>
    </xf>
    <xf numFmtId="0" fontId="28" fillId="12" borderId="0" xfId="0" applyFont="1" applyFill="1" applyAlignment="1" applyProtection="1">
      <alignment horizontal="center" vertical="center" wrapText="1"/>
      <protection hidden="1"/>
    </xf>
    <xf numFmtId="0" fontId="40" fillId="0" borderId="0" xfId="18" applyFont="1" applyProtection="1">
      <protection hidden="1"/>
    </xf>
    <xf numFmtId="0" fontId="43" fillId="0" borderId="0" xfId="18" applyFont="1" applyProtection="1">
      <protection hidden="1"/>
    </xf>
    <xf numFmtId="0" fontId="44" fillId="0" borderId="0" xfId="52" applyFont="1" applyFill="1" applyAlignment="1" applyProtection="1">
      <protection hidden="1"/>
    </xf>
    <xf numFmtId="0" fontId="40" fillId="6" borderId="0" xfId="18" applyFont="1" applyFill="1" applyProtection="1">
      <protection hidden="1"/>
    </xf>
    <xf numFmtId="0" fontId="23" fillId="0" borderId="0" xfId="0" applyFont="1"/>
    <xf numFmtId="0" fontId="47" fillId="0" borderId="0" xfId="0" applyFont="1"/>
    <xf numFmtId="0" fontId="48" fillId="0" borderId="0" xfId="0" applyFont="1"/>
    <xf numFmtId="0" fontId="49" fillId="0" borderId="0" xfId="18" applyFont="1" applyProtection="1">
      <protection hidden="1"/>
    </xf>
    <xf numFmtId="0" fontId="43" fillId="6" borderId="0" xfId="18" applyFont="1" applyFill="1" applyAlignment="1" applyProtection="1">
      <alignment horizontal="left"/>
      <protection hidden="1"/>
    </xf>
    <xf numFmtId="0" fontId="42" fillId="6" borderId="0" xfId="18" applyFont="1" applyFill="1" applyAlignment="1" applyProtection="1">
      <alignment wrapText="1"/>
      <protection hidden="1"/>
    </xf>
    <xf numFmtId="0" fontId="9" fillId="0" borderId="0" xfId="0" applyFont="1"/>
    <xf numFmtId="0" fontId="50" fillId="0" borderId="1" xfId="18" applyFont="1" applyBorder="1" applyAlignment="1">
      <alignment vertical="center" wrapText="1"/>
    </xf>
    <xf numFmtId="0" fontId="51" fillId="0" borderId="1" xfId="18" applyFont="1" applyBorder="1" applyAlignment="1">
      <alignment vertical="center" wrapText="1"/>
    </xf>
    <xf numFmtId="0" fontId="52" fillId="0" borderId="0" xfId="0" applyFont="1" applyAlignment="1">
      <alignment wrapText="1"/>
    </xf>
    <xf numFmtId="0" fontId="52" fillId="0" borderId="0" xfId="0" applyFont="1" applyAlignment="1" applyProtection="1">
      <alignment vertical="center" wrapText="1"/>
      <protection hidden="1"/>
    </xf>
    <xf numFmtId="14" fontId="29" fillId="0" borderId="0" xfId="0" applyNumberFormat="1" applyFont="1" applyAlignment="1">
      <alignment horizontal="center" vertical="center" wrapText="1"/>
    </xf>
    <xf numFmtId="0" fontId="9" fillId="0" borderId="0" xfId="0" applyFont="1" applyAlignment="1">
      <alignment wrapText="1"/>
    </xf>
    <xf numFmtId="0" fontId="39" fillId="0" borderId="21" xfId="0" applyFont="1" applyBorder="1" applyAlignment="1" applyProtection="1">
      <alignment horizontal="left" vertical="center" readingOrder="1"/>
      <protection hidden="1"/>
    </xf>
    <xf numFmtId="0" fontId="28" fillId="0" borderId="22" xfId="0" applyFont="1" applyBorder="1" applyAlignment="1" applyProtection="1">
      <alignment vertical="center" wrapText="1"/>
      <protection hidden="1"/>
    </xf>
    <xf numFmtId="0" fontId="39" fillId="0" borderId="23" xfId="0" applyFont="1" applyBorder="1" applyAlignment="1" applyProtection="1">
      <alignment horizontal="left" vertical="center" wrapText="1"/>
      <protection hidden="1"/>
    </xf>
    <xf numFmtId="0" fontId="28" fillId="0" borderId="24" xfId="0" applyFont="1" applyBorder="1" applyAlignment="1" applyProtection="1">
      <alignment vertical="center" wrapText="1"/>
      <protection hidden="1"/>
    </xf>
    <xf numFmtId="0" fontId="39" fillId="0" borderId="23" xfId="0" applyFont="1" applyBorder="1" applyAlignment="1" applyProtection="1">
      <alignment horizontal="left" vertical="center" readingOrder="1"/>
      <protection hidden="1"/>
    </xf>
    <xf numFmtId="0" fontId="39" fillId="0" borderId="34" xfId="0" applyFont="1" applyBorder="1" applyAlignment="1" applyProtection="1">
      <alignment horizontal="left" vertical="center" wrapText="1"/>
      <protection hidden="1"/>
    </xf>
    <xf numFmtId="0" fontId="28" fillId="0" borderId="35" xfId="0" applyFont="1" applyBorder="1" applyAlignment="1" applyProtection="1">
      <alignment vertical="center" wrapText="1"/>
      <protection hidden="1"/>
    </xf>
    <xf numFmtId="0" fontId="39" fillId="0" borderId="23" xfId="0" applyFont="1" applyBorder="1" applyAlignment="1" applyProtection="1">
      <alignment horizontal="left" vertical="center" wrapText="1" readingOrder="1"/>
      <protection hidden="1"/>
    </xf>
    <xf numFmtId="0" fontId="38" fillId="0" borderId="23" xfId="0" applyFont="1" applyBorder="1" applyAlignment="1" applyProtection="1">
      <alignment horizontal="left" vertical="center" wrapText="1"/>
      <protection hidden="1"/>
    </xf>
    <xf numFmtId="0" fontId="28" fillId="0" borderId="24" xfId="0" applyFont="1" applyBorder="1" applyAlignment="1" applyProtection="1">
      <alignment horizontal="left" vertical="top" wrapText="1"/>
      <protection hidden="1"/>
    </xf>
    <xf numFmtId="0" fontId="39" fillId="0" borderId="25" xfId="0" applyFont="1" applyBorder="1" applyAlignment="1" applyProtection="1">
      <alignment horizontal="left" vertical="center" readingOrder="1"/>
      <protection hidden="1"/>
    </xf>
    <xf numFmtId="0" fontId="28" fillId="0" borderId="26" xfId="0" applyFont="1" applyBorder="1" applyAlignment="1" applyProtection="1">
      <alignment vertical="center" wrapText="1"/>
      <protection hidden="1"/>
    </xf>
    <xf numFmtId="0" fontId="55" fillId="0" borderId="0" xfId="0" applyFont="1"/>
    <xf numFmtId="0" fontId="25" fillId="11" borderId="3" xfId="0" applyFont="1" applyFill="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25" fillId="0" borderId="0" xfId="0" applyFont="1"/>
    <xf numFmtId="0" fontId="24" fillId="6" borderId="15" xfId="0" applyFont="1" applyFill="1" applyBorder="1" applyAlignment="1">
      <alignment horizontal="center" vertical="center"/>
    </xf>
    <xf numFmtId="0" fontId="25" fillId="0" borderId="0" xfId="54" applyFont="1" applyProtection="1">
      <protection hidden="1"/>
    </xf>
    <xf numFmtId="0" fontId="58" fillId="0" borderId="0" xfId="0" applyFont="1" applyAlignment="1">
      <alignment horizontal="center" vertical="center"/>
    </xf>
    <xf numFmtId="170" fontId="24" fillId="6" borderId="15" xfId="0" applyNumberFormat="1" applyFont="1" applyFill="1" applyBorder="1" applyAlignment="1">
      <alignment horizontal="center" vertical="center"/>
    </xf>
    <xf numFmtId="0" fontId="59" fillId="0" borderId="0" xfId="0" applyFont="1" applyAlignment="1">
      <alignment vertical="center"/>
    </xf>
    <xf numFmtId="0" fontId="9" fillId="0" borderId="0" xfId="0" applyFont="1" applyAlignment="1" applyProtection="1">
      <alignment horizontal="center" vertical="center" wrapText="1"/>
      <protection locked="0"/>
    </xf>
    <xf numFmtId="14" fontId="29" fillId="0" borderId="12" xfId="0" applyNumberFormat="1" applyFont="1" applyBorder="1" applyAlignment="1">
      <alignment horizontal="center" vertical="center" wrapText="1"/>
    </xf>
    <xf numFmtId="0" fontId="29" fillId="0" borderId="12" xfId="0" applyFont="1" applyBorder="1" applyAlignment="1">
      <alignment horizontal="center" vertical="center" wrapText="1"/>
    </xf>
    <xf numFmtId="0" fontId="29" fillId="0" borderId="11" xfId="0" applyFont="1" applyBorder="1" applyAlignment="1">
      <alignment horizontal="center" vertical="center" wrapText="1"/>
    </xf>
    <xf numFmtId="14" fontId="29" fillId="3" borderId="1" xfId="0" applyNumberFormat="1" applyFont="1" applyFill="1" applyBorder="1" applyAlignment="1" applyProtection="1">
      <alignment horizontal="center" vertical="center" wrapText="1"/>
      <protection locked="0"/>
    </xf>
    <xf numFmtId="14" fontId="9" fillId="3" borderId="1" xfId="0" applyNumberFormat="1"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29" fillId="3" borderId="13" xfId="0" applyFont="1" applyFill="1" applyBorder="1" applyAlignment="1" applyProtection="1">
      <alignment horizontal="center" vertical="center" wrapText="1"/>
      <protection locked="0"/>
    </xf>
    <xf numFmtId="170" fontId="24" fillId="6" borderId="9" xfId="0" applyNumberFormat="1" applyFont="1" applyFill="1" applyBorder="1" applyAlignment="1">
      <alignment horizontal="center" vertical="center"/>
    </xf>
    <xf numFmtId="170" fontId="24" fillId="0" borderId="0" xfId="0" applyNumberFormat="1" applyFont="1" applyAlignment="1">
      <alignment horizontal="center" vertical="center"/>
    </xf>
    <xf numFmtId="10" fontId="25" fillId="4" borderId="1" xfId="4" applyNumberFormat="1" applyFont="1" applyFill="1" applyBorder="1" applyAlignment="1" applyProtection="1">
      <alignment horizontal="center" vertical="center"/>
      <protection locked="0"/>
    </xf>
    <xf numFmtId="0" fontId="40" fillId="0" borderId="0" xfId="18" applyFont="1" applyAlignment="1" applyProtection="1">
      <alignment horizontal="center" vertical="center"/>
      <protection hidden="1"/>
    </xf>
    <xf numFmtId="0" fontId="62" fillId="0" borderId="0" xfId="0" applyFont="1"/>
    <xf numFmtId="0" fontId="65" fillId="0" borderId="19" xfId="0" applyFont="1" applyBorder="1" applyAlignment="1">
      <alignment horizontal="left" vertical="center"/>
    </xf>
    <xf numFmtId="0" fontId="65" fillId="0" borderId="0" xfId="0" applyFont="1" applyAlignment="1">
      <alignment horizontal="left" vertical="center" wrapText="1"/>
    </xf>
    <xf numFmtId="0" fontId="65" fillId="0" borderId="36" xfId="0" applyFont="1" applyBorder="1" applyAlignment="1">
      <alignment horizontal="left" vertical="center" wrapText="1"/>
    </xf>
    <xf numFmtId="169" fontId="25" fillId="0" borderId="0" xfId="53" applyNumberFormat="1" applyFont="1" applyFill="1" applyBorder="1" applyAlignment="1" applyProtection="1">
      <alignment horizontal="center" vertical="center"/>
      <protection locked="0"/>
    </xf>
    <xf numFmtId="167" fontId="29" fillId="6" borderId="0" xfId="0" applyNumberFormat="1" applyFont="1" applyFill="1" applyAlignment="1">
      <alignment horizontal="center" vertical="center" wrapText="1"/>
    </xf>
    <xf numFmtId="170" fontId="25" fillId="0" borderId="0" xfId="0" applyNumberFormat="1" applyFont="1" applyAlignment="1">
      <alignment horizontal="center" vertical="center"/>
    </xf>
    <xf numFmtId="0" fontId="25" fillId="0" borderId="0" xfId="0" applyFont="1" applyAlignment="1">
      <alignment horizontal="center" vertical="center" wrapText="1"/>
    </xf>
    <xf numFmtId="1" fontId="24" fillId="0" borderId="0" xfId="53" applyNumberFormat="1" applyFont="1" applyFill="1" applyBorder="1" applyAlignment="1">
      <alignment horizontal="center" vertical="center"/>
    </xf>
    <xf numFmtId="2" fontId="25" fillId="0" borderId="0" xfId="53" applyNumberFormat="1" applyFont="1" applyFill="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0" fillId="0" borderId="0" xfId="0" applyProtection="1">
      <protection hidden="1"/>
    </xf>
    <xf numFmtId="0" fontId="13" fillId="0" borderId="0" xfId="0" applyFont="1" applyProtection="1">
      <protection hidden="1"/>
    </xf>
    <xf numFmtId="0" fontId="12" fillId="0" borderId="0" xfId="0" applyFont="1" applyProtection="1">
      <protection hidden="1"/>
    </xf>
    <xf numFmtId="0" fontId="29"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9" fillId="0" borderId="0" xfId="0" applyFont="1" applyProtection="1">
      <protection hidden="1"/>
    </xf>
    <xf numFmtId="0" fontId="13" fillId="0" borderId="0" xfId="0" applyFont="1" applyAlignment="1" applyProtection="1">
      <alignment wrapText="1"/>
      <protection hidden="1"/>
    </xf>
    <xf numFmtId="0" fontId="54" fillId="5" borderId="27" xfId="0" applyFont="1" applyFill="1" applyBorder="1" applyProtection="1">
      <protection hidden="1"/>
    </xf>
    <xf numFmtId="0" fontId="54" fillId="5" borderId="28" xfId="0" applyFont="1" applyFill="1" applyBorder="1" applyProtection="1">
      <protection hidden="1"/>
    </xf>
    <xf numFmtId="0" fontId="9" fillId="0" borderId="0" xfId="0" applyFont="1" applyAlignment="1" applyProtection="1">
      <alignment vertical="center"/>
      <protection locked="0"/>
    </xf>
    <xf numFmtId="0" fontId="9" fillId="0" borderId="0" xfId="0" applyFont="1" applyAlignment="1">
      <alignment horizontal="center" vertical="center"/>
    </xf>
    <xf numFmtId="14" fontId="9" fillId="0" borderId="0" xfId="0" applyNumberFormat="1" applyFont="1" applyAlignment="1" applyProtection="1">
      <alignment horizontal="center" vertical="center" wrapText="1"/>
      <protection locked="0"/>
    </xf>
    <xf numFmtId="14" fontId="9" fillId="3" borderId="13" xfId="0" applyNumberFormat="1"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14" fontId="9" fillId="0" borderId="0" xfId="0" applyNumberFormat="1" applyFont="1" applyAlignment="1">
      <alignment horizontal="center" vertical="center" wrapText="1"/>
    </xf>
    <xf numFmtId="0" fontId="9" fillId="0" borderId="0" xfId="0" applyFont="1" applyAlignment="1" applyProtection="1">
      <alignment horizontal="center" vertical="center"/>
      <protection hidden="1"/>
    </xf>
    <xf numFmtId="0" fontId="9" fillId="0" borderId="0" xfId="0" applyFont="1" applyAlignment="1" applyProtection="1">
      <alignment wrapText="1"/>
      <protection hidden="1"/>
    </xf>
    <xf numFmtId="167" fontId="9" fillId="6" borderId="0" xfId="0" applyNumberFormat="1" applyFont="1" applyFill="1" applyAlignment="1">
      <alignment horizontal="center" vertical="center" wrapText="1"/>
    </xf>
    <xf numFmtId="0" fontId="9" fillId="0" borderId="0" xfId="0" applyFont="1" applyAlignment="1">
      <alignment horizontal="center"/>
    </xf>
    <xf numFmtId="0" fontId="9" fillId="0" borderId="0" xfId="0" applyFont="1" applyAlignment="1">
      <alignment horizontal="center" wrapText="1"/>
    </xf>
    <xf numFmtId="1" fontId="9" fillId="0" borderId="0" xfId="0" applyNumberFormat="1" applyFont="1"/>
    <xf numFmtId="10" fontId="9" fillId="0" borderId="0" xfId="0" applyNumberFormat="1" applyFont="1"/>
    <xf numFmtId="168" fontId="9" fillId="0" borderId="0" xfId="4" applyNumberFormat="1" applyFont="1"/>
    <xf numFmtId="2" fontId="9" fillId="0" borderId="0" xfId="0" applyNumberFormat="1" applyFont="1"/>
    <xf numFmtId="10" fontId="66" fillId="4" borderId="1" xfId="4" applyNumberFormat="1" applyFont="1" applyFill="1" applyBorder="1" applyAlignment="1" applyProtection="1">
      <alignment horizontal="center" vertical="center"/>
      <protection locked="0"/>
    </xf>
    <xf numFmtId="0" fontId="36" fillId="0" borderId="0" xfId="0" applyFont="1" applyAlignment="1">
      <alignment horizontal="left" vertical="center" wrapText="1"/>
    </xf>
    <xf numFmtId="0" fontId="36" fillId="0" borderId="36" xfId="0" applyFont="1" applyBorder="1" applyAlignment="1">
      <alignment horizontal="left" vertical="center" wrapText="1"/>
    </xf>
    <xf numFmtId="0" fontId="40" fillId="0" borderId="0" xfId="66" applyFont="1" applyProtection="1">
      <protection hidden="1"/>
    </xf>
    <xf numFmtId="0" fontId="50" fillId="0" borderId="0" xfId="66" applyFont="1" applyAlignment="1">
      <alignment vertical="center" wrapText="1"/>
    </xf>
    <xf numFmtId="0" fontId="50" fillId="0" borderId="1" xfId="66" applyFont="1" applyBorder="1" applyAlignment="1">
      <alignment vertical="center" wrapText="1"/>
    </xf>
    <xf numFmtId="0" fontId="51" fillId="0" borderId="1" xfId="66" applyFont="1" applyBorder="1" applyAlignment="1">
      <alignment vertical="center" wrapText="1"/>
    </xf>
    <xf numFmtId="0" fontId="51" fillId="0" borderId="0" xfId="66" applyFont="1" applyAlignment="1">
      <alignment vertical="center" wrapText="1"/>
    </xf>
    <xf numFmtId="0" fontId="67" fillId="10" borderId="3" xfId="52" applyFont="1" applyFill="1" applyBorder="1" applyAlignment="1" applyProtection="1">
      <alignment horizontal="center" vertical="center" wrapText="1"/>
    </xf>
    <xf numFmtId="2" fontId="30" fillId="6" borderId="0" xfId="0" applyNumberFormat="1" applyFont="1" applyFill="1" applyAlignment="1">
      <alignment horizontal="center" vertical="center" wrapText="1"/>
    </xf>
    <xf numFmtId="0" fontId="30" fillId="8" borderId="0" xfId="0" applyFont="1" applyFill="1" applyAlignment="1">
      <alignment horizontal="center" vertical="center" wrapText="1"/>
    </xf>
    <xf numFmtId="0" fontId="30" fillId="8" borderId="40" xfId="0" applyFont="1" applyFill="1" applyBorder="1" applyAlignment="1">
      <alignment horizontal="center" vertical="center" wrapText="1"/>
    </xf>
    <xf numFmtId="0" fontId="30" fillId="8" borderId="41" xfId="0" applyFont="1" applyFill="1" applyBorder="1" applyAlignment="1">
      <alignment horizontal="center" vertical="center" wrapText="1"/>
    </xf>
    <xf numFmtId="0" fontId="30" fillId="9" borderId="39" xfId="0" applyFont="1" applyFill="1" applyBorder="1" applyAlignment="1">
      <alignment horizontal="center" vertical="center" wrapText="1"/>
    </xf>
    <xf numFmtId="1" fontId="30" fillId="0" borderId="0" xfId="5" applyNumberFormat="1" applyFont="1" applyAlignment="1">
      <alignment horizontal="center" vertical="center" wrapText="1"/>
    </xf>
    <xf numFmtId="1" fontId="40" fillId="0" borderId="0" xfId="18" applyNumberFormat="1" applyFont="1" applyAlignment="1" applyProtection="1">
      <alignment horizontal="center"/>
      <protection hidden="1"/>
    </xf>
    <xf numFmtId="1" fontId="9" fillId="0" borderId="0" xfId="0" applyNumberFormat="1" applyFont="1" applyAlignment="1">
      <alignment horizontal="center" wrapText="1"/>
    </xf>
    <xf numFmtId="1" fontId="10" fillId="0" borderId="0" xfId="0" applyNumberFormat="1" applyFont="1" applyAlignment="1">
      <alignment horizontal="center" wrapText="1"/>
    </xf>
    <xf numFmtId="171" fontId="9" fillId="17" borderId="0" xfId="0" applyNumberFormat="1" applyFont="1" applyFill="1"/>
    <xf numFmtId="0" fontId="27" fillId="6" borderId="1" xfId="0" applyFont="1" applyFill="1" applyBorder="1" applyAlignment="1">
      <alignment horizontal="center" vertical="center"/>
    </xf>
    <xf numFmtId="0" fontId="0" fillId="0" borderId="0" xfId="0" applyAlignment="1">
      <alignment vertical="center"/>
    </xf>
    <xf numFmtId="0" fontId="9" fillId="0" borderId="0" xfId="0" applyFont="1" applyAlignment="1">
      <alignment vertical="center"/>
    </xf>
    <xf numFmtId="0" fontId="13" fillId="0" borderId="0" xfId="0" applyFont="1" applyAlignment="1">
      <alignment vertical="center"/>
    </xf>
    <xf numFmtId="10" fontId="25" fillId="7" borderId="12" xfId="0" applyNumberFormat="1" applyFont="1" applyFill="1" applyBorder="1" applyAlignment="1">
      <alignment horizontal="center" vertical="center"/>
    </xf>
    <xf numFmtId="10" fontId="25" fillId="4" borderId="12" xfId="4" applyNumberFormat="1" applyFont="1" applyFill="1" applyBorder="1" applyAlignment="1" applyProtection="1">
      <alignment horizontal="center" vertical="center"/>
      <protection locked="0"/>
    </xf>
    <xf numFmtId="0" fontId="52" fillId="0" borderId="0" xfId="0" applyFont="1" applyAlignment="1" applyProtection="1">
      <alignment vertical="center" wrapText="1"/>
      <protection locked="0"/>
    </xf>
    <xf numFmtId="0" fontId="13" fillId="0" borderId="0" xfId="0" applyFont="1" applyAlignment="1" applyProtection="1">
      <alignment vertical="center" wrapText="1"/>
      <protection locked="0"/>
    </xf>
    <xf numFmtId="1" fontId="55" fillId="0" borderId="0" xfId="0" applyNumberFormat="1" applyFont="1" applyAlignment="1">
      <alignment horizontal="center"/>
    </xf>
    <xf numFmtId="10" fontId="55" fillId="4" borderId="1" xfId="4" applyNumberFormat="1" applyFont="1" applyFill="1" applyBorder="1" applyAlignment="1" applyProtection="1">
      <alignment horizontal="center" vertical="center"/>
      <protection locked="0"/>
    </xf>
    <xf numFmtId="0" fontId="24" fillId="0" borderId="0" xfId="0" applyFont="1" applyAlignment="1">
      <alignment horizontal="center" vertical="center" wrapText="1"/>
    </xf>
    <xf numFmtId="2" fontId="9" fillId="17" borderId="0" xfId="0" applyNumberFormat="1" applyFont="1" applyFill="1" applyAlignment="1">
      <alignment horizontal="center"/>
    </xf>
    <xf numFmtId="0" fontId="9" fillId="0" borderId="0" xfId="0" applyFont="1" applyAlignment="1" applyProtection="1">
      <alignment horizontal="center"/>
      <protection hidden="1"/>
    </xf>
    <xf numFmtId="9" fontId="9" fillId="0" borderId="0" xfId="0" applyNumberFormat="1" applyFont="1" applyProtection="1">
      <protection hidden="1"/>
    </xf>
    <xf numFmtId="10" fontId="9" fillId="0" borderId="0" xfId="0" applyNumberFormat="1" applyFont="1" applyProtection="1">
      <protection hidden="1"/>
    </xf>
    <xf numFmtId="1" fontId="29" fillId="0" borderId="0" xfId="0" applyNumberFormat="1" applyFont="1" applyAlignment="1">
      <alignment horizontal="center" vertical="center" wrapText="1"/>
    </xf>
    <xf numFmtId="10" fontId="70" fillId="0" borderId="0" xfId="0" applyNumberFormat="1" applyFont="1" applyAlignment="1">
      <alignment horizontal="center" vertical="center"/>
    </xf>
    <xf numFmtId="3" fontId="25" fillId="0" borderId="0" xfId="0" applyNumberFormat="1" applyFont="1"/>
    <xf numFmtId="1" fontId="59" fillId="0" borderId="0" xfId="0" applyNumberFormat="1" applyFont="1" applyAlignment="1">
      <alignment vertical="center"/>
    </xf>
    <xf numFmtId="0" fontId="3" fillId="0" borderId="0" xfId="68"/>
    <xf numFmtId="0" fontId="56" fillId="0" borderId="0" xfId="68" applyFont="1"/>
    <xf numFmtId="0" fontId="56" fillId="0" borderId="53" xfId="68" applyFont="1" applyBorder="1"/>
    <xf numFmtId="3" fontId="56" fillId="0" borderId="0" xfId="68" applyNumberFormat="1" applyFont="1"/>
    <xf numFmtId="3" fontId="56" fillId="0" borderId="53" xfId="68" applyNumberFormat="1" applyFont="1" applyBorder="1"/>
    <xf numFmtId="0" fontId="3" fillId="0" borderId="0" xfId="69"/>
    <xf numFmtId="0" fontId="56" fillId="0" borderId="0" xfId="69" applyFont="1"/>
    <xf numFmtId="0" fontId="56" fillId="14" borderId="0" xfId="69" applyFont="1" applyFill="1"/>
    <xf numFmtId="0" fontId="56" fillId="13" borderId="0" xfId="69" applyFont="1" applyFill="1"/>
    <xf numFmtId="1" fontId="3" fillId="0" borderId="0" xfId="69" applyNumberFormat="1"/>
    <xf numFmtId="0" fontId="19" fillId="5" borderId="1" xfId="0" applyFont="1" applyFill="1" applyBorder="1" applyAlignment="1">
      <alignment horizontal="center" vertical="center" wrapText="1"/>
    </xf>
    <xf numFmtId="0" fontId="26" fillId="0" borderId="1" xfId="1" applyNumberFormat="1" applyFont="1" applyFill="1" applyBorder="1" applyAlignment="1" applyProtection="1">
      <alignment horizontal="center" vertical="center"/>
      <protection locked="0"/>
    </xf>
    <xf numFmtId="0" fontId="53" fillId="0" borderId="1" xfId="0" applyFont="1" applyBorder="1" applyAlignment="1">
      <alignment vertical="center"/>
    </xf>
    <xf numFmtId="0" fontId="3" fillId="0" borderId="0" xfId="69" applyAlignment="1">
      <alignment horizontal="right"/>
    </xf>
    <xf numFmtId="0" fontId="72" fillId="0" borderId="53" xfId="68" applyFont="1" applyBorder="1"/>
    <xf numFmtId="0" fontId="72" fillId="0" borderId="0" xfId="68" applyFont="1"/>
    <xf numFmtId="0" fontId="73" fillId="0" borderId="0" xfId="68" applyFont="1"/>
    <xf numFmtId="0" fontId="29" fillId="0" borderId="0" xfId="0" applyFont="1" applyAlignment="1" applyProtection="1">
      <alignment vertical="center" wrapText="1"/>
      <protection hidden="1"/>
    </xf>
    <xf numFmtId="0" fontId="29" fillId="0" borderId="0" xfId="0" applyFont="1"/>
    <xf numFmtId="1" fontId="27" fillId="0" borderId="0" xfId="53" applyNumberFormat="1" applyFont="1" applyFill="1" applyBorder="1" applyAlignment="1">
      <alignment horizontal="center" vertical="center"/>
    </xf>
    <xf numFmtId="1" fontId="25" fillId="0" borderId="0" xfId="53" applyNumberFormat="1" applyFont="1" applyFill="1" applyBorder="1" applyAlignment="1">
      <alignment horizontal="center" vertical="center"/>
    </xf>
    <xf numFmtId="1" fontId="55" fillId="0" borderId="0" xfId="53" applyNumberFormat="1" applyFont="1" applyFill="1" applyBorder="1" applyAlignment="1">
      <alignment horizontal="center" vertical="center"/>
    </xf>
    <xf numFmtId="3" fontId="55" fillId="0" borderId="0" xfId="53" applyNumberFormat="1" applyFont="1" applyFill="1" applyBorder="1" applyAlignment="1">
      <alignment horizontal="center" vertical="center"/>
    </xf>
    <xf numFmtId="3" fontId="24" fillId="0" borderId="0" xfId="53" applyNumberFormat="1" applyFont="1" applyFill="1" applyBorder="1" applyAlignment="1">
      <alignment horizontal="center" vertical="center"/>
    </xf>
    <xf numFmtId="0" fontId="27" fillId="0" borderId="0" xfId="0" applyFont="1" applyAlignment="1">
      <alignment horizontal="center" vertical="center" wrapText="1"/>
    </xf>
    <xf numFmtId="3" fontId="69" fillId="0" borderId="0" xfId="0" applyNumberFormat="1" applyFont="1" applyAlignment="1">
      <alignment horizontal="center" vertical="center"/>
    </xf>
    <xf numFmtId="0" fontId="74" fillId="0" borderId="0" xfId="0" applyFont="1"/>
    <xf numFmtId="0" fontId="75" fillId="0" borderId="0" xfId="0" applyFont="1" applyAlignment="1">
      <alignment horizontal="left" vertical="center"/>
    </xf>
    <xf numFmtId="0" fontId="29" fillId="2" borderId="0" xfId="0" applyFont="1" applyFill="1" applyAlignment="1">
      <alignment horizontal="center" vertical="center" wrapText="1"/>
    </xf>
    <xf numFmtId="0" fontId="30" fillId="2" borderId="0" xfId="0" applyFont="1" applyFill="1" applyAlignment="1">
      <alignment horizontal="center" vertical="center" wrapText="1"/>
    </xf>
    <xf numFmtId="1" fontId="29" fillId="2" borderId="0" xfId="0" applyNumberFormat="1" applyFont="1" applyFill="1" applyAlignment="1">
      <alignment horizontal="center" vertical="center" wrapText="1"/>
    </xf>
    <xf numFmtId="167"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0" fontId="24" fillId="7" borderId="15" xfId="0" applyFont="1" applyFill="1" applyBorder="1" applyAlignment="1">
      <alignment vertical="center"/>
    </xf>
    <xf numFmtId="3" fontId="24" fillId="2" borderId="15" xfId="4" applyNumberFormat="1" applyFont="1" applyFill="1" applyBorder="1" applyAlignment="1">
      <alignment vertical="center"/>
    </xf>
    <xf numFmtId="9" fontId="24" fillId="2" borderId="15" xfId="4" applyFont="1" applyFill="1" applyBorder="1" applyAlignment="1">
      <alignment vertical="center"/>
    </xf>
    <xf numFmtId="2" fontId="24" fillId="2" borderId="15" xfId="53" applyNumberFormat="1" applyFont="1" applyFill="1" applyBorder="1" applyAlignment="1">
      <alignment vertical="center"/>
    </xf>
    <xf numFmtId="10" fontId="70" fillId="0" borderId="0" xfId="4" applyNumberFormat="1" applyFont="1" applyAlignment="1" applyProtection="1">
      <alignment horizontal="center" vertical="center"/>
    </xf>
    <xf numFmtId="0" fontId="74" fillId="0" borderId="0" xfId="0" applyFont="1" applyAlignment="1">
      <alignment horizontal="center" vertical="center"/>
    </xf>
    <xf numFmtId="0" fontId="52" fillId="0" borderId="0" xfId="0" applyFont="1" applyAlignment="1">
      <alignment horizontal="center" vertical="center"/>
    </xf>
    <xf numFmtId="0" fontId="30" fillId="8" borderId="54" xfId="0" applyFont="1" applyFill="1" applyBorder="1" applyAlignment="1">
      <alignment horizontal="center" vertical="center" wrapText="1"/>
    </xf>
    <xf numFmtId="0" fontId="30" fillId="8" borderId="39" xfId="0" applyFont="1" applyFill="1" applyBorder="1" applyAlignment="1">
      <alignment horizontal="center" vertical="center" wrapText="1"/>
    </xf>
    <xf numFmtId="0" fontId="30" fillId="8" borderId="57" xfId="0" applyFont="1" applyFill="1" applyBorder="1" applyAlignment="1">
      <alignment horizontal="center" vertical="center" wrapText="1"/>
    </xf>
    <xf numFmtId="0" fontId="30" fillId="0" borderId="55" xfId="0" applyFont="1" applyBorder="1" applyAlignment="1">
      <alignment horizontal="center"/>
    </xf>
    <xf numFmtId="0" fontId="30" fillId="0" borderId="56" xfId="0" applyFont="1" applyBorder="1" applyAlignment="1">
      <alignment horizontal="center"/>
    </xf>
    <xf numFmtId="0" fontId="30" fillId="0" borderId="56" xfId="0" applyFont="1" applyBorder="1" applyAlignment="1">
      <alignment horizontal="center" vertical="center" wrapText="1"/>
    </xf>
    <xf numFmtId="9" fontId="30" fillId="0" borderId="56" xfId="0" applyNumberFormat="1" applyFont="1" applyBorder="1" applyAlignment="1">
      <alignment horizontal="center" vertical="center" wrapText="1"/>
    </xf>
    <xf numFmtId="167" fontId="27" fillId="0" borderId="56" xfId="0" applyNumberFormat="1" applyFont="1" applyBorder="1" applyAlignment="1">
      <alignment horizontal="center"/>
    </xf>
    <xf numFmtId="169" fontId="27" fillId="0" borderId="56" xfId="0" applyNumberFormat="1" applyFont="1" applyBorder="1" applyAlignment="1">
      <alignment horizontal="center"/>
    </xf>
    <xf numFmtId="167" fontId="27" fillId="0" borderId="58" xfId="0" applyNumberFormat="1" applyFont="1" applyBorder="1" applyAlignment="1">
      <alignment horizontal="center"/>
    </xf>
    <xf numFmtId="0" fontId="30" fillId="15" borderId="39" xfId="0" applyFont="1" applyFill="1" applyBorder="1" applyAlignment="1">
      <alignment horizontal="center" vertical="center" wrapText="1"/>
    </xf>
    <xf numFmtId="0" fontId="30" fillId="9" borderId="57" xfId="0" applyFont="1" applyFill="1" applyBorder="1" applyAlignment="1">
      <alignment horizontal="center" vertical="center" wrapText="1"/>
    </xf>
    <xf numFmtId="14" fontId="30" fillId="0" borderId="56" xfId="0" applyNumberFormat="1" applyFont="1" applyBorder="1" applyAlignment="1">
      <alignment horizontal="center" vertical="center" wrapText="1"/>
    </xf>
    <xf numFmtId="10" fontId="30" fillId="0" borderId="56" xfId="0" applyNumberFormat="1" applyFont="1" applyBorder="1" applyAlignment="1">
      <alignment horizontal="center"/>
    </xf>
    <xf numFmtId="9" fontId="30" fillId="0" borderId="56" xfId="0" applyNumberFormat="1" applyFont="1" applyBorder="1" applyAlignment="1">
      <alignment horizontal="center"/>
    </xf>
    <xf numFmtId="0" fontId="2" fillId="0" borderId="0" xfId="69" applyFont="1"/>
    <xf numFmtId="9" fontId="25" fillId="0" borderId="0" xfId="0" applyNumberFormat="1" applyFont="1" applyAlignment="1">
      <alignment horizontal="center"/>
    </xf>
    <xf numFmtId="0" fontId="24" fillId="6" borderId="28" xfId="0" applyFont="1" applyFill="1" applyBorder="1" applyAlignment="1">
      <alignment horizontal="center" vertical="center"/>
    </xf>
    <xf numFmtId="9" fontId="24" fillId="6" borderId="15" xfId="4" applyFont="1" applyFill="1" applyBorder="1" applyAlignment="1">
      <alignment horizontal="center" vertical="center"/>
    </xf>
    <xf numFmtId="168" fontId="24" fillId="6" borderId="15" xfId="4" applyNumberFormat="1" applyFont="1" applyFill="1" applyBorder="1" applyAlignment="1">
      <alignment horizontal="center" vertical="center"/>
    </xf>
    <xf numFmtId="0" fontId="25" fillId="6" borderId="12" xfId="0" applyFont="1" applyFill="1" applyBorder="1" applyAlignment="1">
      <alignment horizontal="center" vertical="center"/>
    </xf>
    <xf numFmtId="0" fontId="25" fillId="6" borderId="1" xfId="0" applyFont="1" applyFill="1" applyBorder="1" applyAlignment="1">
      <alignment horizontal="center" vertical="center"/>
    </xf>
    <xf numFmtId="0" fontId="77" fillId="0" borderId="0" xfId="0" applyFont="1"/>
    <xf numFmtId="0" fontId="52" fillId="0" borderId="0" xfId="0" applyFont="1" applyAlignment="1" applyProtection="1">
      <alignment vertical="center"/>
      <protection hidden="1"/>
    </xf>
    <xf numFmtId="0" fontId="29" fillId="6" borderId="0" xfId="0" applyFont="1" applyFill="1" applyAlignment="1">
      <alignment horizontal="center" vertical="center"/>
    </xf>
    <xf numFmtId="0" fontId="29" fillId="2" borderId="0" xfId="0" applyFont="1" applyFill="1" applyAlignment="1">
      <alignment horizontal="center" vertical="center"/>
    </xf>
    <xf numFmtId="0" fontId="30" fillId="2" borderId="0" xfId="0" applyFont="1" applyFill="1" applyAlignment="1">
      <alignment horizontal="center" vertical="center"/>
    </xf>
    <xf numFmtId="167" fontId="9" fillId="6" borderId="0" xfId="0" applyNumberFormat="1" applyFont="1" applyFill="1" applyAlignment="1">
      <alignment horizontal="center" vertical="center"/>
    </xf>
    <xf numFmtId="1" fontId="29" fillId="2" borderId="0" xfId="0" applyNumberFormat="1" applyFont="1" applyFill="1" applyAlignment="1">
      <alignment horizontal="center" vertical="center"/>
    </xf>
    <xf numFmtId="167" fontId="29" fillId="6" borderId="0" xfId="0" applyNumberFormat="1" applyFont="1" applyFill="1" applyAlignment="1">
      <alignment horizontal="center" vertical="center"/>
    </xf>
    <xf numFmtId="167" fontId="27" fillId="6" borderId="0" xfId="0" applyNumberFormat="1" applyFont="1" applyFill="1" applyAlignment="1">
      <alignment horizontal="center" vertical="center"/>
    </xf>
    <xf numFmtId="9" fontId="29" fillId="2" borderId="0" xfId="4" applyFont="1" applyFill="1" applyAlignment="1" applyProtection="1">
      <alignment horizontal="center" vertical="center"/>
    </xf>
    <xf numFmtId="9" fontId="29" fillId="2" borderId="0" xfId="4" applyFont="1" applyFill="1" applyBorder="1" applyAlignment="1" applyProtection="1">
      <alignment horizontal="center" vertical="center"/>
    </xf>
    <xf numFmtId="9" fontId="30" fillId="6" borderId="0" xfId="4" applyFont="1" applyFill="1" applyBorder="1" applyAlignment="1" applyProtection="1">
      <alignment horizontal="center" vertical="center"/>
    </xf>
    <xf numFmtId="9" fontId="30" fillId="2" borderId="0" xfId="4" applyFont="1" applyFill="1" applyBorder="1" applyAlignment="1" applyProtection="1">
      <alignment horizontal="center" vertical="center"/>
    </xf>
    <xf numFmtId="0" fontId="29" fillId="2" borderId="0" xfId="0" applyFont="1" applyFill="1" applyAlignment="1">
      <alignment horizontal="left" vertical="center"/>
    </xf>
    <xf numFmtId="170" fontId="29" fillId="2" borderId="0" xfId="0" applyNumberFormat="1" applyFont="1" applyFill="1" applyAlignment="1">
      <alignment horizontal="center" vertical="center"/>
    </xf>
    <xf numFmtId="0" fontId="29" fillId="0" borderId="0" xfId="0" applyFont="1" applyAlignment="1" applyProtection="1">
      <alignment vertical="center"/>
      <protection hidden="1"/>
    </xf>
    <xf numFmtId="0" fontId="29" fillId="6" borderId="0" xfId="0" applyFont="1" applyFill="1" applyAlignment="1">
      <alignment horizontal="left" vertical="center"/>
    </xf>
    <xf numFmtId="0" fontId="30" fillId="6" borderId="0" xfId="0" applyFont="1" applyFill="1" applyAlignment="1">
      <alignment horizontal="center" vertical="center"/>
    </xf>
    <xf numFmtId="17" fontId="9" fillId="0" borderId="0" xfId="0" applyNumberFormat="1" applyFont="1"/>
    <xf numFmtId="2" fontId="9" fillId="0" borderId="0" xfId="1" applyNumberFormat="1" applyFont="1"/>
    <xf numFmtId="0" fontId="29" fillId="3" borderId="0" xfId="0" applyFont="1" applyFill="1" applyAlignment="1">
      <alignment horizontal="left" vertical="center"/>
    </xf>
    <xf numFmtId="0" fontId="29" fillId="3" borderId="0" xfId="0" applyFont="1" applyFill="1" applyAlignment="1">
      <alignment horizontal="center" vertical="center"/>
    </xf>
    <xf numFmtId="0" fontId="9" fillId="4" borderId="0" xfId="0" applyFont="1" applyFill="1" applyAlignment="1">
      <alignment horizontal="center" vertical="center"/>
    </xf>
    <xf numFmtId="177" fontId="30" fillId="3" borderId="0" xfId="1" applyNumberFormat="1" applyFont="1" applyFill="1" applyAlignment="1" applyProtection="1">
      <alignment horizontal="right" vertical="center"/>
      <protection locked="0"/>
    </xf>
    <xf numFmtId="0" fontId="29" fillId="3" borderId="0" xfId="0" applyFont="1" applyFill="1" applyAlignment="1" applyProtection="1">
      <alignment horizontal="left" vertical="center"/>
      <protection locked="0"/>
    </xf>
    <xf numFmtId="3" fontId="29" fillId="3" borderId="0" xfId="0" applyNumberFormat="1" applyFont="1" applyFill="1" applyAlignment="1" applyProtection="1">
      <alignment horizontal="left" vertical="center"/>
      <protection locked="0"/>
    </xf>
    <xf numFmtId="3" fontId="29" fillId="3" borderId="0" xfId="0" applyNumberFormat="1" applyFont="1" applyFill="1" applyAlignment="1" applyProtection="1">
      <alignment horizontal="center" vertical="center"/>
      <protection locked="0"/>
    </xf>
    <xf numFmtId="0" fontId="57" fillId="3" borderId="0" xfId="0" applyFont="1" applyFill="1" applyAlignment="1" applyProtection="1">
      <alignment horizontal="center" vertical="center"/>
      <protection locked="0"/>
    </xf>
    <xf numFmtId="0" fontId="29" fillId="3" borderId="0" xfId="0" applyFont="1" applyFill="1" applyAlignment="1" applyProtection="1">
      <alignment horizontal="center" vertical="center"/>
      <protection locked="0"/>
    </xf>
    <xf numFmtId="43" fontId="9" fillId="0" borderId="0" xfId="1" applyFont="1"/>
    <xf numFmtId="177" fontId="9" fillId="0" borderId="0" xfId="1" applyNumberFormat="1" applyFont="1"/>
    <xf numFmtId="0" fontId="9" fillId="20" borderId="0" xfId="0" applyFont="1" applyFill="1" applyAlignment="1" applyProtection="1">
      <alignment horizontal="center" vertical="center"/>
      <protection locked="0"/>
    </xf>
    <xf numFmtId="0" fontId="29" fillId="20" borderId="0" xfId="0" applyFont="1" applyFill="1" applyAlignment="1" applyProtection="1">
      <alignment horizontal="center" vertical="center"/>
      <protection locked="0"/>
    </xf>
    <xf numFmtId="0" fontId="52" fillId="0" borderId="0" xfId="0" applyFont="1" applyProtection="1">
      <protection hidden="1"/>
    </xf>
    <xf numFmtId="0" fontId="29" fillId="6" borderId="0" xfId="0" applyFont="1" applyFill="1" applyAlignment="1">
      <alignment horizontal="left" vertical="top"/>
    </xf>
    <xf numFmtId="0" fontId="29" fillId="20" borderId="0" xfId="0" applyFont="1" applyFill="1" applyAlignment="1" applyProtection="1">
      <alignment horizontal="left" vertical="center"/>
      <protection locked="0"/>
    </xf>
    <xf numFmtId="0" fontId="29" fillId="20" borderId="0" xfId="0" applyFont="1" applyFill="1" applyAlignment="1" applyProtection="1">
      <alignment horizontal="left" vertical="top"/>
      <protection locked="0"/>
    </xf>
    <xf numFmtId="0" fontId="29" fillId="19" borderId="0" xfId="0" applyFont="1" applyFill="1" applyAlignment="1" applyProtection="1">
      <alignment horizontal="center" vertical="center"/>
      <protection locked="0"/>
    </xf>
    <xf numFmtId="169" fontId="29" fillId="19" borderId="0" xfId="53" applyNumberFormat="1" applyFont="1" applyFill="1" applyBorder="1" applyAlignment="1" applyProtection="1">
      <alignment horizontal="center" vertical="center"/>
      <protection locked="0"/>
    </xf>
    <xf numFmtId="44" fontId="29" fillId="19" borderId="0" xfId="53" applyFont="1" applyFill="1" applyBorder="1" applyAlignment="1" applyProtection="1">
      <alignment horizontal="center" vertical="center"/>
      <protection locked="0"/>
    </xf>
    <xf numFmtId="2" fontId="29" fillId="19" borderId="0" xfId="0" applyNumberFormat="1" applyFont="1" applyFill="1" applyAlignment="1" applyProtection="1">
      <alignment horizontal="center" vertical="center"/>
      <protection locked="0"/>
    </xf>
    <xf numFmtId="169" fontId="29" fillId="19" borderId="0" xfId="53" applyNumberFormat="1" applyFont="1" applyFill="1" applyAlignment="1" applyProtection="1">
      <alignment horizontal="center" vertical="center"/>
      <protection locked="0"/>
    </xf>
    <xf numFmtId="3" fontId="29" fillId="19" borderId="0" xfId="0" applyNumberFormat="1" applyFont="1" applyFill="1" applyAlignment="1" applyProtection="1">
      <alignment horizontal="center" vertical="center"/>
      <protection locked="0"/>
    </xf>
    <xf numFmtId="0" fontId="57" fillId="19" borderId="0" xfId="0" applyFont="1" applyFill="1" applyAlignment="1" applyProtection="1">
      <alignment horizontal="center" vertical="center"/>
      <protection locked="0"/>
    </xf>
    <xf numFmtId="3" fontId="30" fillId="6" borderId="0" xfId="0" applyNumberFormat="1" applyFont="1" applyFill="1" applyAlignment="1">
      <alignment horizontal="center" vertical="center"/>
    </xf>
    <xf numFmtId="171" fontId="29" fillId="19" borderId="0" xfId="53" applyNumberFormat="1" applyFont="1" applyFill="1" applyBorder="1" applyAlignment="1" applyProtection="1">
      <alignment horizontal="center" vertical="center"/>
      <protection locked="0"/>
    </xf>
    <xf numFmtId="2" fontId="29" fillId="19" borderId="0" xfId="53" applyNumberFormat="1" applyFont="1" applyFill="1" applyBorder="1" applyAlignment="1" applyProtection="1">
      <alignment horizontal="center" vertical="center"/>
      <protection locked="0"/>
    </xf>
    <xf numFmtId="174" fontId="29" fillId="19" borderId="0" xfId="53" applyNumberFormat="1" applyFont="1" applyFill="1" applyBorder="1" applyAlignment="1" applyProtection="1">
      <alignment horizontal="center" vertical="center"/>
      <protection locked="0"/>
    </xf>
    <xf numFmtId="42" fontId="29" fillId="19" borderId="0" xfId="67" applyFont="1" applyFill="1" applyAlignment="1" applyProtection="1">
      <alignment horizontal="center" vertical="center"/>
      <protection locked="0"/>
    </xf>
    <xf numFmtId="173" fontId="29" fillId="19" borderId="0" xfId="53" applyNumberFormat="1" applyFont="1" applyFill="1" applyBorder="1" applyAlignment="1" applyProtection="1">
      <alignment horizontal="center" vertical="center"/>
      <protection locked="0"/>
    </xf>
    <xf numFmtId="1" fontId="29" fillId="6" borderId="0" xfId="0" applyNumberFormat="1" applyFont="1" applyFill="1" applyAlignment="1">
      <alignment horizontal="left" vertical="center"/>
    </xf>
    <xf numFmtId="0" fontId="71" fillId="19" borderId="0" xfId="0" applyFont="1" applyFill="1" applyAlignment="1" applyProtection="1">
      <alignment horizontal="center" vertical="center"/>
      <protection hidden="1"/>
    </xf>
    <xf numFmtId="0" fontId="30" fillId="19" borderId="0" xfId="0" applyFont="1" applyFill="1" applyAlignment="1">
      <alignment horizontal="center" vertical="center"/>
    </xf>
    <xf numFmtId="0" fontId="29" fillId="19" borderId="0" xfId="0" applyFont="1" applyFill="1" applyAlignment="1">
      <alignment horizontal="center" vertical="center"/>
    </xf>
    <xf numFmtId="9" fontId="29" fillId="19" borderId="0" xfId="0" applyNumberFormat="1" applyFont="1" applyFill="1" applyAlignment="1">
      <alignment horizontal="center" vertical="center"/>
    </xf>
    <xf numFmtId="10" fontId="29" fillId="20" borderId="0" xfId="0" applyNumberFormat="1" applyFont="1" applyFill="1" applyAlignment="1">
      <alignment horizontal="center" vertical="center"/>
    </xf>
    <xf numFmtId="10" fontId="29" fillId="19" borderId="0" xfId="0" applyNumberFormat="1" applyFont="1" applyFill="1" applyAlignment="1">
      <alignment horizontal="center" vertical="center"/>
    </xf>
    <xf numFmtId="10" fontId="29" fillId="6" borderId="0" xfId="0" applyNumberFormat="1" applyFont="1" applyFill="1" applyAlignment="1">
      <alignment horizontal="center" vertical="center"/>
    </xf>
    <xf numFmtId="10" fontId="30" fillId="6" borderId="0" xfId="0" applyNumberFormat="1" applyFont="1" applyFill="1" applyAlignment="1">
      <alignment horizontal="center" vertical="center"/>
    </xf>
    <xf numFmtId="10" fontId="29" fillId="19" borderId="39" xfId="4" applyNumberFormat="1" applyFont="1" applyFill="1" applyBorder="1" applyAlignment="1">
      <alignment horizontal="center" vertical="center"/>
    </xf>
    <xf numFmtId="14" fontId="29" fillId="19" borderId="39" xfId="0" applyNumberFormat="1" applyFont="1" applyFill="1" applyBorder="1" applyAlignment="1">
      <alignment horizontal="center" vertical="center"/>
    </xf>
    <xf numFmtId="10" fontId="29" fillId="6" borderId="39" xfId="4" applyNumberFormat="1" applyFont="1" applyFill="1" applyBorder="1" applyAlignment="1">
      <alignment horizontal="center" vertical="center"/>
    </xf>
    <xf numFmtId="10" fontId="29" fillId="6" borderId="39" xfId="4" applyNumberFormat="1" applyFont="1" applyFill="1" applyBorder="1" applyAlignment="1" applyProtection="1">
      <alignment horizontal="center" vertical="center"/>
      <protection locked="0"/>
    </xf>
    <xf numFmtId="0" fontId="29" fillId="19" borderId="0" xfId="20" applyFont="1" applyFill="1" applyAlignment="1" applyProtection="1">
      <alignment horizontal="left" vertical="top"/>
      <protection locked="0"/>
    </xf>
    <xf numFmtId="14" fontId="29" fillId="19" borderId="0" xfId="0" applyNumberFormat="1" applyFont="1" applyFill="1" applyAlignment="1">
      <alignment horizontal="center" vertical="center"/>
    </xf>
    <xf numFmtId="3" fontId="29" fillId="19" borderId="0" xfId="0" applyNumberFormat="1" applyFont="1" applyFill="1" applyAlignment="1">
      <alignment horizontal="center" vertical="center"/>
    </xf>
    <xf numFmtId="10" fontId="29" fillId="6" borderId="0" xfId="4" applyNumberFormat="1" applyFont="1" applyFill="1" applyBorder="1" applyAlignment="1" applyProtection="1">
      <alignment horizontal="center" vertical="center"/>
    </xf>
    <xf numFmtId="10" fontId="29" fillId="6" borderId="0" xfId="4" applyNumberFormat="1" applyFont="1" applyFill="1" applyAlignment="1" applyProtection="1">
      <alignment horizontal="center" vertical="center"/>
    </xf>
    <xf numFmtId="0" fontId="29" fillId="0" borderId="0" xfId="0" applyFont="1" applyAlignment="1">
      <alignment horizontal="center" vertical="center"/>
    </xf>
    <xf numFmtId="168" fontId="29" fillId="0" borderId="0" xfId="0" applyNumberFormat="1" applyFont="1" applyAlignment="1">
      <alignment horizontal="center"/>
    </xf>
    <xf numFmtId="10" fontId="29" fillId="0" borderId="0" xfId="0" applyNumberFormat="1" applyFont="1" applyAlignment="1">
      <alignment horizontal="center" vertical="center" wrapText="1"/>
    </xf>
    <xf numFmtId="0" fontId="56" fillId="0" borderId="0" xfId="0" applyFont="1"/>
    <xf numFmtId="0" fontId="56" fillId="0" borderId="53" xfId="0" applyFont="1" applyBorder="1"/>
    <xf numFmtId="167" fontId="30" fillId="2" borderId="0" xfId="0" applyNumberFormat="1" applyFont="1" applyFill="1" applyAlignment="1">
      <alignment horizontal="center" vertical="center"/>
    </xf>
    <xf numFmtId="3" fontId="29" fillId="0" borderId="0" xfId="0" applyNumberFormat="1" applyFont="1" applyAlignment="1">
      <alignment horizontal="center"/>
    </xf>
    <xf numFmtId="9" fontId="9" fillId="0" borderId="0" xfId="4" applyFont="1"/>
    <xf numFmtId="9" fontId="29" fillId="0" borderId="0" xfId="0" applyNumberFormat="1" applyFont="1" applyAlignment="1">
      <alignment horizontal="center" vertical="center" wrapText="1"/>
    </xf>
    <xf numFmtId="9" fontId="30" fillId="19" borderId="0" xfId="0" applyNumberFormat="1" applyFont="1" applyFill="1" applyAlignment="1">
      <alignment horizontal="center" vertical="center"/>
    </xf>
    <xf numFmtId="0" fontId="2" fillId="0" borderId="0" xfId="0" applyFont="1"/>
    <xf numFmtId="167" fontId="9" fillId="0" borderId="0" xfId="0" applyNumberFormat="1" applyFont="1" applyAlignment="1">
      <alignment horizontal="center"/>
    </xf>
    <xf numFmtId="167" fontId="27" fillId="0" borderId="0" xfId="0" applyNumberFormat="1" applyFont="1" applyAlignment="1">
      <alignment horizontal="center"/>
    </xf>
    <xf numFmtId="3" fontId="29" fillId="21" borderId="38" xfId="0" applyNumberFormat="1" applyFont="1" applyFill="1" applyBorder="1" applyAlignment="1">
      <alignment horizontal="right" vertical="center"/>
    </xf>
    <xf numFmtId="44" fontId="29" fillId="19" borderId="0" xfId="0" applyNumberFormat="1" applyFont="1" applyFill="1" applyAlignment="1" applyProtection="1">
      <alignment horizontal="center" vertical="center"/>
      <protection locked="0"/>
    </xf>
    <xf numFmtId="44" fontId="29" fillId="19" borderId="0" xfId="53" applyFont="1" applyFill="1" applyAlignment="1" applyProtection="1">
      <alignment horizontal="center" vertical="center"/>
      <protection locked="0"/>
    </xf>
    <xf numFmtId="0" fontId="30" fillId="6" borderId="0" xfId="0" applyFont="1" applyFill="1" applyAlignment="1">
      <alignment horizontal="center"/>
    </xf>
    <xf numFmtId="177" fontId="9" fillId="0" borderId="0" xfId="0" applyNumberFormat="1" applyFont="1"/>
    <xf numFmtId="44" fontId="9" fillId="0" borderId="0" xfId="53" applyFont="1"/>
    <xf numFmtId="0" fontId="9" fillId="19" borderId="0" xfId="0" applyFont="1" applyFill="1" applyAlignment="1" applyProtection="1">
      <alignment horizontal="center" vertical="center"/>
      <protection locked="0"/>
    </xf>
    <xf numFmtId="44" fontId="9" fillId="0" borderId="0" xfId="0" applyNumberFormat="1" applyFont="1"/>
    <xf numFmtId="10" fontId="29" fillId="20" borderId="39" xfId="0" applyNumberFormat="1" applyFont="1" applyFill="1" applyBorder="1" applyAlignment="1">
      <alignment horizontal="center" vertical="center"/>
    </xf>
    <xf numFmtId="0" fontId="29" fillId="3" borderId="39" xfId="0" applyFont="1" applyFill="1" applyBorder="1" applyAlignment="1">
      <alignment horizontal="left" vertical="center"/>
    </xf>
    <xf numFmtId="0" fontId="78" fillId="13" borderId="39" xfId="0" applyFont="1" applyFill="1" applyBorder="1" applyAlignment="1">
      <alignment horizontal="center" vertical="center" wrapText="1"/>
    </xf>
    <xf numFmtId="0" fontId="9" fillId="6" borderId="0" xfId="0" applyFont="1" applyFill="1" applyAlignment="1" applyProtection="1">
      <alignment horizontal="center" vertical="center" wrapText="1"/>
      <protection hidden="1"/>
    </xf>
    <xf numFmtId="1" fontId="9" fillId="6" borderId="0" xfId="0" applyNumberFormat="1" applyFont="1" applyFill="1" applyAlignment="1" applyProtection="1">
      <alignment horizontal="center" vertical="center" wrapText="1"/>
      <protection hidden="1"/>
    </xf>
    <xf numFmtId="1" fontId="9" fillId="2" borderId="0" xfId="0" applyNumberFormat="1" applyFont="1" applyFill="1" applyAlignment="1" applyProtection="1">
      <alignment horizontal="center" vertical="center" wrapText="1"/>
      <protection hidden="1"/>
    </xf>
    <xf numFmtId="167" fontId="30" fillId="6" borderId="0" xfId="0" applyNumberFormat="1" applyFont="1" applyFill="1" applyAlignment="1" applyProtection="1">
      <alignment horizontal="center" vertical="center" wrapText="1"/>
      <protection hidden="1"/>
    </xf>
    <xf numFmtId="167" fontId="27" fillId="6" borderId="0" xfId="0" applyNumberFormat="1" applyFont="1" applyFill="1" applyAlignment="1" applyProtection="1">
      <alignment horizontal="center" vertical="center" wrapText="1"/>
      <protection hidden="1"/>
    </xf>
    <xf numFmtId="167" fontId="9" fillId="6" borderId="0" xfId="0" applyNumberFormat="1" applyFont="1" applyFill="1" applyAlignment="1" applyProtection="1">
      <alignment horizontal="center" vertical="center" wrapText="1"/>
      <protection hidden="1"/>
    </xf>
    <xf numFmtId="0" fontId="57" fillId="0" borderId="0" xfId="0" applyFont="1" applyAlignment="1" applyProtection="1">
      <alignment vertical="center" wrapText="1"/>
      <protection hidden="1"/>
    </xf>
    <xf numFmtId="0" fontId="29" fillId="6" borderId="54" xfId="0" applyFont="1" applyFill="1" applyBorder="1" applyAlignment="1">
      <alignment horizontal="center" vertical="center" wrapText="1"/>
    </xf>
    <xf numFmtId="0" fontId="29" fillId="6" borderId="39" xfId="0" applyFont="1" applyFill="1" applyBorder="1" applyAlignment="1">
      <alignment horizontal="center" vertical="center" wrapText="1"/>
    </xf>
    <xf numFmtId="1" fontId="29" fillId="6" borderId="39" xfId="0" applyNumberFormat="1" applyFont="1" applyFill="1" applyBorder="1" applyAlignment="1">
      <alignment horizontal="center" vertical="center" wrapText="1"/>
    </xf>
    <xf numFmtId="0" fontId="71" fillId="2" borderId="39" xfId="0" applyFont="1" applyFill="1" applyBorder="1" applyAlignment="1">
      <alignment horizontal="center" vertical="center" wrapText="1"/>
    </xf>
    <xf numFmtId="0" fontId="29" fillId="2" borderId="39" xfId="0" applyFont="1" applyFill="1" applyBorder="1" applyAlignment="1">
      <alignment horizontal="center" vertical="center" wrapText="1"/>
    </xf>
    <xf numFmtId="9" fontId="30" fillId="2" borderId="39" xfId="4" applyFont="1" applyFill="1" applyBorder="1" applyAlignment="1">
      <alignment horizontal="center" vertical="center" wrapText="1"/>
    </xf>
    <xf numFmtId="2" fontId="29" fillId="2" borderId="39" xfId="0" applyNumberFormat="1" applyFont="1" applyFill="1" applyBorder="1" applyAlignment="1">
      <alignment horizontal="center" vertical="center" wrapText="1"/>
    </xf>
    <xf numFmtId="0" fontId="30" fillId="2" borderId="39" xfId="0" applyFont="1" applyFill="1" applyBorder="1" applyAlignment="1">
      <alignment horizontal="center" vertical="center" wrapText="1"/>
    </xf>
    <xf numFmtId="0" fontId="30" fillId="6" borderId="39" xfId="0" applyFont="1" applyFill="1" applyBorder="1" applyAlignment="1">
      <alignment horizontal="center" vertical="center" wrapText="1"/>
    </xf>
    <xf numFmtId="9" fontId="29" fillId="6" borderId="39" xfId="0" applyNumberFormat="1" applyFont="1" applyFill="1" applyBorder="1" applyAlignment="1">
      <alignment horizontal="center" vertical="center" wrapText="1"/>
    </xf>
    <xf numFmtId="167" fontId="9" fillId="6" borderId="39" xfId="0" applyNumberFormat="1" applyFont="1" applyFill="1" applyBorder="1" applyAlignment="1">
      <alignment horizontal="center" vertical="center" wrapText="1"/>
    </xf>
    <xf numFmtId="167" fontId="27" fillId="6" borderId="39" xfId="0" applyNumberFormat="1" applyFont="1" applyFill="1" applyBorder="1" applyAlignment="1">
      <alignment horizontal="center" vertical="center" wrapText="1"/>
    </xf>
    <xf numFmtId="175" fontId="29" fillId="2" borderId="39" xfId="0" applyNumberFormat="1" applyFont="1" applyFill="1" applyBorder="1" applyAlignment="1">
      <alignment horizontal="center" vertical="center" wrapText="1"/>
    </xf>
    <xf numFmtId="175" fontId="30" fillId="2" borderId="39" xfId="0" applyNumberFormat="1" applyFont="1" applyFill="1" applyBorder="1" applyAlignment="1">
      <alignment horizontal="center" vertical="center" wrapText="1"/>
    </xf>
    <xf numFmtId="0" fontId="9" fillId="6" borderId="39" xfId="0" applyFont="1" applyFill="1" applyBorder="1" applyAlignment="1">
      <alignment horizontal="center" vertical="center" wrapText="1"/>
    </xf>
    <xf numFmtId="167" fontId="30" fillId="6" borderId="39" xfId="0" applyNumberFormat="1" applyFont="1" applyFill="1" applyBorder="1" applyAlignment="1">
      <alignment horizontal="center" vertical="center" wrapText="1"/>
    </xf>
    <xf numFmtId="169" fontId="9" fillId="6" borderId="39" xfId="53" applyNumberFormat="1" applyFont="1" applyFill="1" applyBorder="1" applyAlignment="1">
      <alignment horizontal="center" vertical="center" wrapText="1"/>
    </xf>
    <xf numFmtId="167" fontId="9" fillId="6" borderId="39" xfId="0" applyNumberFormat="1" applyFont="1" applyFill="1" applyBorder="1" applyAlignment="1">
      <alignment vertical="center" wrapText="1"/>
    </xf>
    <xf numFmtId="167" fontId="9" fillId="6" borderId="57" xfId="0" applyNumberFormat="1" applyFont="1" applyFill="1" applyBorder="1" applyAlignment="1">
      <alignment horizontal="center" vertical="center" wrapText="1"/>
    </xf>
    <xf numFmtId="10" fontId="29" fillId="6" borderId="42" xfId="4" applyNumberFormat="1" applyFont="1" applyFill="1" applyBorder="1" applyAlignment="1">
      <alignment horizontal="center" vertical="center" wrapText="1"/>
    </xf>
    <xf numFmtId="10" fontId="29" fillId="6" borderId="43" xfId="4" applyNumberFormat="1" applyFont="1" applyFill="1" applyBorder="1" applyAlignment="1">
      <alignment horizontal="center" vertical="center" wrapText="1"/>
    </xf>
    <xf numFmtId="10" fontId="30" fillId="6" borderId="43" xfId="4" applyNumberFormat="1" applyFont="1" applyFill="1" applyBorder="1" applyAlignment="1">
      <alignment horizontal="center" vertical="center" wrapText="1"/>
    </xf>
    <xf numFmtId="10" fontId="29" fillId="6" borderId="44" xfId="4" applyNumberFormat="1" applyFont="1" applyFill="1" applyBorder="1" applyAlignment="1">
      <alignment horizontal="center" vertical="center" wrapText="1"/>
    </xf>
    <xf numFmtId="10" fontId="30" fillId="6" borderId="45" xfId="4" applyNumberFormat="1" applyFont="1" applyFill="1" applyBorder="1" applyAlignment="1">
      <alignment horizontal="center" vertical="center" wrapText="1"/>
    </xf>
    <xf numFmtId="0" fontId="13" fillId="0" borderId="0" xfId="0" applyFont="1" applyAlignment="1" applyProtection="1">
      <alignment vertical="center" wrapText="1"/>
      <protection hidden="1"/>
    </xf>
    <xf numFmtId="0" fontId="52" fillId="0" borderId="0" xfId="0" applyFont="1" applyAlignment="1">
      <alignment vertical="center" wrapText="1"/>
    </xf>
    <xf numFmtId="1" fontId="29" fillId="2" borderId="39" xfId="0" applyNumberFormat="1" applyFont="1" applyFill="1" applyBorder="1" applyAlignment="1">
      <alignment horizontal="center" vertical="center" wrapText="1"/>
    </xf>
    <xf numFmtId="167" fontId="29" fillId="2" borderId="39" xfId="0" applyNumberFormat="1" applyFont="1" applyFill="1" applyBorder="1" applyAlignment="1">
      <alignment horizontal="center" vertical="center" wrapText="1"/>
    </xf>
    <xf numFmtId="10" fontId="29" fillId="6" borderId="42" xfId="4" applyNumberFormat="1" applyFont="1" applyFill="1" applyBorder="1" applyAlignment="1" applyProtection="1">
      <alignment horizontal="center" vertical="center" wrapText="1"/>
    </xf>
    <xf numFmtId="10" fontId="29" fillId="6" borderId="43" xfId="4" applyNumberFormat="1" applyFont="1" applyFill="1" applyBorder="1" applyAlignment="1" applyProtection="1">
      <alignment horizontal="center" vertical="center" wrapText="1"/>
    </xf>
    <xf numFmtId="10" fontId="30" fillId="6" borderId="43" xfId="4" applyNumberFormat="1" applyFont="1" applyFill="1" applyBorder="1" applyAlignment="1" applyProtection="1">
      <alignment horizontal="center" vertical="center" wrapText="1"/>
    </xf>
    <xf numFmtId="10" fontId="30" fillId="6" borderId="45" xfId="4" applyNumberFormat="1" applyFont="1" applyFill="1" applyBorder="1" applyAlignment="1" applyProtection="1">
      <alignment horizontal="center" vertical="center" wrapText="1"/>
    </xf>
    <xf numFmtId="1" fontId="30" fillId="2" borderId="39" xfId="0" applyNumberFormat="1" applyFont="1" applyFill="1" applyBorder="1" applyAlignment="1">
      <alignment horizontal="center" vertical="center" wrapText="1"/>
    </xf>
    <xf numFmtId="0" fontId="52" fillId="0" borderId="0" xfId="0" applyFont="1" applyAlignment="1">
      <alignment horizontal="center" vertical="center" wrapText="1"/>
    </xf>
    <xf numFmtId="174" fontId="30" fillId="2" borderId="0" xfId="0" applyNumberFormat="1" applyFont="1" applyFill="1" applyAlignment="1">
      <alignment horizontal="center" vertical="center" wrapText="1"/>
    </xf>
    <xf numFmtId="1" fontId="30" fillId="6" borderId="0" xfId="0" applyNumberFormat="1" applyFont="1" applyFill="1" applyAlignment="1">
      <alignment horizontal="center" vertical="center" wrapText="1"/>
    </xf>
    <xf numFmtId="167" fontId="27" fillId="6" borderId="0" xfId="0" applyNumberFormat="1" applyFont="1" applyFill="1" applyAlignment="1">
      <alignment horizontal="center" vertical="center" wrapText="1"/>
    </xf>
    <xf numFmtId="0" fontId="13" fillId="0" borderId="0" xfId="0" applyFont="1" applyAlignment="1">
      <alignment horizontal="center" vertical="center" wrapText="1"/>
    </xf>
    <xf numFmtId="1" fontId="30" fillId="2" borderId="0" xfId="0" applyNumberFormat="1" applyFont="1" applyFill="1" applyAlignment="1">
      <alignment horizontal="center" vertical="center" wrapText="1"/>
    </xf>
    <xf numFmtId="0" fontId="29" fillId="2" borderId="0" xfId="4" applyNumberFormat="1" applyFont="1" applyFill="1" applyAlignment="1" applyProtection="1">
      <alignment horizontal="center" vertical="center" wrapText="1"/>
    </xf>
    <xf numFmtId="1" fontId="29" fillId="2" borderId="0" xfId="4" applyNumberFormat="1" applyFont="1" applyFill="1" applyBorder="1" applyAlignment="1" applyProtection="1">
      <alignment horizontal="center" vertical="center" wrapText="1"/>
    </xf>
    <xf numFmtId="1" fontId="30" fillId="2" borderId="0" xfId="4" applyNumberFormat="1" applyFont="1" applyFill="1" applyBorder="1" applyAlignment="1" applyProtection="1">
      <alignment horizontal="center" vertical="center" wrapText="1"/>
    </xf>
    <xf numFmtId="1" fontId="29" fillId="2" borderId="0" xfId="4" applyNumberFormat="1" applyFont="1" applyFill="1" applyAlignment="1" applyProtection="1">
      <alignment horizontal="center" vertical="center" wrapText="1"/>
    </xf>
    <xf numFmtId="0" fontId="30" fillId="2" borderId="0" xfId="4" applyNumberFormat="1" applyFont="1" applyFill="1" applyAlignment="1" applyProtection="1">
      <alignment horizontal="center" vertical="center" wrapText="1"/>
    </xf>
    <xf numFmtId="1" fontId="30" fillId="6" borderId="0" xfId="4" applyNumberFormat="1" applyFont="1" applyFill="1" applyBorder="1" applyAlignment="1" applyProtection="1">
      <alignment horizontal="center" vertical="center" wrapText="1"/>
    </xf>
    <xf numFmtId="10" fontId="30" fillId="22" borderId="39" xfId="4" applyNumberFormat="1" applyFont="1" applyFill="1" applyBorder="1" applyAlignment="1">
      <alignment horizontal="center" vertical="center"/>
    </xf>
    <xf numFmtId="10" fontId="30" fillId="22" borderId="57" xfId="4" applyNumberFormat="1" applyFont="1" applyFill="1" applyBorder="1" applyAlignment="1">
      <alignment horizontal="center" vertical="center"/>
    </xf>
    <xf numFmtId="0" fontId="29" fillId="3" borderId="0" xfId="20" applyFont="1" applyFill="1" applyAlignment="1">
      <alignment horizontal="center" vertical="center" wrapText="1"/>
    </xf>
    <xf numFmtId="0" fontId="71" fillId="19" borderId="0" xfId="0" applyFont="1" applyFill="1" applyAlignment="1" applyProtection="1">
      <alignment horizontal="center" vertical="center" wrapText="1"/>
      <protection hidden="1"/>
    </xf>
    <xf numFmtId="3" fontId="30" fillId="22" borderId="0" xfId="0" applyNumberFormat="1" applyFont="1" applyFill="1" applyAlignment="1">
      <alignment horizontal="center" vertical="center"/>
    </xf>
    <xf numFmtId="0" fontId="29" fillId="3" borderId="39" xfId="0" applyFont="1" applyFill="1" applyBorder="1" applyAlignment="1">
      <alignment horizontal="left" vertical="top"/>
    </xf>
    <xf numFmtId="10" fontId="30" fillId="22" borderId="0" xfId="0" applyNumberFormat="1" applyFont="1" applyFill="1" applyAlignment="1">
      <alignment horizontal="center" vertical="center"/>
    </xf>
    <xf numFmtId="10" fontId="29" fillId="22" borderId="0" xfId="0" applyNumberFormat="1" applyFont="1" applyFill="1" applyAlignment="1">
      <alignment horizontal="center" vertical="center"/>
    </xf>
    <xf numFmtId="0" fontId="29" fillId="22" borderId="0" xfId="0" applyFont="1" applyFill="1" applyAlignment="1">
      <alignment horizontal="center" vertical="center"/>
    </xf>
    <xf numFmtId="168" fontId="30" fillId="22" borderId="0" xfId="4" applyNumberFormat="1" applyFont="1" applyFill="1" applyBorder="1" applyAlignment="1" applyProtection="1">
      <alignment horizontal="center" vertical="center"/>
    </xf>
    <xf numFmtId="0" fontId="30" fillId="22" borderId="0" xfId="0" applyFont="1" applyFill="1" applyAlignment="1">
      <alignment horizontal="left" vertical="center"/>
    </xf>
    <xf numFmtId="3" fontId="29" fillId="23" borderId="0" xfId="0" applyNumberFormat="1" applyFont="1" applyFill="1" applyAlignment="1">
      <alignment horizontal="center" vertical="center"/>
    </xf>
    <xf numFmtId="3" fontId="29" fillId="3" borderId="0" xfId="0" applyNumberFormat="1" applyFont="1" applyFill="1" applyAlignment="1" applyProtection="1">
      <alignment horizontal="right" vertical="center"/>
      <protection locked="0"/>
    </xf>
    <xf numFmtId="0" fontId="29" fillId="19" borderId="0" xfId="20" applyFont="1" applyFill="1" applyAlignment="1" applyProtection="1">
      <alignment horizontal="left" vertical="center" wrapText="1"/>
      <protection locked="0"/>
    </xf>
    <xf numFmtId="3" fontId="29" fillId="23" borderId="0" xfId="0" applyNumberFormat="1" applyFont="1" applyFill="1" applyAlignment="1" applyProtection="1">
      <alignment horizontal="center" vertical="center"/>
      <protection locked="0"/>
    </xf>
    <xf numFmtId="3" fontId="9" fillId="0" borderId="0" xfId="0" applyNumberFormat="1" applyFont="1"/>
    <xf numFmtId="0" fontId="29" fillId="3" borderId="59" xfId="0" applyFont="1" applyFill="1" applyBorder="1"/>
    <xf numFmtId="0" fontId="29" fillId="3" borderId="38" xfId="0" applyFont="1" applyFill="1" applyBorder="1"/>
    <xf numFmtId="0" fontId="79" fillId="3" borderId="38" xfId="0" applyFont="1" applyFill="1" applyBorder="1"/>
    <xf numFmtId="0" fontId="80" fillId="3" borderId="38" xfId="0" applyFont="1" applyFill="1" applyBorder="1"/>
    <xf numFmtId="0" fontId="80" fillId="3" borderId="60" xfId="0" applyFont="1" applyFill="1" applyBorder="1"/>
    <xf numFmtId="0" fontId="80" fillId="3" borderId="38" xfId="0" applyFont="1" applyFill="1" applyBorder="1" applyAlignment="1">
      <alignment wrapText="1"/>
    </xf>
    <xf numFmtId="1" fontId="9" fillId="0" borderId="0" xfId="4" applyNumberFormat="1" applyFont="1"/>
    <xf numFmtId="43" fontId="9" fillId="0" borderId="0" xfId="4" applyNumberFormat="1" applyFont="1"/>
    <xf numFmtId="43" fontId="9" fillId="0" borderId="0" xfId="1" applyNumberFormat="1" applyFont="1"/>
    <xf numFmtId="0" fontId="83" fillId="0" borderId="0" xfId="0" applyFont="1" applyAlignment="1">
      <alignment horizontal="center" vertical="center" wrapText="1"/>
    </xf>
    <xf numFmtId="0" fontId="83" fillId="0" borderId="0" xfId="0" applyFont="1" applyAlignment="1">
      <alignment horizontal="left" vertical="center" wrapText="1"/>
    </xf>
    <xf numFmtId="0" fontId="83" fillId="0" borderId="0" xfId="0" applyFont="1" applyAlignment="1">
      <alignment horizontal="center"/>
    </xf>
    <xf numFmtId="0" fontId="83" fillId="19" borderId="0" xfId="0" applyFont="1" applyFill="1" applyAlignment="1" applyProtection="1">
      <alignment horizontal="center" vertical="center" wrapText="1"/>
      <protection locked="0"/>
    </xf>
    <xf numFmtId="169" fontId="83" fillId="0" borderId="0" xfId="0" applyNumberFormat="1" applyFont="1" applyAlignment="1">
      <alignment horizontal="center"/>
    </xf>
    <xf numFmtId="172" fontId="83" fillId="0" borderId="0" xfId="0" applyNumberFormat="1" applyFont="1" applyAlignment="1">
      <alignment horizontal="center"/>
    </xf>
    <xf numFmtId="176" fontId="83" fillId="0" borderId="0" xfId="0" applyNumberFormat="1" applyFont="1" applyAlignment="1">
      <alignment horizontal="center"/>
    </xf>
    <xf numFmtId="0" fontId="83" fillId="0" borderId="0" xfId="0" applyFont="1" applyAlignment="1">
      <alignment horizontal="right"/>
    </xf>
    <xf numFmtId="3" fontId="83" fillId="0" borderId="0" xfId="0" applyNumberFormat="1" applyFont="1" applyAlignment="1">
      <alignment horizontal="center"/>
    </xf>
    <xf numFmtId="0" fontId="1" fillId="0" borderId="0" xfId="69" applyFont="1"/>
    <xf numFmtId="0" fontId="28" fillId="0" borderId="1" xfId="18" applyFont="1" applyBorder="1" applyAlignment="1">
      <alignment horizontal="center"/>
    </xf>
    <xf numFmtId="0" fontId="50" fillId="0" borderId="1" xfId="18" applyFont="1" applyBorder="1" applyAlignment="1">
      <alignment horizontal="center" vertical="center" wrapText="1"/>
    </xf>
    <xf numFmtId="0" fontId="43" fillId="6" borderId="0" xfId="18" applyFont="1" applyFill="1" applyAlignment="1" applyProtection="1">
      <alignment horizontal="left"/>
      <protection hidden="1"/>
    </xf>
    <xf numFmtId="0" fontId="40" fillId="6" borderId="0" xfId="18" applyFont="1" applyFill="1" applyAlignment="1" applyProtection="1">
      <alignment horizontal="center" vertical="center" wrapText="1"/>
      <protection hidden="1"/>
    </xf>
    <xf numFmtId="0" fontId="41" fillId="0" borderId="0" xfId="18" applyFont="1" applyAlignment="1" applyProtection="1">
      <alignment horizontal="center" vertical="center" wrapText="1"/>
      <protection hidden="1"/>
    </xf>
    <xf numFmtId="0" fontId="50" fillId="0" borderId="14" xfId="18" applyFont="1" applyBorder="1" applyAlignment="1">
      <alignment horizontal="left" vertical="center" wrapText="1"/>
    </xf>
    <xf numFmtId="0" fontId="50" fillId="0" borderId="15" xfId="18" applyFont="1" applyBorder="1" applyAlignment="1">
      <alignment horizontal="left" vertical="center" wrapText="1"/>
    </xf>
    <xf numFmtId="0" fontId="50" fillId="0" borderId="16" xfId="18" applyFont="1" applyBorder="1" applyAlignment="1">
      <alignment horizontal="left" vertical="center" wrapText="1"/>
    </xf>
    <xf numFmtId="0" fontId="51" fillId="0" borderId="14" xfId="18" applyFont="1" applyBorder="1" applyAlignment="1">
      <alignment horizontal="left" vertical="center" wrapText="1"/>
    </xf>
    <xf numFmtId="0" fontId="51" fillId="0" borderId="15" xfId="18" applyFont="1" applyBorder="1" applyAlignment="1">
      <alignment horizontal="left" vertical="center" wrapText="1"/>
    </xf>
    <xf numFmtId="0" fontId="51" fillId="0" borderId="16" xfId="18" applyFont="1" applyBorder="1" applyAlignment="1">
      <alignment horizontal="left" vertical="center" wrapText="1"/>
    </xf>
    <xf numFmtId="0" fontId="54" fillId="5" borderId="27" xfId="0" applyFont="1" applyFill="1" applyBorder="1" applyAlignment="1">
      <alignment horizontal="center"/>
    </xf>
    <xf numFmtId="0" fontId="54" fillId="5" borderId="28" xfId="0" applyFont="1" applyFill="1" applyBorder="1" applyAlignment="1">
      <alignment horizontal="center"/>
    </xf>
    <xf numFmtId="0" fontId="54" fillId="5" borderId="29" xfId="0" applyFont="1" applyFill="1" applyBorder="1" applyAlignment="1">
      <alignment horizontal="center"/>
    </xf>
    <xf numFmtId="0" fontId="28" fillId="0" borderId="13" xfId="18" applyFont="1" applyBorder="1" applyAlignment="1">
      <alignment horizontal="center"/>
    </xf>
    <xf numFmtId="0" fontId="28" fillId="0" borderId="31" xfId="18" applyFont="1" applyBorder="1" applyAlignment="1">
      <alignment horizontal="center"/>
    </xf>
    <xf numFmtId="0" fontId="28" fillId="0" borderId="12" xfId="18" applyFont="1" applyBorder="1" applyAlignment="1">
      <alignment horizontal="center"/>
    </xf>
    <xf numFmtId="0" fontId="59" fillId="2" borderId="1" xfId="0" applyFont="1" applyFill="1" applyBorder="1" applyAlignment="1">
      <alignment horizontal="center" vertical="center"/>
    </xf>
    <xf numFmtId="3" fontId="24" fillId="6" borderId="15" xfId="53" applyNumberFormat="1" applyFont="1" applyFill="1" applyBorder="1" applyAlignment="1">
      <alignment horizontal="center" vertical="center"/>
    </xf>
    <xf numFmtId="9" fontId="24" fillId="4" borderId="15" xfId="4" applyFont="1" applyFill="1" applyBorder="1" applyAlignment="1">
      <alignment horizontal="center" vertical="center"/>
    </xf>
    <xf numFmtId="0" fontId="31" fillId="6" borderId="15" xfId="0" applyFont="1" applyFill="1" applyBorder="1" applyAlignment="1">
      <alignment horizontal="center" vertical="center"/>
    </xf>
    <xf numFmtId="1" fontId="27" fillId="0" borderId="0" xfId="53" applyNumberFormat="1" applyFont="1" applyFill="1" applyBorder="1" applyAlignment="1">
      <alignment horizontal="center" vertical="center" wrapText="1"/>
    </xf>
    <xf numFmtId="3" fontId="25" fillId="6" borderId="15" xfId="4" applyNumberFormat="1" applyFont="1" applyFill="1" applyBorder="1" applyAlignment="1">
      <alignment horizontal="center" vertical="center"/>
    </xf>
    <xf numFmtId="3" fontId="24" fillId="6" borderId="15" xfId="4" applyNumberFormat="1" applyFont="1" applyFill="1" applyBorder="1" applyAlignment="1">
      <alignment horizontal="center" vertical="center"/>
    </xf>
    <xf numFmtId="169" fontId="25" fillId="4" borderId="15" xfId="53" applyNumberFormat="1" applyFont="1" applyFill="1" applyBorder="1" applyAlignment="1" applyProtection="1">
      <alignment horizontal="center" vertical="center"/>
      <protection locked="0"/>
    </xf>
    <xf numFmtId="0" fontId="59" fillId="2" borderId="0" xfId="0" applyFont="1" applyFill="1" applyAlignment="1">
      <alignment horizontal="center" vertical="center"/>
    </xf>
    <xf numFmtId="3" fontId="25" fillId="4" borderId="15" xfId="0" applyNumberFormat="1" applyFont="1" applyFill="1" applyBorder="1" applyAlignment="1" applyProtection="1">
      <alignment horizontal="center" vertical="center"/>
      <protection locked="0"/>
    </xf>
    <xf numFmtId="3" fontId="25" fillId="4" borderId="15" xfId="4" applyNumberFormat="1" applyFont="1" applyFill="1" applyBorder="1" applyAlignment="1" applyProtection="1">
      <alignment horizontal="center" vertical="center"/>
      <protection locked="0"/>
    </xf>
    <xf numFmtId="0" fontId="24" fillId="6" borderId="15" xfId="0" applyFont="1" applyFill="1" applyBorder="1" applyAlignment="1">
      <alignment horizontal="center" vertical="center"/>
    </xf>
    <xf numFmtId="0" fontId="25" fillId="6" borderId="15" xfId="0" applyFont="1" applyFill="1" applyBorder="1" applyAlignment="1">
      <alignment horizontal="center" vertical="center" wrapText="1"/>
    </xf>
    <xf numFmtId="0" fontId="25" fillId="2" borderId="14" xfId="0" applyFont="1" applyFill="1" applyBorder="1" applyAlignment="1">
      <alignment horizontal="center"/>
    </xf>
    <xf numFmtId="0" fontId="25" fillId="2" borderId="15" xfId="0" applyFont="1" applyFill="1" applyBorder="1" applyAlignment="1">
      <alignment horizontal="center"/>
    </xf>
    <xf numFmtId="0" fontId="25" fillId="2" borderId="46" xfId="0" applyFont="1" applyFill="1" applyBorder="1" applyAlignment="1">
      <alignment horizontal="center"/>
    </xf>
    <xf numFmtId="0" fontId="25" fillId="6" borderId="12" xfId="0" applyFont="1" applyFill="1" applyBorder="1" applyAlignment="1">
      <alignment horizontal="center" vertical="center" wrapText="1"/>
    </xf>
    <xf numFmtId="0" fontId="25" fillId="6" borderId="1" xfId="0" applyFont="1" applyFill="1" applyBorder="1" applyAlignment="1">
      <alignment horizontal="center" vertical="center"/>
    </xf>
    <xf numFmtId="169" fontId="25" fillId="6" borderId="15" xfId="53" applyNumberFormat="1" applyFont="1" applyFill="1" applyBorder="1" applyAlignment="1" applyProtection="1">
      <alignment horizontal="center" vertical="center"/>
    </xf>
    <xf numFmtId="1" fontId="27" fillId="0" borderId="0" xfId="53" applyNumberFormat="1" applyFont="1" applyFill="1" applyBorder="1" applyAlignment="1">
      <alignment horizontal="center" vertical="top" wrapText="1"/>
    </xf>
    <xf numFmtId="1" fontId="27" fillId="0" borderId="0" xfId="53" applyNumberFormat="1" applyFont="1" applyFill="1" applyBorder="1" applyAlignment="1">
      <alignment horizontal="center" vertical="center"/>
    </xf>
    <xf numFmtId="0" fontId="66" fillId="6" borderId="47" xfId="0" applyFont="1" applyFill="1" applyBorder="1" applyAlignment="1">
      <alignment horizontal="center" vertical="center"/>
    </xf>
    <xf numFmtId="0" fontId="66" fillId="6" borderId="12" xfId="0" applyFont="1" applyFill="1" applyBorder="1" applyAlignment="1">
      <alignment horizontal="center" vertical="center"/>
    </xf>
    <xf numFmtId="0" fontId="25" fillId="6" borderId="12" xfId="0" applyFont="1" applyFill="1" applyBorder="1" applyAlignment="1">
      <alignment horizontal="center" vertical="top" wrapText="1"/>
    </xf>
    <xf numFmtId="171" fontId="25" fillId="4" borderId="15" xfId="53" applyNumberFormat="1" applyFont="1" applyFill="1" applyBorder="1" applyAlignment="1" applyProtection="1">
      <alignment horizontal="center" vertical="center"/>
      <protection locked="0"/>
    </xf>
    <xf numFmtId="169" fontId="24" fillId="6" borderId="9" xfId="53" applyNumberFormat="1" applyFont="1" applyFill="1" applyBorder="1" applyAlignment="1">
      <alignment horizontal="center" vertical="center"/>
    </xf>
    <xf numFmtId="0" fontId="25" fillId="0" borderId="0" xfId="0" applyFont="1" applyAlignment="1">
      <alignment horizontal="center" vertical="center"/>
    </xf>
    <xf numFmtId="169" fontId="25" fillId="0" borderId="0" xfId="53" applyNumberFormat="1" applyFont="1" applyFill="1" applyBorder="1" applyAlignment="1" applyProtection="1">
      <alignment horizontal="center" vertical="center"/>
      <protection locked="0"/>
    </xf>
    <xf numFmtId="0" fontId="24" fillId="6" borderId="0" xfId="0" applyFont="1" applyFill="1" applyAlignment="1">
      <alignment horizontal="center" vertical="center"/>
    </xf>
    <xf numFmtId="0" fontId="24" fillId="7" borderId="15" xfId="0" applyFont="1" applyFill="1" applyBorder="1" applyAlignment="1">
      <alignment horizontal="center" vertical="center"/>
    </xf>
    <xf numFmtId="0" fontId="24" fillId="6" borderId="50" xfId="0" applyFont="1" applyFill="1" applyBorder="1" applyAlignment="1">
      <alignment horizontal="center" vertical="center" wrapText="1"/>
    </xf>
    <xf numFmtId="0" fontId="24" fillId="6" borderId="52" xfId="0" applyFont="1" applyFill="1" applyBorder="1" applyAlignment="1">
      <alignment horizontal="center" vertical="center" wrapText="1"/>
    </xf>
    <xf numFmtId="0" fontId="24" fillId="6" borderId="51" xfId="0" applyFont="1" applyFill="1" applyBorder="1" applyAlignment="1">
      <alignment horizontal="center" vertical="center" wrapText="1"/>
    </xf>
    <xf numFmtId="0" fontId="24" fillId="6" borderId="49" xfId="0" applyFont="1" applyFill="1" applyBorder="1" applyAlignment="1">
      <alignment horizontal="center" vertical="center" wrapText="1"/>
    </xf>
    <xf numFmtId="0" fontId="25" fillId="2" borderId="11" xfId="0" applyFont="1" applyFill="1" applyBorder="1" applyAlignment="1">
      <alignment horizontal="center"/>
    </xf>
    <xf numFmtId="0" fontId="25" fillId="2" borderId="33" xfId="0" applyFont="1" applyFill="1" applyBorder="1" applyAlignment="1">
      <alignment horizontal="center"/>
    </xf>
    <xf numFmtId="0" fontId="25" fillId="2" borderId="48" xfId="0" applyFont="1" applyFill="1" applyBorder="1" applyAlignment="1">
      <alignment horizontal="center"/>
    </xf>
    <xf numFmtId="0" fontId="24" fillId="6" borderId="33" xfId="0" applyFont="1" applyFill="1" applyBorder="1" applyAlignment="1">
      <alignment horizontal="center" vertical="center"/>
    </xf>
    <xf numFmtId="169" fontId="24" fillId="6" borderId="15" xfId="53" applyNumberFormat="1" applyFont="1" applyFill="1" applyBorder="1" applyAlignment="1">
      <alignment horizontal="center" vertical="center"/>
    </xf>
    <xf numFmtId="2" fontId="25" fillId="4" borderId="15" xfId="4" applyNumberFormat="1" applyFont="1" applyFill="1" applyBorder="1" applyAlignment="1" applyProtection="1">
      <alignment horizontal="center" vertical="center"/>
      <protection locked="0"/>
    </xf>
    <xf numFmtId="3" fontId="25" fillId="6" borderId="15" xfId="53" applyNumberFormat="1" applyFont="1" applyFill="1" applyBorder="1" applyAlignment="1">
      <alignment horizontal="center" vertical="center"/>
    </xf>
    <xf numFmtId="1" fontId="25" fillId="4" borderId="15" xfId="4" applyNumberFormat="1" applyFont="1" applyFill="1" applyBorder="1" applyAlignment="1" applyProtection="1">
      <alignment horizontal="center" vertical="center"/>
      <protection locked="0"/>
    </xf>
    <xf numFmtId="168" fontId="25" fillId="4" borderId="15" xfId="4" applyNumberFormat="1" applyFont="1" applyFill="1" applyBorder="1" applyAlignment="1" applyProtection="1">
      <alignment horizontal="center" vertical="center"/>
      <protection locked="0"/>
    </xf>
    <xf numFmtId="0" fontId="61" fillId="2" borderId="0" xfId="0" applyFont="1" applyFill="1" applyAlignment="1">
      <alignment horizontal="center" vertical="center"/>
    </xf>
    <xf numFmtId="44" fontId="25" fillId="0" borderId="0" xfId="0" applyNumberFormat="1" applyFont="1" applyAlignment="1">
      <alignment horizontal="center" wrapText="1"/>
    </xf>
    <xf numFmtId="0" fontId="24" fillId="6" borderId="28" xfId="0" applyFont="1" applyFill="1" applyBorder="1" applyAlignment="1">
      <alignment horizontal="center" vertical="center"/>
    </xf>
    <xf numFmtId="0" fontId="24" fillId="6" borderId="27" xfId="0" applyFont="1" applyFill="1" applyBorder="1" applyAlignment="1">
      <alignment horizontal="center" vertical="center"/>
    </xf>
    <xf numFmtId="0" fontId="24" fillId="6" borderId="28" xfId="0" applyFont="1" applyFill="1" applyBorder="1" applyAlignment="1">
      <alignment horizontal="center" vertical="center" wrapText="1"/>
    </xf>
    <xf numFmtId="0" fontId="25" fillId="2" borderId="14" xfId="0" applyFont="1" applyFill="1" applyBorder="1" applyAlignment="1">
      <alignment horizontal="center" wrapText="1"/>
    </xf>
    <xf numFmtId="0" fontId="25" fillId="2" borderId="15" xfId="0" applyFont="1" applyFill="1" applyBorder="1" applyAlignment="1">
      <alignment horizontal="center" wrapText="1"/>
    </xf>
    <xf numFmtId="0" fontId="25" fillId="2" borderId="46" xfId="0" applyFont="1" applyFill="1" applyBorder="1" applyAlignment="1">
      <alignment horizontal="center" wrapText="1"/>
    </xf>
    <xf numFmtId="0" fontId="25" fillId="6" borderId="12" xfId="0" applyFont="1" applyFill="1" applyBorder="1" applyAlignment="1">
      <alignment horizontal="center" vertical="center"/>
    </xf>
    <xf numFmtId="0" fontId="25" fillId="0" borderId="8" xfId="54" applyFont="1" applyBorder="1" applyAlignment="1">
      <alignment horizontal="center" vertical="center" wrapText="1"/>
    </xf>
    <xf numFmtId="0" fontId="25" fillId="0" borderId="9" xfId="54" applyFont="1" applyBorder="1" applyAlignment="1">
      <alignment horizontal="center" vertical="center" wrapText="1"/>
    </xf>
    <xf numFmtId="0" fontId="25" fillId="0" borderId="10" xfId="54" applyFont="1" applyBorder="1" applyAlignment="1">
      <alignment horizontal="center" vertical="center" wrapText="1"/>
    </xf>
    <xf numFmtId="0" fontId="25" fillId="0" borderId="30" xfId="54" applyFont="1" applyBorder="1" applyAlignment="1">
      <alignment horizontal="center" vertical="center" wrapText="1"/>
    </xf>
    <xf numFmtId="0" fontId="25" fillId="0" borderId="0" xfId="54" applyFont="1" applyAlignment="1">
      <alignment horizontal="center" vertical="center" wrapText="1"/>
    </xf>
    <xf numFmtId="0" fontId="25" fillId="0" borderId="32" xfId="54" applyFont="1" applyBorder="1" applyAlignment="1">
      <alignment horizontal="center" vertical="center" wrapText="1"/>
    </xf>
    <xf numFmtId="0" fontId="25" fillId="0" borderId="11" xfId="54" applyFont="1" applyBorder="1" applyAlignment="1">
      <alignment horizontal="center" vertical="center" wrapText="1"/>
    </xf>
    <xf numFmtId="0" fontId="25" fillId="0" borderId="33" xfId="54" applyFont="1" applyBorder="1" applyAlignment="1">
      <alignment horizontal="center" vertical="center" wrapText="1"/>
    </xf>
    <xf numFmtId="0" fontId="25" fillId="0" borderId="2" xfId="54" applyFont="1" applyBorder="1" applyAlignment="1">
      <alignment horizontal="center" vertical="center" wrapText="1"/>
    </xf>
    <xf numFmtId="0" fontId="25" fillId="0" borderId="8" xfId="54" applyFont="1" applyBorder="1" applyAlignment="1" applyProtection="1">
      <alignment horizontal="center"/>
      <protection hidden="1"/>
    </xf>
    <xf numFmtId="0" fontId="25" fillId="0" borderId="10" xfId="54" applyFont="1" applyBorder="1" applyAlignment="1" applyProtection="1">
      <alignment horizontal="center"/>
      <protection hidden="1"/>
    </xf>
    <xf numFmtId="0" fontId="25" fillId="0" borderId="30" xfId="54" applyFont="1" applyBorder="1" applyAlignment="1" applyProtection="1">
      <alignment horizontal="center"/>
      <protection hidden="1"/>
    </xf>
    <xf numFmtId="0" fontId="25" fillId="0" borderId="32" xfId="54" applyFont="1" applyBorder="1" applyAlignment="1" applyProtection="1">
      <alignment horizontal="center"/>
      <protection hidden="1"/>
    </xf>
    <xf numFmtId="0" fontId="25" fillId="0" borderId="11" xfId="54" applyFont="1" applyBorder="1" applyAlignment="1" applyProtection="1">
      <alignment horizontal="center"/>
      <protection hidden="1"/>
    </xf>
    <xf numFmtId="0" fontId="25" fillId="0" borderId="2" xfId="54" applyFont="1" applyBorder="1" applyAlignment="1" applyProtection="1">
      <alignment horizontal="center"/>
      <protection hidden="1"/>
    </xf>
    <xf numFmtId="0" fontId="60" fillId="13" borderId="0" xfId="0" applyFont="1" applyFill="1" applyAlignment="1">
      <alignment horizontal="center" vertical="center"/>
    </xf>
    <xf numFmtId="0" fontId="24" fillId="0" borderId="0" xfId="0" applyFont="1" applyAlignment="1">
      <alignment horizontal="center" vertical="center"/>
    </xf>
    <xf numFmtId="0" fontId="61" fillId="0" borderId="0" xfId="0" applyFont="1" applyAlignment="1">
      <alignment horizontal="center" vertical="center"/>
    </xf>
    <xf numFmtId="0" fontId="55" fillId="0" borderId="1" xfId="0" applyFont="1" applyBorder="1" applyAlignment="1">
      <alignment horizontal="justify" vertical="top" wrapText="1"/>
    </xf>
    <xf numFmtId="3" fontId="25" fillId="4" borderId="15" xfId="53" applyNumberFormat="1" applyFont="1" applyFill="1" applyBorder="1" applyAlignment="1" applyProtection="1">
      <alignment horizontal="center" vertical="center"/>
      <protection locked="0"/>
    </xf>
    <xf numFmtId="9" fontId="25" fillId="4" borderId="15" xfId="4" applyFont="1" applyFill="1" applyBorder="1" applyAlignment="1" applyProtection="1">
      <alignment horizontal="center" vertical="center"/>
      <protection locked="0"/>
    </xf>
    <xf numFmtId="2" fontId="25" fillId="4" borderId="15" xfId="53" applyNumberFormat="1" applyFont="1" applyFill="1" applyBorder="1" applyAlignment="1" applyProtection="1">
      <alignment horizontal="center" vertical="center"/>
      <protection locked="0"/>
    </xf>
    <xf numFmtId="0" fontId="28" fillId="0" borderId="1" xfId="18" applyFont="1" applyBorder="1" applyAlignment="1" applyProtection="1">
      <alignment horizontal="center"/>
      <protection hidden="1"/>
    </xf>
    <xf numFmtId="0" fontId="50" fillId="0" borderId="8" xfId="18" applyFont="1" applyBorder="1" applyAlignment="1" applyProtection="1">
      <alignment horizontal="center" vertical="center" wrapText="1"/>
      <protection hidden="1"/>
    </xf>
    <xf numFmtId="0" fontId="50" fillId="0" borderId="9" xfId="18" applyFont="1" applyBorder="1" applyAlignment="1" applyProtection="1">
      <alignment horizontal="center" vertical="center" wrapText="1"/>
      <protection hidden="1"/>
    </xf>
    <xf numFmtId="0" fontId="50" fillId="0" borderId="10" xfId="18" applyFont="1" applyBorder="1" applyAlignment="1" applyProtection="1">
      <alignment horizontal="center" vertical="center" wrapText="1"/>
      <protection hidden="1"/>
    </xf>
    <xf numFmtId="0" fontId="50" fillId="0" borderId="30" xfId="18" applyFont="1" applyBorder="1" applyAlignment="1" applyProtection="1">
      <alignment horizontal="center" vertical="center" wrapText="1"/>
      <protection hidden="1"/>
    </xf>
    <xf numFmtId="0" fontId="50" fillId="0" borderId="0" xfId="18" applyFont="1" applyAlignment="1" applyProtection="1">
      <alignment horizontal="center" vertical="center" wrapText="1"/>
      <protection hidden="1"/>
    </xf>
    <xf numFmtId="0" fontId="50" fillId="0" borderId="32" xfId="18" applyFont="1" applyBorder="1" applyAlignment="1" applyProtection="1">
      <alignment horizontal="center" vertical="center" wrapText="1"/>
      <protection hidden="1"/>
    </xf>
    <xf numFmtId="0" fontId="50" fillId="0" borderId="11" xfId="18" applyFont="1" applyBorder="1" applyAlignment="1" applyProtection="1">
      <alignment horizontal="center" vertical="center" wrapText="1"/>
      <protection hidden="1"/>
    </xf>
    <xf numFmtId="0" fontId="50" fillId="0" borderId="33" xfId="18" applyFont="1" applyBorder="1" applyAlignment="1" applyProtection="1">
      <alignment horizontal="center" vertical="center" wrapText="1"/>
      <protection hidden="1"/>
    </xf>
    <xf numFmtId="0" fontId="50" fillId="0" borderId="2" xfId="18" applyFont="1" applyBorder="1" applyAlignment="1" applyProtection="1">
      <alignment horizontal="center" vertical="center" wrapText="1"/>
      <protection hidden="1"/>
    </xf>
    <xf numFmtId="0" fontId="54" fillId="5" borderId="27" xfId="0" applyFont="1" applyFill="1" applyBorder="1" applyAlignment="1" applyProtection="1">
      <alignment horizontal="center"/>
      <protection hidden="1"/>
    </xf>
    <xf numFmtId="0" fontId="54" fillId="5" borderId="28" xfId="0" applyFont="1" applyFill="1" applyBorder="1" applyAlignment="1" applyProtection="1">
      <alignment horizontal="center"/>
      <protection hidden="1"/>
    </xf>
    <xf numFmtId="0" fontId="31" fillId="2" borderId="1" xfId="0" applyFont="1" applyFill="1" applyBorder="1" applyAlignment="1" applyProtection="1">
      <alignment horizontal="center"/>
      <protection hidden="1"/>
    </xf>
    <xf numFmtId="0" fontId="50" fillId="0" borderId="1" xfId="18" applyFont="1" applyBorder="1" applyAlignment="1">
      <alignment horizontal="left" vertical="center" wrapText="1"/>
    </xf>
    <xf numFmtId="0" fontId="51" fillId="0" borderId="1" xfId="18" applyFont="1" applyBorder="1" applyAlignment="1">
      <alignment horizontal="left" vertical="center" wrapText="1"/>
    </xf>
    <xf numFmtId="0" fontId="31" fillId="7" borderId="1" xfId="0" applyFont="1" applyFill="1" applyBorder="1" applyAlignment="1" applyProtection="1">
      <alignment horizontal="center"/>
      <protection hidden="1"/>
    </xf>
    <xf numFmtId="0" fontId="32" fillId="7" borderId="1" xfId="0" applyFont="1" applyFill="1" applyBorder="1" applyAlignment="1" applyProtection="1">
      <alignment horizontal="center"/>
      <protection hidden="1"/>
    </xf>
    <xf numFmtId="0" fontId="32" fillId="7" borderId="8" xfId="0" applyFont="1" applyFill="1" applyBorder="1" applyAlignment="1">
      <alignment horizontal="center"/>
    </xf>
    <xf numFmtId="0" fontId="32" fillId="7" borderId="9" xfId="0" applyFont="1" applyFill="1" applyBorder="1" applyAlignment="1">
      <alignment horizontal="center"/>
    </xf>
    <xf numFmtId="0" fontId="32" fillId="2" borderId="13" xfId="0" applyFont="1" applyFill="1" applyBorder="1" applyAlignment="1">
      <alignment horizontal="center"/>
    </xf>
    <xf numFmtId="0" fontId="32" fillId="2" borderId="1" xfId="0" applyFont="1" applyFill="1" applyBorder="1" applyAlignment="1" applyProtection="1">
      <alignment horizontal="center"/>
      <protection hidden="1"/>
    </xf>
    <xf numFmtId="0" fontId="32" fillId="2" borderId="14" xfId="0" applyFont="1" applyFill="1" applyBorder="1" applyAlignment="1" applyProtection="1">
      <alignment horizontal="center"/>
      <protection hidden="1"/>
    </xf>
    <xf numFmtId="0" fontId="32" fillId="2" borderId="15" xfId="0" applyFont="1" applyFill="1" applyBorder="1" applyAlignment="1" applyProtection="1">
      <alignment horizontal="center"/>
      <protection hidden="1"/>
    </xf>
    <xf numFmtId="0" fontId="32" fillId="2" borderId="16" xfId="0" applyFont="1" applyFill="1" applyBorder="1" applyAlignment="1" applyProtection="1">
      <alignment horizontal="center"/>
      <protection hidden="1"/>
    </xf>
    <xf numFmtId="0" fontId="50" fillId="0" borderId="9" xfId="18" applyFont="1" applyBorder="1" applyAlignment="1">
      <alignment horizontal="center" vertical="center" wrapText="1"/>
    </xf>
    <xf numFmtId="0" fontId="50" fillId="0" borderId="10" xfId="18" applyFont="1" applyBorder="1" applyAlignment="1">
      <alignment horizontal="center" vertical="center" wrapText="1"/>
    </xf>
    <xf numFmtId="0" fontId="50" fillId="0" borderId="0" xfId="18" applyFont="1" applyAlignment="1">
      <alignment horizontal="center" vertical="center" wrapText="1"/>
    </xf>
    <xf numFmtId="0" fontId="50" fillId="0" borderId="32" xfId="18" applyFont="1" applyBorder="1" applyAlignment="1">
      <alignment horizontal="center" vertical="center" wrapText="1"/>
    </xf>
    <xf numFmtId="0" fontId="50" fillId="0" borderId="33" xfId="18" applyFont="1" applyBorder="1" applyAlignment="1">
      <alignment horizontal="center" vertical="center" wrapText="1"/>
    </xf>
    <xf numFmtId="0" fontId="50" fillId="0" borderId="2" xfId="18" applyFont="1" applyBorder="1" applyAlignment="1">
      <alignment horizontal="center" vertical="center" wrapText="1"/>
    </xf>
    <xf numFmtId="0" fontId="54" fillId="5" borderId="27" xfId="0" applyFont="1" applyFill="1" applyBorder="1" applyAlignment="1">
      <alignment horizontal="left" indent="3"/>
    </xf>
    <xf numFmtId="0" fontId="54" fillId="5" borderId="28" xfId="0" applyFont="1" applyFill="1" applyBorder="1" applyAlignment="1">
      <alignment horizontal="left" indent="3"/>
    </xf>
    <xf numFmtId="0" fontId="32" fillId="7" borderId="1" xfId="0" applyFont="1" applyFill="1" applyBorder="1" applyAlignment="1">
      <alignment horizontal="center"/>
    </xf>
    <xf numFmtId="0" fontId="32" fillId="2" borderId="1" xfId="0" applyFont="1" applyFill="1" applyBorder="1" applyAlignment="1">
      <alignment horizontal="center"/>
    </xf>
    <xf numFmtId="0" fontId="31" fillId="7" borderId="13" xfId="0" applyFont="1" applyFill="1" applyBorder="1" applyAlignment="1">
      <alignment horizontal="center"/>
    </xf>
    <xf numFmtId="0" fontId="54" fillId="5" borderId="29" xfId="0" applyFont="1" applyFill="1" applyBorder="1" applyAlignment="1">
      <alignment horizontal="left" indent="3"/>
    </xf>
    <xf numFmtId="0" fontId="33" fillId="2" borderId="1" xfId="0" applyFont="1" applyFill="1" applyBorder="1" applyAlignment="1">
      <alignment horizontal="center"/>
    </xf>
    <xf numFmtId="0" fontId="31" fillId="2" borderId="1" xfId="0" applyFont="1" applyFill="1" applyBorder="1" applyAlignment="1">
      <alignment horizontal="center"/>
    </xf>
    <xf numFmtId="0" fontId="32" fillId="7" borderId="15" xfId="0" applyFont="1" applyFill="1" applyBorder="1" applyAlignment="1">
      <alignment horizontal="center"/>
    </xf>
    <xf numFmtId="0" fontId="32" fillId="7" borderId="16" xfId="0" applyFont="1" applyFill="1" applyBorder="1" applyAlignment="1">
      <alignment horizontal="center"/>
    </xf>
    <xf numFmtId="0" fontId="65" fillId="0" borderId="1" xfId="18" applyFont="1" applyBorder="1" applyAlignment="1">
      <alignment horizontal="center" vertical="center" wrapText="1"/>
    </xf>
    <xf numFmtId="0" fontId="65" fillId="0" borderId="1" xfId="18" applyFont="1" applyBorder="1" applyAlignment="1">
      <alignment horizontal="left" vertical="center" wrapText="1"/>
    </xf>
    <xf numFmtId="0" fontId="76" fillId="0" borderId="1" xfId="18" applyFont="1" applyBorder="1" applyAlignment="1">
      <alignment horizontal="left" vertical="center" wrapText="1"/>
    </xf>
    <xf numFmtId="0" fontId="28" fillId="0" borderId="8" xfId="18" applyFont="1" applyBorder="1" applyAlignment="1">
      <alignment horizontal="center"/>
    </xf>
    <xf numFmtId="0" fontId="28" fillId="0" borderId="10" xfId="18" applyFont="1" applyBorder="1" applyAlignment="1">
      <alignment horizontal="center"/>
    </xf>
    <xf numFmtId="0" fontId="28" fillId="0" borderId="30" xfId="18" applyFont="1" applyBorder="1" applyAlignment="1">
      <alignment horizontal="center"/>
    </xf>
    <xf numFmtId="0" fontId="28" fillId="0" borderId="32" xfId="18" applyFont="1" applyBorder="1" applyAlignment="1">
      <alignment horizontal="center"/>
    </xf>
    <xf numFmtId="0" fontId="28" fillId="0" borderId="11" xfId="18" applyFont="1" applyBorder="1" applyAlignment="1">
      <alignment horizontal="center"/>
    </xf>
    <xf numFmtId="0" fontId="28" fillId="0" borderId="2" xfId="18" applyFont="1" applyBorder="1" applyAlignment="1">
      <alignment horizontal="center"/>
    </xf>
    <xf numFmtId="0" fontId="33" fillId="7" borderId="1" xfId="0" applyFont="1" applyFill="1" applyBorder="1" applyAlignment="1">
      <alignment horizontal="center" vertical="center" wrapText="1"/>
    </xf>
    <xf numFmtId="3" fontId="33" fillId="7"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32" fillId="2" borderId="8" xfId="0" applyFont="1" applyFill="1" applyBorder="1" applyAlignment="1">
      <alignment horizontal="center"/>
    </xf>
    <xf numFmtId="0" fontId="32" fillId="2" borderId="9" xfId="0" applyFont="1" applyFill="1" applyBorder="1" applyAlignment="1">
      <alignment horizontal="center"/>
    </xf>
    <xf numFmtId="0" fontId="32" fillId="2" borderId="10" xfId="0" applyFont="1" applyFill="1" applyBorder="1" applyAlignment="1">
      <alignment horizontal="center"/>
    </xf>
    <xf numFmtId="3" fontId="33" fillId="2" borderId="1" xfId="0" applyNumberFormat="1" applyFont="1" applyFill="1" applyBorder="1" applyAlignment="1">
      <alignment horizontal="center" vertical="center" wrapText="1"/>
    </xf>
    <xf numFmtId="0" fontId="32" fillId="7" borderId="10" xfId="0" applyFont="1" applyFill="1" applyBorder="1" applyAlignment="1">
      <alignment horizontal="center"/>
    </xf>
    <xf numFmtId="0" fontId="32" fillId="15" borderId="27" xfId="5" applyFont="1" applyFill="1" applyBorder="1" applyAlignment="1">
      <alignment horizontal="center" wrapText="1"/>
    </xf>
    <xf numFmtId="0" fontId="32" fillId="15" borderId="28" xfId="5" applyFont="1" applyFill="1" applyBorder="1" applyAlignment="1">
      <alignment horizontal="center" wrapText="1"/>
    </xf>
    <xf numFmtId="0" fontId="32" fillId="15" borderId="29" xfId="5" applyFont="1" applyFill="1" applyBorder="1" applyAlignment="1">
      <alignment horizontal="center" wrapText="1"/>
    </xf>
    <xf numFmtId="0" fontId="33" fillId="2" borderId="27" xfId="0" applyFont="1" applyFill="1" applyBorder="1" applyAlignment="1">
      <alignment horizontal="center" wrapText="1"/>
    </xf>
    <xf numFmtId="0" fontId="33" fillId="2" borderId="28" xfId="0" applyFont="1" applyFill="1" applyBorder="1" applyAlignment="1">
      <alignment horizontal="center" wrapText="1"/>
    </xf>
    <xf numFmtId="0" fontId="33" fillId="2" borderId="29" xfId="0" applyFont="1" applyFill="1" applyBorder="1" applyAlignment="1">
      <alignment horizontal="center" wrapText="1"/>
    </xf>
    <xf numFmtId="0" fontId="50" fillId="0" borderId="8" xfId="18" applyFont="1" applyBorder="1" applyAlignment="1">
      <alignment horizontal="center" vertical="center" wrapText="1"/>
    </xf>
    <xf numFmtId="0" fontId="50" fillId="0" borderId="30" xfId="18" applyFont="1" applyBorder="1" applyAlignment="1">
      <alignment horizontal="center" vertical="center" wrapText="1"/>
    </xf>
    <xf numFmtId="0" fontId="50" fillId="0" borderId="11" xfId="18" applyFont="1" applyBorder="1" applyAlignment="1">
      <alignment horizontal="center" vertical="center" wrapText="1"/>
    </xf>
    <xf numFmtId="0" fontId="28" fillId="0" borderId="13" xfId="66" applyFont="1" applyBorder="1" applyAlignment="1">
      <alignment horizontal="center"/>
    </xf>
    <xf numFmtId="0" fontId="28" fillId="0" borderId="31" xfId="66" applyFont="1" applyBorder="1" applyAlignment="1">
      <alignment horizontal="center"/>
    </xf>
    <xf numFmtId="0" fontId="28" fillId="0" borderId="12" xfId="66" applyFont="1" applyBorder="1" applyAlignment="1">
      <alignment horizontal="center"/>
    </xf>
    <xf numFmtId="0" fontId="50" fillId="0" borderId="1" xfId="66" applyFont="1" applyBorder="1" applyAlignment="1">
      <alignment horizontal="center" vertical="center" wrapText="1"/>
    </xf>
    <xf numFmtId="0" fontId="50" fillId="0" borderId="1" xfId="66" applyFont="1" applyBorder="1" applyAlignment="1">
      <alignment horizontal="left" vertical="center" wrapText="1"/>
    </xf>
    <xf numFmtId="0" fontId="67" fillId="16" borderId="18" xfId="52" applyFont="1" applyFill="1" applyBorder="1" applyAlignment="1" applyProtection="1">
      <alignment horizontal="center" vertical="center" wrapText="1"/>
    </xf>
    <xf numFmtId="0" fontId="67" fillId="16" borderId="37" xfId="52" applyFont="1" applyFill="1" applyBorder="1" applyAlignment="1" applyProtection="1">
      <alignment horizontal="center" vertical="center" wrapText="1"/>
    </xf>
    <xf numFmtId="0" fontId="65" fillId="0" borderId="4" xfId="0" applyFont="1" applyBorder="1" applyAlignment="1">
      <alignment horizontal="left" vertical="center" wrapText="1"/>
    </xf>
    <xf numFmtId="0" fontId="65" fillId="0" borderId="17" xfId="0" applyFont="1" applyBorder="1" applyAlignment="1">
      <alignment horizontal="left" vertical="center" wrapText="1"/>
    </xf>
    <xf numFmtId="0" fontId="65" fillId="0" borderId="20" xfId="0" applyFont="1" applyBorder="1" applyAlignment="1">
      <alignment horizontal="left" vertical="center" wrapText="1"/>
    </xf>
    <xf numFmtId="0" fontId="40" fillId="0" borderId="1" xfId="66" applyFont="1" applyBorder="1" applyAlignment="1" applyProtection="1">
      <alignment horizontal="center"/>
      <protection hidden="1"/>
    </xf>
    <xf numFmtId="0" fontId="50" fillId="0" borderId="8" xfId="66" applyFont="1" applyBorder="1" applyAlignment="1">
      <alignment horizontal="center" vertical="center" wrapText="1"/>
    </xf>
    <xf numFmtId="0" fontId="50" fillId="0" borderId="9" xfId="66" applyFont="1" applyBorder="1" applyAlignment="1">
      <alignment horizontal="center" vertical="center" wrapText="1"/>
    </xf>
    <xf numFmtId="0" fontId="50" fillId="0" borderId="10" xfId="66" applyFont="1" applyBorder="1" applyAlignment="1">
      <alignment horizontal="center" vertical="center" wrapText="1"/>
    </xf>
    <xf numFmtId="0" fontId="50" fillId="0" borderId="30" xfId="66" applyFont="1" applyBorder="1" applyAlignment="1">
      <alignment horizontal="center" vertical="center" wrapText="1"/>
    </xf>
    <xf numFmtId="0" fontId="50" fillId="0" borderId="0" xfId="66" applyFont="1" applyAlignment="1">
      <alignment horizontal="center" vertical="center" wrapText="1"/>
    </xf>
    <xf numFmtId="0" fontId="50" fillId="0" borderId="32" xfId="66" applyFont="1" applyBorder="1" applyAlignment="1">
      <alignment horizontal="center" vertical="center" wrapText="1"/>
    </xf>
    <xf numFmtId="0" fontId="50" fillId="0" borderId="11" xfId="66" applyFont="1" applyBorder="1" applyAlignment="1">
      <alignment horizontal="center" vertical="center" wrapText="1"/>
    </xf>
    <xf numFmtId="0" fontId="50" fillId="0" borderId="33" xfId="66" applyFont="1" applyBorder="1" applyAlignment="1">
      <alignment horizontal="center" vertical="center" wrapText="1"/>
    </xf>
    <xf numFmtId="0" fontId="50" fillId="0" borderId="2" xfId="66" applyFont="1" applyBorder="1" applyAlignment="1">
      <alignment horizontal="center" vertical="center" wrapText="1"/>
    </xf>
    <xf numFmtId="0" fontId="65" fillId="0" borderId="5" xfId="0" applyFont="1" applyBorder="1" applyAlignment="1">
      <alignment horizontal="left" vertical="top"/>
    </xf>
    <xf numFmtId="0" fontId="65" fillId="0" borderId="6" xfId="0" applyFont="1" applyBorder="1" applyAlignment="1">
      <alignment horizontal="left" vertical="top"/>
    </xf>
    <xf numFmtId="0" fontId="65" fillId="0" borderId="7" xfId="0" applyFont="1" applyBorder="1" applyAlignment="1">
      <alignment horizontal="left" vertical="top"/>
    </xf>
    <xf numFmtId="0" fontId="65" fillId="0" borderId="5" xfId="0" applyFont="1" applyBorder="1" applyAlignment="1">
      <alignment horizontal="left" vertical="center" wrapText="1"/>
    </xf>
    <xf numFmtId="0" fontId="65" fillId="0" borderId="6" xfId="0" applyFont="1" applyBorder="1" applyAlignment="1">
      <alignment horizontal="left" vertical="center" wrapText="1"/>
    </xf>
    <xf numFmtId="0" fontId="65" fillId="0" borderId="7" xfId="0" applyFont="1" applyBorder="1" applyAlignment="1">
      <alignment horizontal="left" vertical="center" wrapText="1"/>
    </xf>
    <xf numFmtId="0" fontId="65" fillId="0" borderId="5" xfId="0" applyFont="1" applyBorder="1" applyAlignment="1">
      <alignment horizontal="left"/>
    </xf>
    <xf numFmtId="0" fontId="65" fillId="0" borderId="6" xfId="0" applyFont="1" applyBorder="1" applyAlignment="1">
      <alignment horizontal="left"/>
    </xf>
    <xf numFmtId="0" fontId="65" fillId="0" borderId="7" xfId="0" applyFont="1" applyBorder="1" applyAlignment="1">
      <alignment horizontal="left"/>
    </xf>
    <xf numFmtId="0" fontId="65" fillId="0" borderId="5" xfId="0" applyFont="1" applyBorder="1" applyAlignment="1">
      <alignment horizontal="left" vertical="center"/>
    </xf>
    <xf numFmtId="0" fontId="65" fillId="0" borderId="6" xfId="0" applyFont="1" applyBorder="1" applyAlignment="1">
      <alignment horizontal="left" vertical="center"/>
    </xf>
    <xf numFmtId="0" fontId="65" fillId="0" borderId="7" xfId="0" applyFont="1" applyBorder="1" applyAlignment="1">
      <alignment horizontal="left" vertical="center"/>
    </xf>
    <xf numFmtId="0" fontId="25" fillId="11" borderId="19" xfId="0" applyFont="1" applyFill="1" applyBorder="1" applyAlignment="1">
      <alignment horizontal="center" vertical="center" wrapText="1"/>
    </xf>
    <xf numFmtId="0" fontId="25" fillId="11" borderId="0" xfId="0" applyFont="1" applyFill="1" applyAlignment="1">
      <alignment horizontal="center" vertical="center" wrapText="1"/>
    </xf>
    <xf numFmtId="0" fontId="68" fillId="18" borderId="18" xfId="52" applyFont="1" applyFill="1" applyBorder="1" applyAlignment="1" applyProtection="1">
      <alignment horizontal="center" vertical="center" wrapText="1"/>
    </xf>
    <xf numFmtId="0" fontId="68" fillId="18" borderId="37" xfId="52" applyFont="1" applyFill="1" applyBorder="1" applyAlignment="1" applyProtection="1">
      <alignment horizontal="center" vertical="center" wrapText="1"/>
    </xf>
    <xf numFmtId="0" fontId="67" fillId="10" borderId="18" xfId="52" applyFont="1" applyFill="1" applyBorder="1" applyAlignment="1" applyProtection="1">
      <alignment horizontal="center" vertical="center" wrapText="1"/>
    </xf>
    <xf numFmtId="0" fontId="67" fillId="10" borderId="37" xfId="52" applyFont="1" applyFill="1" applyBorder="1" applyAlignment="1" applyProtection="1">
      <alignment horizontal="center" vertical="center" wrapText="1"/>
    </xf>
  </cellXfs>
  <cellStyles count="70">
    <cellStyle name="Hipervínculo" xfId="52" builtinId="8"/>
    <cellStyle name="Millares" xfId="1" builtinId="3"/>
    <cellStyle name="Millares [0] 2" xfId="27" xr:uid="{00000000-0005-0000-0000-000002000000}"/>
    <cellStyle name="Millares [0] 3" xfId="24" xr:uid="{00000000-0005-0000-0000-000003000000}"/>
    <cellStyle name="Millares [0] 4" xfId="30" xr:uid="{00000000-0005-0000-0000-000004000000}"/>
    <cellStyle name="Millares [0] 4 2" xfId="36" xr:uid="{00000000-0005-0000-0000-000005000000}"/>
    <cellStyle name="Millares [0] 5" xfId="33" xr:uid="{00000000-0005-0000-0000-000006000000}"/>
    <cellStyle name="Millares [0] 6" xfId="17" xr:uid="{00000000-0005-0000-0000-000007000000}"/>
    <cellStyle name="Millares [0] 7" xfId="61" xr:uid="{00000000-0005-0000-0000-000008000000}"/>
    <cellStyle name="Millares [0] 8" xfId="63" xr:uid="{00000000-0005-0000-0000-000009000000}"/>
    <cellStyle name="Millares 10" xfId="37" xr:uid="{00000000-0005-0000-0000-00000A000000}"/>
    <cellStyle name="Millares 11" xfId="40" xr:uid="{00000000-0005-0000-0000-00000B000000}"/>
    <cellStyle name="Millares 12" xfId="41" xr:uid="{00000000-0005-0000-0000-00000C000000}"/>
    <cellStyle name="Millares 13" xfId="43" xr:uid="{00000000-0005-0000-0000-00000D000000}"/>
    <cellStyle name="Millares 14" xfId="42" xr:uid="{00000000-0005-0000-0000-00000E000000}"/>
    <cellStyle name="Millares 15" xfId="45" xr:uid="{00000000-0005-0000-0000-00000F000000}"/>
    <cellStyle name="Millares 16" xfId="48" xr:uid="{00000000-0005-0000-0000-000010000000}"/>
    <cellStyle name="Millares 17" xfId="46" xr:uid="{00000000-0005-0000-0000-000011000000}"/>
    <cellStyle name="Millares 18" xfId="49" xr:uid="{00000000-0005-0000-0000-000012000000}"/>
    <cellStyle name="Millares 19" xfId="47" xr:uid="{00000000-0005-0000-0000-000013000000}"/>
    <cellStyle name="Millares 2" xfId="9" xr:uid="{00000000-0005-0000-0000-000014000000}"/>
    <cellStyle name="Millares 2 2" xfId="22" xr:uid="{00000000-0005-0000-0000-000015000000}"/>
    <cellStyle name="Millares 2 2 2" xfId="26" xr:uid="{00000000-0005-0000-0000-000016000000}"/>
    <cellStyle name="Millares 2 2 3" xfId="35" xr:uid="{00000000-0005-0000-0000-000017000000}"/>
    <cellStyle name="Millares 2 3" xfId="29" xr:uid="{00000000-0005-0000-0000-000018000000}"/>
    <cellStyle name="Millares 2 4" xfId="64" xr:uid="{00000000-0005-0000-0000-000019000000}"/>
    <cellStyle name="Millares 20" xfId="60" xr:uid="{00000000-0005-0000-0000-00001A000000}"/>
    <cellStyle name="Millares 3" xfId="25" xr:uid="{00000000-0005-0000-0000-00001B000000}"/>
    <cellStyle name="Millares 3 2" xfId="21" xr:uid="{00000000-0005-0000-0000-00001C000000}"/>
    <cellStyle name="Millares 3 3" xfId="34" xr:uid="{00000000-0005-0000-0000-00001D000000}"/>
    <cellStyle name="Millares 4" xfId="23" xr:uid="{00000000-0005-0000-0000-00001E000000}"/>
    <cellStyle name="Millares 5" xfId="28" xr:uid="{00000000-0005-0000-0000-00001F000000}"/>
    <cellStyle name="Millares 6" xfId="32" xr:uid="{00000000-0005-0000-0000-000020000000}"/>
    <cellStyle name="Millares 7" xfId="31" xr:uid="{00000000-0005-0000-0000-000021000000}"/>
    <cellStyle name="Millares 8" xfId="8" xr:uid="{00000000-0005-0000-0000-000022000000}"/>
    <cellStyle name="Millares 9" xfId="38" xr:uid="{00000000-0005-0000-0000-000023000000}"/>
    <cellStyle name="Moneda" xfId="53" builtinId="4"/>
    <cellStyle name="Moneda [0]" xfId="67" builtinId="7"/>
    <cellStyle name="Moneda [0] 2" xfId="15" xr:uid="{00000000-0005-0000-0000-000026000000}"/>
    <cellStyle name="Moneda [0] 3" xfId="51" xr:uid="{00000000-0005-0000-0000-000027000000}"/>
    <cellStyle name="Moneda 2" xfId="12" xr:uid="{00000000-0005-0000-0000-000028000000}"/>
    <cellStyle name="Moneda 2 2" xfId="16" xr:uid="{00000000-0005-0000-0000-000029000000}"/>
    <cellStyle name="Moneda 3" xfId="7" xr:uid="{00000000-0005-0000-0000-00002A000000}"/>
    <cellStyle name="Moneda 3 2" xfId="59" xr:uid="{00000000-0005-0000-0000-00002B000000}"/>
    <cellStyle name="Moneda 4" xfId="6" xr:uid="{00000000-0005-0000-0000-00002C000000}"/>
    <cellStyle name="Moneda 5" xfId="39" xr:uid="{00000000-0005-0000-0000-00002D000000}"/>
    <cellStyle name="Normal" xfId="0" builtinId="0"/>
    <cellStyle name="Normal 18" xfId="18" xr:uid="{00000000-0005-0000-0000-00002F000000}"/>
    <cellStyle name="Normal 18 2" xfId="54" xr:uid="{00000000-0005-0000-0000-000030000000}"/>
    <cellStyle name="Normal 18 2 2" xfId="66" xr:uid="{00000000-0005-0000-0000-000031000000}"/>
    <cellStyle name="Normal 2" xfId="20" xr:uid="{00000000-0005-0000-0000-000032000000}"/>
    <cellStyle name="Normal 2 2" xfId="2" xr:uid="{00000000-0005-0000-0000-000033000000}"/>
    <cellStyle name="Normal 2 2 2" xfId="14" xr:uid="{00000000-0005-0000-0000-000034000000}"/>
    <cellStyle name="Normal 2 2 3" xfId="58" xr:uid="{00000000-0005-0000-0000-000035000000}"/>
    <cellStyle name="Normal 2 3" xfId="44" xr:uid="{00000000-0005-0000-0000-000036000000}"/>
    <cellStyle name="Normal 3" xfId="5" xr:uid="{00000000-0005-0000-0000-000037000000}"/>
    <cellStyle name="Normal 3 2" xfId="3" xr:uid="{00000000-0005-0000-0000-000038000000}"/>
    <cellStyle name="Normal 3 3" xfId="57" xr:uid="{00000000-0005-0000-0000-000039000000}"/>
    <cellStyle name="Normal 4" xfId="55" xr:uid="{00000000-0005-0000-0000-00003A000000}"/>
    <cellStyle name="Normal 5" xfId="50" xr:uid="{00000000-0005-0000-0000-00003B000000}"/>
    <cellStyle name="Normal 6" xfId="56" xr:uid="{00000000-0005-0000-0000-00003C000000}"/>
    <cellStyle name="Normal 6 2" xfId="69" xr:uid="{00000000-0005-0000-0000-00003D000000}"/>
    <cellStyle name="Normal 7" xfId="62" xr:uid="{00000000-0005-0000-0000-00003E000000}"/>
    <cellStyle name="Normal 8" xfId="68" xr:uid="{00000000-0005-0000-0000-00003F000000}"/>
    <cellStyle name="Porcentaje" xfId="4" builtinId="5"/>
    <cellStyle name="Porcentaje 2" xfId="11" xr:uid="{00000000-0005-0000-0000-000041000000}"/>
    <cellStyle name="Porcentaje 2 2" xfId="19" xr:uid="{00000000-0005-0000-0000-000042000000}"/>
    <cellStyle name="Porcentaje 3" xfId="13" xr:uid="{00000000-0005-0000-0000-000043000000}"/>
    <cellStyle name="Porcentaje 4" xfId="10" xr:uid="{00000000-0005-0000-0000-000044000000}"/>
    <cellStyle name="Porcentaje 5" xfId="65" xr:uid="{00000000-0005-0000-0000-000045000000}"/>
  </cellStyles>
  <dxfs count="655">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59999389629810485"/>
        </patternFill>
      </fill>
      <alignment horizontal="left" vertical="center" textRotation="0" wrapText="1" indent="0" justifyLastLine="0" shrinkToFit="0" readingOrder="0"/>
      <border diagonalUp="0" diagonalDown="0">
        <left/>
        <right style="thin">
          <color rgb="FFFFC000"/>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59999389629810485"/>
        </patternFill>
      </fill>
      <alignment horizontal="left"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solid">
          <fgColor indexed="64"/>
          <bgColor theme="8" tint="0.59999389629810485"/>
        </patternFill>
      </fill>
      <alignment horizontal="left"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solid">
          <fgColor indexed="64"/>
          <bgColor theme="8" tint="0.59999389629810485"/>
        </patternFill>
      </fill>
      <alignment horizontal="left"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none"/>
      </font>
      <numFmt numFmtId="19" formatCode="d/mm/yyyy"/>
      <fill>
        <patternFill patternType="solid">
          <fgColor indexed="64"/>
          <bgColor theme="8" tint="0.59999389629810485"/>
        </patternFill>
      </fill>
      <alignment horizontal="left"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none"/>
      </font>
      <numFmt numFmtId="1" formatCode="0"/>
      <fill>
        <patternFill patternType="solid">
          <fgColor indexed="64"/>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8" tint="0.59999389629810485"/>
        </patternFill>
      </fill>
      <alignment horizontal="left"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solid">
          <fgColor indexed="64"/>
          <bgColor theme="8" tint="0.59999389629810485"/>
        </patternFill>
      </fill>
      <alignment horizontal="left"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solid">
          <fgColor indexed="64"/>
          <bgColor theme="8" tint="0.59999389629810485"/>
        </patternFill>
      </fill>
      <alignment horizontal="left"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59999389629810485"/>
        </patternFill>
      </fill>
      <alignment horizontal="left"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Narrow"/>
        <scheme val="none"/>
      </font>
      <numFmt numFmtId="0" formatCode="General"/>
      <fill>
        <patternFill patternType="solid">
          <fgColor indexed="64"/>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sz val="10"/>
        <color auto="1"/>
        <name val="Arial Narrow"/>
      </font>
      <fill>
        <patternFill patternType="solid">
          <fgColor indexed="64"/>
          <bgColor theme="8" tint="0.59999389629810485"/>
        </patternFill>
      </fill>
      <alignment horizontal="general" vertical="center"/>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8" tint="0.5999938962981048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8" tint="0.59999389629810485"/>
        </patternFill>
      </fill>
      <alignment horizontal="left"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8" tint="0.59999389629810485"/>
        </patternFill>
      </fill>
      <alignment horizontal="left"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sz val="10"/>
        <color auto="1"/>
        <name val="Arial Narrow"/>
      </font>
      <numFmt numFmtId="0" formatCode="General"/>
      <fill>
        <patternFill patternType="solid">
          <fgColor indexed="64"/>
          <bgColor theme="8" tint="0.59999389629810485"/>
        </patternFill>
      </fill>
      <alignment horizontal="center" vertical="center"/>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8" tint="0.59999389629810485"/>
        </patternFill>
      </fill>
      <alignment horizontal="left"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8" tint="0.59999389629810485"/>
        </patternFill>
      </fill>
      <alignment horizontal="left"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8" tint="0.59999389629810485"/>
        </patternFill>
      </fill>
      <alignment horizontal="left"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8" tint="0.59999389629810485"/>
        </patternFill>
      </fill>
      <alignment horizontal="left" vertical="center" textRotation="0" wrapText="1" indent="0" justifyLastLine="0" shrinkToFit="0" readingOrder="0"/>
      <border diagonalUp="0" diagonalDown="0">
        <left/>
        <right/>
        <top style="thin">
          <color rgb="FFFFC000"/>
        </top>
        <bottom/>
        <vertical/>
        <horizontal/>
      </border>
      <protection locked="0"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8" tint="0.59999389629810485"/>
        </patternFill>
      </fill>
      <alignment horizontal="left" vertical="center" textRotation="0" wrapText="1" indent="0" justifyLastLine="0" shrinkToFit="0" readingOrder="0"/>
      <border diagonalUp="0" diagonalDown="0">
        <left style="thin">
          <color rgb="FFFFC000"/>
        </left>
        <right/>
        <top style="thin">
          <color rgb="FFFFC000"/>
        </top>
        <bottom/>
        <vertical/>
        <horizontal/>
      </border>
      <protection locked="0" hidden="0"/>
    </dxf>
    <dxf>
      <font>
        <strike val="0"/>
        <outline val="0"/>
        <shadow val="0"/>
        <u val="none"/>
        <vertAlign val="baseline"/>
        <sz val="10"/>
        <name val="Arial Narrow"/>
        <scheme val="none"/>
      </font>
      <alignment textRotation="0" wrapText="1" indent="0" justifyLastLine="0" shrinkToFit="0" readingOrder="0"/>
      <protection locked="1" hidden="0"/>
    </dxf>
    <dxf>
      <font>
        <b/>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i val="0"/>
        <strike val="0"/>
        <condense val="0"/>
        <extend val="0"/>
        <outline val="0"/>
        <shadow val="0"/>
        <u val="none"/>
        <vertAlign val="baseline"/>
        <sz val="10"/>
        <color auto="1"/>
        <name val="Arial Narrow"/>
        <scheme val="none"/>
      </font>
      <numFmt numFmtId="3" formatCode="#,##0"/>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i val="0"/>
        <strike val="0"/>
        <condense val="0"/>
        <extend val="0"/>
        <outline val="0"/>
        <shadow val="0"/>
        <u val="none"/>
        <vertAlign val="baseline"/>
        <sz val="10"/>
        <color auto="1"/>
        <name val="Arial Narrow"/>
        <scheme val="none"/>
      </font>
      <numFmt numFmtId="3" formatCode="#,##0"/>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i val="0"/>
        <strike val="0"/>
        <condense val="0"/>
        <extend val="0"/>
        <outline val="0"/>
        <shadow val="0"/>
        <u val="none"/>
        <vertAlign val="baseline"/>
        <sz val="10"/>
        <color auto="1"/>
        <name val="Arial Narrow"/>
        <scheme val="none"/>
      </font>
      <numFmt numFmtId="3" formatCode="#,##0"/>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8" tint="0.5999938962981048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8" tint="0.5999938962981048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8" tint="0.5999938962981048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8" tint="0.5999938962981048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8" tint="0.5999938962981048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8" tint="0.5999938962981048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rgb="FF000000"/>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1"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rgb="FF000000"/>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1"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rgb="FF000000"/>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1"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rgb="FF000000"/>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1"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rgb="FF000000"/>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1"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rgb="FF000000"/>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1"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rgb="FF000000"/>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1"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rgb="FF000000"/>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1"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rgb="FF000000"/>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1"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rgb="FF000000"/>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1"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rgb="FF000000"/>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1"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rgb="FF000000"/>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1"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rgb="FF000000"/>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1"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rgb="FF000000"/>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1" hidden="0"/>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rgb="FF000000"/>
          <bgColor theme="8" tint="0.59999389629810485"/>
        </patternFill>
      </fill>
      <alignment horizontal="center" vertical="center" textRotation="0" wrapText="1" indent="0" justifyLastLine="0" shrinkToFit="0" readingOrder="0"/>
      <border diagonalUp="0" diagonalDown="0">
        <left/>
        <right/>
        <top style="thin">
          <color rgb="FFFFC000"/>
        </top>
        <bottom/>
        <vertical/>
        <horizontal/>
      </border>
      <protection locked="1" hidden="0"/>
    </dxf>
    <dxf>
      <font>
        <b val="0"/>
        <i val="0"/>
        <strike val="0"/>
        <condense val="0"/>
        <extend val="0"/>
        <outline val="0"/>
        <shadow val="0"/>
        <u val="none"/>
        <vertAlign val="baseline"/>
        <sz val="10"/>
        <color auto="1"/>
        <name val="Arial Narrow"/>
        <scheme val="none"/>
      </font>
      <numFmt numFmtId="169" formatCode="_-&quot;$&quot;\ * #,##0_-;\-&quot;$&quot;\ * #,##0_-;_-&quot;$&quot;\ * &quot;-&quot;??_-;_-@_-"/>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4" formatCode="_-&quot;$&quot;\ * #,##0.00_-;\-&quot;$&quot;\ * #,##0.00_-;_-&quot;$&quot;\ * &quot;-&quot;??_-;_-@_-"/>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numFmt numFmtId="169" formatCode="_-&quot;$&quot;\ * #,##0_-;\-&quot;$&quot;\ * #,##0_-;_-&quot;$&quot;\ * &quot;-&quot;??_-;_-@_-"/>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4" formatCode="_-&quot;$&quot;\ * #,##0.00_-;\-&quot;$&quot;\ * #,##0.00_-;_-&quot;$&quot;\ * &quot;-&quot;??_-;_-@_-"/>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numFmt numFmtId="176" formatCode="#,##0.00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2" formatCode="0.00"/>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numFmt numFmtId="172" formatCode="_-&quot;$&quot;* #,##0.00_-;\-&quot;$&quot;* #,##0.00_-;_-&quot;$&quot;* &quot;-&quot;_-;_-@_-"/>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4" formatCode="_-&quot;$&quot;\ * #,##0.00_-;\-&quot;$&quot;\ * #,##0.00_-;_-&quot;$&quot;\ * &quot;-&quot;??_-;_-@_-"/>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numFmt numFmtId="169" formatCode="_-&quot;$&quot;\ * #,##0_-;\-&quot;$&quot;\ * #,##0_-;_-&quot;$&quot;\ * &quot;-&quot;??_-;_-@_-"/>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4" formatCode="_-&quot;$&quot;\ * #,##0.00_-;\-&quot;$&quot;\ * #,##0.00_-;_-&quot;$&quot;\ * &quot;-&quot;??_-;_-@_-"/>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79998168889431442"/>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8"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8" tint="0.5999938962981048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sz val="10"/>
        <color auto="1"/>
        <name val="Arial Narrow"/>
        <scheme val="none"/>
      </font>
      <numFmt numFmtId="3" formatCode="#,##0"/>
      <fill>
        <patternFill patternType="none">
          <fgColor indexed="64"/>
          <bgColor auto="1"/>
        </patternFill>
      </fill>
      <protection locked="1" hidden="0"/>
    </dxf>
    <dxf>
      <font>
        <b val="0"/>
        <i val="0"/>
        <strike val="0"/>
        <condense val="0"/>
        <extend val="0"/>
        <outline val="0"/>
        <shadow val="0"/>
        <u val="none"/>
        <vertAlign val="baseline"/>
        <sz val="10"/>
        <color auto="1"/>
        <name val="Arial Narrow"/>
        <scheme val="none"/>
      </font>
      <numFmt numFmtId="3" formatCode="#,##0"/>
      <fill>
        <patternFill patternType="none">
          <fgColor indexed="64"/>
          <bgColor auto="1"/>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0"/>
        <color auto="1"/>
        <name val="Arial Narrow"/>
        <scheme val="none"/>
      </font>
      <numFmt numFmtId="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4" formatCode="0.00%"/>
      <alignment horizontal="center" vertical="center" textRotation="0" wrapText="1" indent="0" justifyLastLine="0" shrinkToFit="0" readingOrder="0"/>
    </dxf>
    <dxf>
      <font>
        <b/>
        <i val="0"/>
        <strike val="0"/>
        <condense val="0"/>
        <extend val="0"/>
        <outline val="0"/>
        <shadow val="0"/>
        <u val="none"/>
        <vertAlign val="baseline"/>
        <sz val="10"/>
        <color auto="1"/>
        <name val="Arial Narrow"/>
        <scheme val="none"/>
      </font>
      <numFmt numFmtId="14" formatCode="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0"/>
        <color auto="1"/>
        <name val="Arial Narrow"/>
        <scheme val="none"/>
      </font>
      <numFmt numFmtId="0" formatCode="General"/>
      <fill>
        <patternFill patternType="solid">
          <fgColor indexed="64"/>
          <bgColor theme="0" tint="-0.249977111117893"/>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68" formatCode="0.0%"/>
      <alignment horizontal="center" vertical="bottom" textRotation="0" wrapText="0" indent="0" justifyLastLine="0" shrinkToFit="0" readingOrder="0"/>
    </dxf>
    <dxf>
      <font>
        <b/>
        <i val="0"/>
        <strike val="0"/>
        <condense val="0"/>
        <extend val="0"/>
        <outline val="0"/>
        <shadow val="0"/>
        <u val="none"/>
        <vertAlign val="baseline"/>
        <sz val="10"/>
        <color auto="1"/>
        <name val="Arial Narrow"/>
        <scheme val="none"/>
      </font>
      <numFmt numFmtId="168" formatCode="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4"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4"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2"/>
        <color auto="1"/>
        <name val="Arial Narrow"/>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0"/>
        <color auto="1"/>
        <name val="Arial Narrow"/>
        <scheme val="none"/>
      </fon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2"/>
        <color auto="1"/>
        <name val="Arial Narrow"/>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5999938962981048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9" tint="0.5999938962981048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0"/>
        <name val="Arial Narrow"/>
        <scheme val="none"/>
      </font>
      <protection locked="1" hidden="0"/>
    </dxf>
    <dxf>
      <font>
        <b val="0"/>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i val="0"/>
        <strike val="0"/>
        <condense val="0"/>
        <extend val="0"/>
        <outline val="0"/>
        <shadow val="0"/>
        <u val="none"/>
        <vertAlign val="baseline"/>
        <sz val="10"/>
        <color auto="1"/>
        <name val="Arial Narrow"/>
        <scheme val="none"/>
      </font>
      <numFmt numFmtId="3" formatCode="#,##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i val="0"/>
        <strike val="0"/>
        <condense val="0"/>
        <extend val="0"/>
        <outline val="0"/>
        <shadow val="0"/>
        <u val="none"/>
        <vertAlign val="baseline"/>
        <sz val="10"/>
        <color auto="1"/>
        <name val="Arial Narrow"/>
        <scheme val="none"/>
      </font>
      <numFmt numFmtId="3" formatCode="#,##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rgb="FFFFFF0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rgb="FFFFFF0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rgb="FFFFFF0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rgb="FFFFFF0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3" formatCode="#,##0"/>
      <fill>
        <patternFill patternType="solid">
          <fgColor indexed="64"/>
          <bgColor rgb="FFFFFF0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3" formatCode="0%"/>
      <alignment horizontal="center" vertical="center" textRotation="0" wrapText="1" indent="0" justifyLastLine="0" shrinkToFit="0" readingOrder="0"/>
    </dxf>
    <dxf>
      <font>
        <b/>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3" formatCode="0%"/>
      <alignment horizontal="center" vertical="center" textRotation="0" wrapText="1" indent="0" justifyLastLine="0" shrinkToFit="0" readingOrder="0"/>
    </dxf>
    <dxf>
      <font>
        <b/>
        <i val="0"/>
        <strike val="0"/>
        <condense val="0"/>
        <extend val="0"/>
        <outline val="0"/>
        <shadow val="0"/>
        <u val="none"/>
        <vertAlign val="baseline"/>
        <sz val="10"/>
        <color auto="1"/>
        <name val="Arial Narrow"/>
        <scheme val="none"/>
      </font>
      <fill>
        <patternFill patternType="solid">
          <fgColor indexed="64"/>
          <bgColor theme="4"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4"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9" formatCode="d/mm/yyyy"/>
      <fill>
        <patternFill patternType="solid">
          <fgColor indexed="64"/>
          <bgColor theme="4"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19" formatCode="d/mm/yyyy"/>
      <fill>
        <patternFill patternType="solid">
          <fgColor indexed="64"/>
          <bgColor theme="4"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4" tint="0.79998168889431442"/>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2"/>
        <color auto="1"/>
        <name val="Arial Narrow"/>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2"/>
        <color auto="1"/>
        <name val="Arial Narrow"/>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2"/>
        <color auto="1"/>
        <name val="Arial Narrow"/>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sz val="10"/>
        <name val="Arial Narrow"/>
        <scheme val="none"/>
      </font>
      <protection locked="1" hidden="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7"/>
        </top>
        <bottom/>
      </border>
    </dxf>
    <dxf>
      <border outline="0">
        <left style="thin">
          <color theme="4" tint="0.39997558519241921"/>
        </left>
        <right style="thin">
          <color theme="4" tint="0.39997558519241921"/>
        </right>
        <top style="thin">
          <color indexed="64"/>
        </top>
        <bottom style="thin">
          <color theme="4" tint="0.39997558519241921"/>
        </bottom>
      </border>
    </dxf>
    <dxf>
      <font>
        <b val="0"/>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Arial Narrow"/>
        <scheme val="none"/>
      </font>
      <fill>
        <patternFill patternType="solid">
          <fgColor theme="7"/>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2" formatCode="0.00"/>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 formatCode="0"/>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0"/>
        <color auto="1"/>
        <name val="Arial Narrow"/>
        <scheme val="none"/>
      </font>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sz val="10"/>
        <name val="Arial Narrow"/>
        <scheme val="none"/>
      </font>
      <protection locked="1" hidden="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
      <font>
        <b/>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i val="0"/>
        <strike val="0"/>
        <condense val="0"/>
        <extend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i val="0"/>
        <strike val="0"/>
        <condense val="0"/>
        <extend val="0"/>
        <outline val="0"/>
        <shadow val="0"/>
        <u val="none"/>
        <vertAlign val="baseline"/>
        <sz val="10"/>
        <color auto="1"/>
        <name val="Arial Narrow"/>
        <scheme val="none"/>
      </font>
      <numFmt numFmtId="2" formatCode="0.00"/>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2" formatCode="0.00"/>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 formatCode="0"/>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67" formatCode="#,##0_ ;\-#,##0\ "/>
      <fill>
        <patternFill patternType="solid">
          <fgColor indexed="64"/>
          <bgColor theme="9" tint="0.5999938962981048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i val="0"/>
        <strike val="0"/>
        <condense val="0"/>
        <extend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scheme val="none"/>
      </font>
      <numFmt numFmtId="167" formatCode="#,##0_ ;\-#,##0\ "/>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0"/>
        <color auto="1"/>
        <name val="Arial Narrow"/>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9"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sz val="10"/>
        <name val="Arial Narrow"/>
        <scheme val="none"/>
      </font>
      <protection locked="1" hidden="0"/>
    </dxf>
    <dxf>
      <font>
        <b val="0"/>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top style="thin">
          <color theme="4" tint="0.39997558519241921"/>
        </top>
        <bottom style="thin">
          <color theme="4" tint="0.39997558519241921"/>
        </bottom>
      </border>
    </dxf>
    <dxf>
      <font>
        <b/>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Narrow"/>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border outline="0">
        <top style="thin">
          <color auto="1"/>
        </top>
        <bottom style="thin">
          <color theme="4" tint="0.39997558519241921"/>
        </bottom>
      </border>
    </dxf>
    <dxf>
      <font>
        <b val="0"/>
        <i val="0"/>
        <strike val="0"/>
        <condense val="0"/>
        <extend val="0"/>
        <outline val="0"/>
        <shadow val="0"/>
        <u val="none"/>
        <vertAlign val="baseline"/>
        <sz val="10"/>
        <color auto="1"/>
        <name val="Arial Narrow"/>
        <scheme val="none"/>
      </font>
      <fill>
        <patternFill patternType="solid">
          <fgColor indexed="64"/>
          <bgColor theme="0" tint="-0.14999847407452621"/>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Arial Narrow"/>
        <scheme val="none"/>
      </font>
      <fill>
        <patternFill patternType="solid">
          <fgColor theme="7"/>
          <bgColor theme="7"/>
        </patternFill>
      </fill>
      <alignment horizontal="center"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rgb="FFFF0000"/>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rgb="FFFF0000"/>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rgb="FFFF0000"/>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rgb="FFFF0000"/>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rgb="FFFF0000"/>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rgb="FFFF0000"/>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rgb="FFFF0000"/>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rgb="FFFF0000"/>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rgb="FFFF0000"/>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strike val="0"/>
        <outline val="0"/>
        <shadow val="0"/>
        <u val="none"/>
        <vertAlign val="baseline"/>
        <sz val="10"/>
        <color theme="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strike val="0"/>
        <outline val="0"/>
        <shadow val="0"/>
        <u val="none"/>
        <vertAlign val="baseline"/>
        <sz val="10"/>
        <color theme="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strike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strike val="0"/>
        <outline val="0"/>
        <shadow val="0"/>
        <u val="none"/>
        <vertAlign val="baseline"/>
        <sz val="10"/>
        <color rgb="FFFF0000"/>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strike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strike val="0"/>
        <outline val="0"/>
        <shadow val="0"/>
        <u val="none"/>
        <vertAlign val="baseline"/>
        <sz val="10"/>
        <color theme="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strike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strike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strike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strike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strike val="0"/>
        <outline val="0"/>
        <shadow val="0"/>
        <u val="none"/>
        <vertAlign val="baseline"/>
        <sz val="10"/>
        <color auto="1"/>
        <name val="Arial Narrow"/>
        <scheme val="none"/>
      </font>
      <numFmt numFmtId="167" formatCode="#,##0_ ;\-#,##0\ "/>
      <fill>
        <patternFill patternType="solid">
          <fgColor indexed="64"/>
          <bgColor theme="0" tint="-0.14999847407452621"/>
        </patternFill>
      </fill>
      <alignment horizontal="center" vertical="center" textRotation="0" wrapText="1" indent="0" justifyLastLine="0" shrinkToFit="0" readingOrder="0"/>
      <protection locked="1" hidden="1"/>
    </dxf>
    <dxf>
      <font>
        <b/>
        <strike val="0"/>
        <outline val="0"/>
        <shadow val="0"/>
        <u val="none"/>
        <vertAlign val="baseline"/>
        <sz val="10"/>
        <color rgb="FFFF0000"/>
        <name val="Arial Narrow"/>
        <scheme val="none"/>
      </font>
      <numFmt numFmtId="1" formatCode="0"/>
      <fill>
        <patternFill patternType="solid">
          <fgColor indexed="64"/>
          <bgColor theme="9" tint="0.59999389629810485"/>
        </patternFill>
      </fill>
      <alignment horizontal="center" vertical="center" textRotation="0" wrapText="1" indent="0" justifyLastLine="0" shrinkToFit="0" readingOrder="0"/>
      <protection locked="1" hidden="1"/>
    </dxf>
    <dxf>
      <font>
        <strike val="0"/>
        <outline val="0"/>
        <shadow val="0"/>
        <u val="none"/>
        <vertAlign val="baseline"/>
        <sz val="10"/>
        <color theme="1"/>
        <name val="Arial Narrow"/>
        <scheme val="none"/>
      </font>
      <numFmt numFmtId="1" formatCode="0"/>
      <fill>
        <patternFill patternType="solid">
          <fgColor indexed="64"/>
          <bgColor theme="0" tint="-0.14999847407452621"/>
        </patternFill>
      </fill>
      <alignment horizontal="center" vertical="center" textRotation="0" wrapText="1" indent="0" justifyLastLine="0" shrinkToFit="0" readingOrder="0"/>
      <protection locked="1" hidden="1"/>
    </dxf>
    <dxf>
      <font>
        <strike val="0"/>
        <outline val="0"/>
        <shadow val="0"/>
        <u val="none"/>
        <vertAlign val="baseline"/>
        <sz val="10"/>
        <color theme="1"/>
        <name val="Arial Narrow"/>
        <scheme val="none"/>
      </font>
      <numFmt numFmtId="1" formatCode="0"/>
      <fill>
        <patternFill patternType="solid">
          <fgColor indexed="64"/>
          <bgColor theme="0" tint="-0.14999847407452621"/>
        </patternFill>
      </fill>
      <alignment horizontal="center" vertical="center" textRotation="0" wrapText="1" indent="0" justifyLastLine="0" shrinkToFit="0" readingOrder="0"/>
      <protection locked="1" hidden="1"/>
    </dxf>
    <dxf>
      <font>
        <strike val="0"/>
        <outline val="0"/>
        <shadow val="0"/>
        <u val="none"/>
        <vertAlign val="baseline"/>
        <sz val="10"/>
        <color theme="1"/>
        <name val="Arial Narrow"/>
        <scheme val="none"/>
      </font>
      <numFmt numFmtId="1" formatCode="0"/>
      <fill>
        <patternFill patternType="solid">
          <fgColor indexed="64"/>
          <bgColor theme="0" tint="-0.14999847407452621"/>
        </patternFill>
      </fill>
      <alignment horizontal="center" vertical="center" textRotation="0" wrapText="1" indent="0" justifyLastLine="0" shrinkToFit="0" readingOrder="0"/>
      <protection locked="1" hidden="1"/>
    </dxf>
    <dxf>
      <font>
        <strike val="0"/>
        <outline val="0"/>
        <shadow val="0"/>
        <u val="none"/>
        <vertAlign val="baseline"/>
        <sz val="10"/>
        <color theme="1"/>
        <name val="Arial Narrow"/>
        <scheme val="none"/>
      </font>
      <numFmt numFmtId="1" formatCode="0"/>
      <fill>
        <patternFill patternType="solid">
          <fgColor indexed="64"/>
          <bgColor theme="0" tint="-0.14999847407452621"/>
        </patternFill>
      </fill>
      <alignment horizontal="center" vertical="center" textRotation="0" wrapText="1" indent="0" justifyLastLine="0" shrinkToFit="0" readingOrder="0"/>
      <protection locked="1" hidden="1"/>
    </dxf>
    <dxf>
      <font>
        <strike val="0"/>
        <outline val="0"/>
        <shadow val="0"/>
        <u val="none"/>
        <vertAlign val="baseline"/>
        <sz val="10"/>
        <color theme="1"/>
        <name val="Arial Narrow"/>
        <scheme val="none"/>
      </font>
      <numFmt numFmtId="1" formatCode="0"/>
      <fill>
        <patternFill patternType="solid">
          <fgColor indexed="64"/>
          <bgColor theme="0" tint="-0.14999847407452621"/>
        </patternFill>
      </fill>
      <alignment horizontal="center" vertical="center" textRotation="0" wrapText="1" indent="0" justifyLastLine="0" shrinkToFit="0" readingOrder="0"/>
      <protection locked="1" hidden="1"/>
    </dxf>
    <dxf>
      <font>
        <strike val="0"/>
        <outline val="0"/>
        <shadow val="0"/>
        <u val="none"/>
        <vertAlign val="baseline"/>
        <sz val="10"/>
        <color theme="1"/>
        <name val="Arial Narrow"/>
        <scheme val="none"/>
      </font>
      <numFmt numFmtId="1" formatCode="0"/>
      <fill>
        <patternFill patternType="solid">
          <fgColor indexed="64"/>
          <bgColor theme="0" tint="-0.14999847407452621"/>
        </patternFill>
      </fill>
      <alignment horizontal="center" vertical="center" textRotation="0" wrapText="1" indent="0" justifyLastLine="0" shrinkToFit="0" readingOrder="0"/>
      <protection locked="1" hidden="1"/>
    </dxf>
    <dxf>
      <font>
        <strike val="0"/>
        <outline val="0"/>
        <shadow val="0"/>
        <u val="none"/>
        <vertAlign val="baseline"/>
        <sz val="10"/>
        <color theme="1"/>
        <name val="Arial Narrow"/>
        <scheme val="none"/>
      </font>
      <numFmt numFmtId="1" formatCode="0"/>
      <fill>
        <patternFill patternType="solid">
          <fgColor indexed="64"/>
          <bgColor theme="0" tint="-0.14999847407452621"/>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Narrow"/>
        <scheme val="none"/>
      </font>
      <numFmt numFmtId="1" formatCode="0"/>
      <fill>
        <patternFill patternType="solid">
          <fgColor indexed="64"/>
          <bgColor theme="0" tint="-0.14999847407452621"/>
        </patternFill>
      </fill>
      <alignment horizontal="center" vertical="center" textRotation="0" wrapText="1" indent="0" justifyLastLine="0" shrinkToFit="0" readingOrder="0"/>
      <protection locked="1" hidden="1"/>
    </dxf>
    <dxf>
      <font>
        <strike val="0"/>
        <outline val="0"/>
        <shadow val="0"/>
        <u val="none"/>
        <vertAlign val="baseline"/>
        <sz val="10"/>
        <color theme="1"/>
        <name val="Arial Narrow"/>
        <scheme val="none"/>
      </font>
      <fill>
        <patternFill patternType="solid">
          <fgColor indexed="64"/>
          <bgColor theme="0" tint="-0.14999847407452621"/>
        </patternFill>
      </fill>
      <alignment horizontal="center" vertical="center" textRotation="0" wrapText="1" indent="0" justifyLastLine="0" shrinkToFit="0" readingOrder="0"/>
      <protection locked="1" hidden="1"/>
    </dxf>
    <dxf>
      <font>
        <strike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border>
      <protection locked="1" hidden="1"/>
    </dxf>
    <dxf>
      <fill>
        <patternFill>
          <bgColor theme="7" tint="0.79998168889431442"/>
        </patternFill>
      </fill>
    </dxf>
    <dxf>
      <font>
        <strike val="0"/>
        <outline val="0"/>
        <shadow val="0"/>
        <u val="none"/>
        <vertAlign val="baseline"/>
        <sz val="10"/>
        <color theme="1"/>
        <name val="Arial Narrow"/>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Arial Narrow"/>
        <scheme val="none"/>
      </font>
      <numFmt numFmtId="178" formatCode="d/m/yyyy"/>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scheme val="none"/>
      </font>
      <fill>
        <patternFill patternType="solid">
          <fgColor indexed="64"/>
          <bgColor theme="8" tint="0.59999389629810485"/>
        </patternFill>
      </fill>
      <alignment horizontal="center" vertical="center" textRotation="0" wrapText="1" indent="0" justifyLastLine="0" shrinkToFit="0" readingOrder="0"/>
      <protection locked="0" hidden="0"/>
    </dxf>
    <dxf>
      <border>
        <bottom style="thin">
          <color indexed="64"/>
        </bottom>
      </border>
    </dxf>
    <dxf>
      <font>
        <strike val="0"/>
        <outline val="0"/>
        <shadow val="0"/>
        <u val="none"/>
        <vertAlign val="baseline"/>
        <sz val="10"/>
        <color auto="1"/>
        <name val="Arial Narrow"/>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i val="0"/>
        <strike val="0"/>
        <condense val="0"/>
        <extend val="0"/>
        <outline val="0"/>
        <shadow val="0"/>
        <u val="none"/>
        <vertAlign val="baseline"/>
        <sz val="11"/>
        <color theme="1"/>
        <name val="Calibri"/>
        <scheme val="minor"/>
      </font>
    </dxf>
    <dxf>
      <numFmt numFmtId="0" formatCode="General"/>
    </dxf>
    <dxf>
      <font>
        <b/>
        <i val="0"/>
        <strike val="0"/>
        <condense val="0"/>
        <extend val="0"/>
        <outline val="0"/>
        <shadow val="0"/>
        <u val="none"/>
        <vertAlign val="baseline"/>
        <sz val="11"/>
        <color theme="0"/>
        <name val="Calibri"/>
        <scheme val="minor"/>
      </font>
      <fill>
        <patternFill patternType="none">
          <fgColor indexed="64"/>
          <bgColor auto="1"/>
        </patternFill>
      </fill>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microsoft.com/office/2006/relationships/vbaProject" Target="vbaProject.bin"/></Relationships>
</file>

<file path=xl/drawings/_rels/drawing1.xml.rels><?xml version="1.0" encoding="UTF-8" standalone="yes"?>
<Relationships xmlns="http://schemas.openxmlformats.org/package/2006/relationships"><Relationship Id="rId8" Type="http://schemas.openxmlformats.org/officeDocument/2006/relationships/hyperlink" Target="#GLOSARIO!A1"/><Relationship Id="rId13" Type="http://schemas.openxmlformats.org/officeDocument/2006/relationships/hyperlink" Target="#'Territorializaci&#243;n y Poblaci&#243;n'!A1"/><Relationship Id="rId3" Type="http://schemas.openxmlformats.org/officeDocument/2006/relationships/hyperlink" Target="#'Productos MGA'!A1"/><Relationship Id="rId7" Type="http://schemas.openxmlformats.org/officeDocument/2006/relationships/hyperlink" Target="#INDICE!A1"/><Relationship Id="rId12" Type="http://schemas.openxmlformats.org/officeDocument/2006/relationships/hyperlink" Target="#Soportes!A1"/><Relationship Id="rId2" Type="http://schemas.openxmlformats.org/officeDocument/2006/relationships/hyperlink" Target="#Proyecto!A1"/><Relationship Id="rId16" Type="http://schemas.openxmlformats.org/officeDocument/2006/relationships/hyperlink" Target="#Glosario!A1"/><Relationship Id="rId1" Type="http://schemas.openxmlformats.org/officeDocument/2006/relationships/hyperlink" Target="#'Cuadro Control'!A1"/><Relationship Id="rId6" Type="http://schemas.openxmlformats.org/officeDocument/2006/relationships/hyperlink" Target="#'Metas PDD'!A1"/><Relationship Id="rId11" Type="http://schemas.openxmlformats.org/officeDocument/2006/relationships/image" Target="../media/image1.jpeg"/><Relationship Id="rId5" Type="http://schemas.openxmlformats.org/officeDocument/2006/relationships/hyperlink" Target="#Actividades!A1"/><Relationship Id="rId15" Type="http://schemas.openxmlformats.org/officeDocument/2006/relationships/hyperlink" Target="#EJECUCI&#211;N!A1"/><Relationship Id="rId10" Type="http://schemas.openxmlformats.org/officeDocument/2006/relationships/hyperlink" Target="#Tareas!A1"/><Relationship Id="rId4" Type="http://schemas.openxmlformats.org/officeDocument/2006/relationships/hyperlink" Target="#'Metas proyecto'!A1"/><Relationship Id="rId9" Type="http://schemas.openxmlformats.org/officeDocument/2006/relationships/hyperlink" Target="#Instrucciones!A1"/><Relationship Id="rId14" Type="http://schemas.openxmlformats.org/officeDocument/2006/relationships/hyperlink" Target="#'Directorio UNDOPE'!A1"/></Relationships>
</file>

<file path=xl/drawings/_rels/drawing2.xml.rels><?xml version="1.0" encoding="UTF-8" standalone="yes"?>
<Relationships xmlns="http://schemas.openxmlformats.org/package/2006/relationships"><Relationship Id="rId3" Type="http://schemas.openxmlformats.org/officeDocument/2006/relationships/hyperlink" Target="#Instrucciones!A1"/><Relationship Id="rId2" Type="http://schemas.openxmlformats.org/officeDocument/2006/relationships/hyperlink" Target="#GLOSARIO!A1"/><Relationship Id="rId1" Type="http://schemas.openxmlformats.org/officeDocument/2006/relationships/hyperlink" Target="#INDICE!A1"/><Relationship Id="rId4"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Instrucciones!A1"/><Relationship Id="rId2" Type="http://schemas.openxmlformats.org/officeDocument/2006/relationships/hyperlink" Target="#GLOSARIO!A1"/><Relationship Id="rId1" Type="http://schemas.openxmlformats.org/officeDocument/2006/relationships/hyperlink" Target="#INDICE!A1"/><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strucciones!A1"/><Relationship Id="rId2" Type="http://schemas.openxmlformats.org/officeDocument/2006/relationships/hyperlink" Target="#GLOSARIO!A1"/><Relationship Id="rId1" Type="http://schemas.openxmlformats.org/officeDocument/2006/relationships/hyperlink" Target="#INDICE!A1"/><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Instrucciones!A1"/><Relationship Id="rId2" Type="http://schemas.openxmlformats.org/officeDocument/2006/relationships/hyperlink" Target="#GLOSARIO!A1"/><Relationship Id="rId1" Type="http://schemas.openxmlformats.org/officeDocument/2006/relationships/hyperlink" Target="#INDICE!A1"/><Relationship Id="rId4"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Instrucciones!A1"/><Relationship Id="rId2" Type="http://schemas.openxmlformats.org/officeDocument/2006/relationships/hyperlink" Target="#GLOSARIO!A1"/><Relationship Id="rId1" Type="http://schemas.openxmlformats.org/officeDocument/2006/relationships/hyperlink" Target="#INDICE!A1"/><Relationship Id="rId4"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strucciones!A1"/><Relationship Id="rId2" Type="http://schemas.openxmlformats.org/officeDocument/2006/relationships/hyperlink" Target="#GLOSARIO!A1"/><Relationship Id="rId1" Type="http://schemas.openxmlformats.org/officeDocument/2006/relationships/hyperlink" Target="#INDICE!A1"/><Relationship Id="rId4"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Instrucciones!A1"/><Relationship Id="rId2" Type="http://schemas.openxmlformats.org/officeDocument/2006/relationships/hyperlink" Target="#GLOSARIO!A1"/><Relationship Id="rId1" Type="http://schemas.openxmlformats.org/officeDocument/2006/relationships/hyperlink" Target="#INDICE!A1"/><Relationship Id="rId4"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hyperlink" Target="#Instrucciones!A1"/><Relationship Id="rId2" Type="http://schemas.openxmlformats.org/officeDocument/2006/relationships/hyperlink" Target="#GLOSARIO!A1"/><Relationship Id="rId1" Type="http://schemas.openxmlformats.org/officeDocument/2006/relationships/hyperlink" Target="#INDICE!A1"/><Relationship Id="rId4"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hyperlink" Target="#Instrucciones!A1"/><Relationship Id="rId2" Type="http://schemas.openxmlformats.org/officeDocument/2006/relationships/hyperlink" Target="#GLOSARIO!A1"/><Relationship Id="rId1" Type="http://schemas.openxmlformats.org/officeDocument/2006/relationships/hyperlink" Target="#INDICE!A1"/><Relationship Id="rId4"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hyperlink" Target="#Instrucciones!A1"/><Relationship Id="rId2" Type="http://schemas.openxmlformats.org/officeDocument/2006/relationships/hyperlink" Target="#GLOSARIO!A1"/><Relationship Id="rId1" Type="http://schemas.openxmlformats.org/officeDocument/2006/relationships/hyperlink" Target="#INDICE!A1"/><Relationship Id="rId4"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hyperlink" Target="#Instrucciones!A1"/><Relationship Id="rId2" Type="http://schemas.openxmlformats.org/officeDocument/2006/relationships/hyperlink" Target="#GLOSARIO!A1"/><Relationship Id="rId1" Type="http://schemas.openxmlformats.org/officeDocument/2006/relationships/hyperlink" Target="#INDICE!A1"/><Relationship Id="rId4"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hyperlink" Target="#GLOSARIO!A1"/><Relationship Id="rId7"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3.png"/><Relationship Id="rId6"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hyperlink" Target="#Instrucciones!A1"/></Relationships>
</file>

<file path=xl/drawings/drawing1.xml><?xml version="1.0" encoding="utf-8"?>
<xdr:wsDr xmlns:xdr="http://schemas.openxmlformats.org/drawingml/2006/spreadsheetDrawing" xmlns:a="http://schemas.openxmlformats.org/drawingml/2006/main">
  <xdr:twoCellAnchor editAs="absolute">
    <xdr:from>
      <xdr:col>2</xdr:col>
      <xdr:colOff>31792</xdr:colOff>
      <xdr:row>8</xdr:row>
      <xdr:rowOff>124782</xdr:rowOff>
    </xdr:from>
    <xdr:to>
      <xdr:col>7</xdr:col>
      <xdr:colOff>775581</xdr:colOff>
      <xdr:row>9</xdr:row>
      <xdr:rowOff>216114</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600-000002000000}"/>
            </a:ext>
          </a:extLst>
        </xdr:cNvPr>
        <xdr:cNvSpPr>
          <a:spLocks noChangeAspect="1"/>
        </xdr:cNvSpPr>
      </xdr:nvSpPr>
      <xdr:spPr>
        <a:xfrm>
          <a:off x="1250992" y="2231488"/>
          <a:ext cx="4957201" cy="351308"/>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s-CO" sz="1600" b="1">
              <a:solidFill>
                <a:sysClr val="windowText" lastClr="000000"/>
              </a:solidFill>
              <a:effectLst/>
              <a:latin typeface="+mn-lt"/>
              <a:ea typeface="+mn-ea"/>
              <a:cs typeface="+mn-cs"/>
            </a:rPr>
            <a:t>CUADRO CONTROL</a:t>
          </a:r>
          <a:endParaRPr lang="es-CO" sz="1600" b="1">
            <a:solidFill>
              <a:sysClr val="windowText" lastClr="000000"/>
            </a:solidFill>
          </a:endParaRPr>
        </a:p>
      </xdr:txBody>
    </xdr:sp>
    <xdr:clientData/>
  </xdr:twoCellAnchor>
  <xdr:twoCellAnchor editAs="absolute">
    <xdr:from>
      <xdr:col>2</xdr:col>
      <xdr:colOff>32558</xdr:colOff>
      <xdr:row>11</xdr:row>
      <xdr:rowOff>215447</xdr:rowOff>
    </xdr:from>
    <xdr:to>
      <xdr:col>7</xdr:col>
      <xdr:colOff>761370</xdr:colOff>
      <xdr:row>13</xdr:row>
      <xdr:rowOff>53664</xdr:rowOff>
    </xdr:to>
    <xdr:sp macro="" textlink="">
      <xdr:nvSpPr>
        <xdr:cNvPr id="5" name="Rectángulo redondeado 8">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spect="1"/>
        </xdr:cNvSpPr>
      </xdr:nvSpPr>
      <xdr:spPr>
        <a:xfrm>
          <a:off x="1276411" y="3095359"/>
          <a:ext cx="5043077" cy="353687"/>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s-CO" sz="1600" b="1" baseline="0">
              <a:solidFill>
                <a:sysClr val="windowText" lastClr="000000"/>
              </a:solidFill>
            </a:rPr>
            <a:t>PROYECTO</a:t>
          </a:r>
        </a:p>
      </xdr:txBody>
    </xdr:sp>
    <xdr:clientData/>
  </xdr:twoCellAnchor>
  <xdr:twoCellAnchor editAs="absolute">
    <xdr:from>
      <xdr:col>2</xdr:col>
      <xdr:colOff>30310</xdr:colOff>
      <xdr:row>17</xdr:row>
      <xdr:rowOff>115263</xdr:rowOff>
    </xdr:from>
    <xdr:to>
      <xdr:col>7</xdr:col>
      <xdr:colOff>763617</xdr:colOff>
      <xdr:row>18</xdr:row>
      <xdr:rowOff>213496</xdr:rowOff>
    </xdr:to>
    <xdr:sp macro="" textlink="">
      <xdr:nvSpPr>
        <xdr:cNvPr id="7" name="Rectángulo redondeado 10">
          <a:hlinkClick xmlns:r="http://schemas.openxmlformats.org/officeDocument/2006/relationships" r:id="rId3"/>
          <a:extLst>
            <a:ext uri="{FF2B5EF4-FFF2-40B4-BE49-F238E27FC236}">
              <a16:creationId xmlns:a16="http://schemas.microsoft.com/office/drawing/2014/main" id="{00000000-0008-0000-0600-000007000000}"/>
            </a:ext>
          </a:extLst>
        </xdr:cNvPr>
        <xdr:cNvSpPr>
          <a:spLocks noChangeAspect="1"/>
        </xdr:cNvSpPr>
      </xdr:nvSpPr>
      <xdr:spPr>
        <a:xfrm>
          <a:off x="1274163" y="4541587"/>
          <a:ext cx="5047572" cy="355968"/>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s-CO" sz="1600" b="1">
              <a:solidFill>
                <a:sysClr val="windowText" lastClr="000000"/>
              </a:solidFill>
            </a:rPr>
            <a:t>PRODUCTOS MGA</a:t>
          </a:r>
        </a:p>
      </xdr:txBody>
    </xdr:sp>
    <xdr:clientData/>
  </xdr:twoCellAnchor>
  <xdr:twoCellAnchor editAs="absolute">
    <xdr:from>
      <xdr:col>2</xdr:col>
      <xdr:colOff>42335</xdr:colOff>
      <xdr:row>13</xdr:row>
      <xdr:rowOff>191587</xdr:rowOff>
    </xdr:from>
    <xdr:to>
      <xdr:col>7</xdr:col>
      <xdr:colOff>774003</xdr:colOff>
      <xdr:row>15</xdr:row>
      <xdr:rowOff>32083</xdr:rowOff>
    </xdr:to>
    <xdr:sp macro="" textlink="">
      <xdr:nvSpPr>
        <xdr:cNvPr id="8" name="Rectángulo redondeado 11">
          <a:hlinkClick xmlns:r="http://schemas.openxmlformats.org/officeDocument/2006/relationships" r:id="rId4"/>
          <a:extLst>
            <a:ext uri="{FF2B5EF4-FFF2-40B4-BE49-F238E27FC236}">
              <a16:creationId xmlns:a16="http://schemas.microsoft.com/office/drawing/2014/main" id="{00000000-0008-0000-0600-000008000000}"/>
            </a:ext>
          </a:extLst>
        </xdr:cNvPr>
        <xdr:cNvSpPr>
          <a:spLocks noChangeAspect="1"/>
        </xdr:cNvSpPr>
      </xdr:nvSpPr>
      <xdr:spPr>
        <a:xfrm>
          <a:off x="1286188" y="3586969"/>
          <a:ext cx="5045933" cy="355967"/>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s-CO" sz="1600" b="1">
              <a:solidFill>
                <a:sysClr val="windowText" lastClr="000000"/>
              </a:solidFill>
            </a:rPr>
            <a:t>METAS PROYECTO</a:t>
          </a:r>
        </a:p>
      </xdr:txBody>
    </xdr:sp>
    <xdr:clientData/>
  </xdr:twoCellAnchor>
  <xdr:twoCellAnchor editAs="absolute">
    <xdr:from>
      <xdr:col>2</xdr:col>
      <xdr:colOff>34533</xdr:colOff>
      <xdr:row>19</xdr:row>
      <xdr:rowOff>65948</xdr:rowOff>
    </xdr:from>
    <xdr:to>
      <xdr:col>7</xdr:col>
      <xdr:colOff>759392</xdr:colOff>
      <xdr:row>20</xdr:row>
      <xdr:rowOff>163382</xdr:rowOff>
    </xdr:to>
    <xdr:sp macro="" textlink="">
      <xdr:nvSpPr>
        <xdr:cNvPr id="9" name="Rectángulo redondeado 12">
          <a:hlinkClick xmlns:r="http://schemas.openxmlformats.org/officeDocument/2006/relationships" r:id="rId5"/>
          <a:extLst>
            <a:ext uri="{FF2B5EF4-FFF2-40B4-BE49-F238E27FC236}">
              <a16:creationId xmlns:a16="http://schemas.microsoft.com/office/drawing/2014/main" id="{00000000-0008-0000-0600-000009000000}"/>
            </a:ext>
          </a:extLst>
        </xdr:cNvPr>
        <xdr:cNvSpPr>
          <a:spLocks noChangeAspect="1"/>
        </xdr:cNvSpPr>
      </xdr:nvSpPr>
      <xdr:spPr>
        <a:xfrm>
          <a:off x="1278386" y="5007742"/>
          <a:ext cx="5039124" cy="355169"/>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s-CO" sz="1600" b="1">
              <a:solidFill>
                <a:sysClr val="windowText" lastClr="000000"/>
              </a:solidFill>
            </a:rPr>
            <a:t>ACTIVIDADES</a:t>
          </a:r>
        </a:p>
      </xdr:txBody>
    </xdr:sp>
    <xdr:clientData/>
  </xdr:twoCellAnchor>
  <xdr:twoCellAnchor editAs="absolute">
    <xdr:from>
      <xdr:col>2</xdr:col>
      <xdr:colOff>36275</xdr:colOff>
      <xdr:row>15</xdr:row>
      <xdr:rowOff>161208</xdr:rowOff>
    </xdr:from>
    <xdr:to>
      <xdr:col>7</xdr:col>
      <xdr:colOff>780064</xdr:colOff>
      <xdr:row>17</xdr:row>
      <xdr:rowOff>2326</xdr:rowOff>
    </xdr:to>
    <xdr:sp macro="" textlink="">
      <xdr:nvSpPr>
        <xdr:cNvPr id="10" name="Rectángulo redondeado 9">
          <a:hlinkClick xmlns:r="http://schemas.openxmlformats.org/officeDocument/2006/relationships" r:id="rId6"/>
          <a:extLst>
            <a:ext uri="{FF2B5EF4-FFF2-40B4-BE49-F238E27FC236}">
              <a16:creationId xmlns:a16="http://schemas.microsoft.com/office/drawing/2014/main" id="{00000000-0008-0000-0600-00000A000000}"/>
            </a:ext>
          </a:extLst>
        </xdr:cNvPr>
        <xdr:cNvSpPr>
          <a:spLocks noChangeAspect="1"/>
        </xdr:cNvSpPr>
      </xdr:nvSpPr>
      <xdr:spPr>
        <a:xfrm>
          <a:off x="1280128" y="4072061"/>
          <a:ext cx="5058054" cy="356589"/>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s-CO" sz="1600" b="1">
              <a:solidFill>
                <a:sysClr val="windowText" lastClr="000000"/>
              </a:solidFill>
            </a:rPr>
            <a:t>METAS PDD</a:t>
          </a:r>
          <a:endParaRPr lang="es-CO" sz="1600" b="1" baseline="0">
            <a:solidFill>
              <a:sysClr val="windowText" lastClr="000000"/>
            </a:solidFill>
          </a:endParaRPr>
        </a:p>
      </xdr:txBody>
    </xdr:sp>
    <xdr:clientData/>
  </xdr:twoCellAnchor>
  <xdr:twoCellAnchor editAs="absolute">
    <xdr:from>
      <xdr:col>9</xdr:col>
      <xdr:colOff>420212</xdr:colOff>
      <xdr:row>6</xdr:row>
      <xdr:rowOff>188397</xdr:rowOff>
    </xdr:from>
    <xdr:to>
      <xdr:col>20</xdr:col>
      <xdr:colOff>117148</xdr:colOff>
      <xdr:row>8</xdr:row>
      <xdr:rowOff>54428</xdr:rowOff>
    </xdr:to>
    <xdr:grpSp>
      <xdr:nvGrpSpPr>
        <xdr:cNvPr id="11" name="Grupo 10">
          <a:extLst>
            <a:ext uri="{FF2B5EF4-FFF2-40B4-BE49-F238E27FC236}">
              <a16:creationId xmlns:a16="http://schemas.microsoft.com/office/drawing/2014/main" id="{00000000-0008-0000-0600-00000B000000}"/>
            </a:ext>
          </a:extLst>
        </xdr:cNvPr>
        <xdr:cNvGrpSpPr/>
      </xdr:nvGrpSpPr>
      <xdr:grpSpPr>
        <a:xfrm>
          <a:off x="7538188" y="1775150"/>
          <a:ext cx="6788019" cy="385984"/>
          <a:chOff x="7767269" y="1821254"/>
          <a:chExt cx="7017579" cy="546389"/>
        </a:xfrm>
      </xdr:grpSpPr>
      <xdr:sp macro="" textlink="">
        <xdr:nvSpPr>
          <xdr:cNvPr id="12" name="Flecha izquierda 6">
            <a:hlinkClick xmlns:r="http://schemas.openxmlformats.org/officeDocument/2006/relationships" r:id="rId7"/>
            <a:extLst>
              <a:ext uri="{FF2B5EF4-FFF2-40B4-BE49-F238E27FC236}">
                <a16:creationId xmlns:a16="http://schemas.microsoft.com/office/drawing/2014/main" id="{00000000-0008-0000-0600-00000C000000}"/>
              </a:ext>
            </a:extLst>
          </xdr:cNvPr>
          <xdr:cNvSpPr>
            <a:spLocks noChangeAspect="1"/>
          </xdr:cNvSpPr>
        </xdr:nvSpPr>
        <xdr:spPr>
          <a:xfrm>
            <a:off x="7767269" y="1827415"/>
            <a:ext cx="2229037" cy="540228"/>
          </a:xfrm>
          <a:prstGeom prst="leftArrow">
            <a:avLst>
              <a:gd name="adj1" fmla="val 100000"/>
              <a:gd name="adj2" fmla="val 60586"/>
            </a:avLst>
          </a:prstGeom>
          <a:solidFill>
            <a:srgbClr val="9B6C03"/>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s-CO" sz="1500" b="1">
                <a:solidFill>
                  <a:schemeClr val="bg1"/>
                </a:solidFill>
                <a:latin typeface="Arial" panose="020B0604020202020204" pitchFamily="34" charset="0"/>
                <a:cs typeface="Arial" panose="020B0604020202020204" pitchFamily="34" charset="0"/>
              </a:rPr>
              <a:t>INDICE </a:t>
            </a:r>
          </a:p>
        </xdr:txBody>
      </xdr:sp>
      <xdr:sp macro="" textlink="">
        <xdr:nvSpPr>
          <xdr:cNvPr id="13" name="Flecha izquierda 8">
            <a:hlinkClick xmlns:r="http://schemas.openxmlformats.org/officeDocument/2006/relationships" r:id="rId8"/>
            <a:extLst>
              <a:ext uri="{FF2B5EF4-FFF2-40B4-BE49-F238E27FC236}">
                <a16:creationId xmlns:a16="http://schemas.microsoft.com/office/drawing/2014/main" id="{00000000-0008-0000-0600-00000D000000}"/>
              </a:ext>
            </a:extLst>
          </xdr:cNvPr>
          <xdr:cNvSpPr>
            <a:spLocks noChangeAspect="1"/>
          </xdr:cNvSpPr>
        </xdr:nvSpPr>
        <xdr:spPr>
          <a:xfrm>
            <a:off x="10172477" y="1821254"/>
            <a:ext cx="2229037" cy="540228"/>
          </a:xfrm>
          <a:prstGeom prst="leftArrow">
            <a:avLst>
              <a:gd name="adj1" fmla="val 100000"/>
              <a:gd name="adj2" fmla="val 0"/>
            </a:avLst>
          </a:prstGeom>
          <a:solidFill>
            <a:srgbClr val="FAB625"/>
          </a:solidFill>
          <a:ln>
            <a:noFill/>
          </a:ln>
          <a:effectLst>
            <a:outerShdw blurRad="44450" dist="27940" dir="5400000" algn="ctr">
              <a:srgbClr val="000000">
                <a:alpha val="32000"/>
              </a:srgbClr>
            </a:outerShdw>
          </a:effectLst>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500" b="1" baseline="0">
                <a:solidFill>
                  <a:sysClr val="windowText" lastClr="000000"/>
                </a:solidFill>
                <a:latin typeface="Arial" panose="020B0604020202020204" pitchFamily="34" charset="0"/>
                <a:cs typeface="Arial" panose="020B0604020202020204" pitchFamily="34" charset="0"/>
              </a:rPr>
              <a:t>GLOSARIO</a:t>
            </a:r>
            <a:endParaRPr lang="es-CO" sz="1500" b="1">
              <a:solidFill>
                <a:sysClr val="windowText" lastClr="000000"/>
              </a:solidFill>
              <a:latin typeface="Arial" panose="020B0604020202020204" pitchFamily="34" charset="0"/>
              <a:cs typeface="Arial" panose="020B0604020202020204" pitchFamily="34" charset="0"/>
            </a:endParaRPr>
          </a:p>
        </xdr:txBody>
      </xdr:sp>
      <xdr:sp macro="" textlink="">
        <xdr:nvSpPr>
          <xdr:cNvPr id="14" name="Flecha izquierda 8">
            <a:hlinkClick xmlns:r="http://schemas.openxmlformats.org/officeDocument/2006/relationships" r:id="rId9"/>
            <a:extLst>
              <a:ext uri="{FF2B5EF4-FFF2-40B4-BE49-F238E27FC236}">
                <a16:creationId xmlns:a16="http://schemas.microsoft.com/office/drawing/2014/main" id="{00000000-0008-0000-0600-00000E000000}"/>
              </a:ext>
            </a:extLst>
          </xdr:cNvPr>
          <xdr:cNvSpPr>
            <a:spLocks noChangeAspect="1"/>
          </xdr:cNvSpPr>
        </xdr:nvSpPr>
        <xdr:spPr>
          <a:xfrm flipH="1">
            <a:off x="12555811" y="1821254"/>
            <a:ext cx="2229037" cy="540228"/>
          </a:xfrm>
          <a:prstGeom prst="leftArrow">
            <a:avLst>
              <a:gd name="adj1" fmla="val 100000"/>
              <a:gd name="adj2" fmla="val 46148"/>
            </a:avLst>
          </a:prstGeom>
          <a:solidFill>
            <a:srgbClr val="FAB625"/>
          </a:solidFill>
          <a:ln>
            <a:noFill/>
          </a:ln>
          <a:effectLst>
            <a:outerShdw blurRad="44450" dist="27940" dir="5400000" algn="ctr">
              <a:srgbClr val="000000">
                <a:alpha val="32000"/>
              </a:srgbClr>
            </a:outerShdw>
          </a:effectLst>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500" b="1" baseline="0">
                <a:solidFill>
                  <a:sysClr val="windowText" lastClr="000000"/>
                </a:solidFill>
                <a:latin typeface="Arial" panose="020B0604020202020204" pitchFamily="34" charset="0"/>
                <a:cs typeface="Arial" panose="020B0604020202020204" pitchFamily="34" charset="0"/>
              </a:rPr>
              <a:t>INSTRUCCIONES</a:t>
            </a:r>
          </a:p>
        </xdr:txBody>
      </xdr:sp>
    </xdr:grpSp>
    <xdr:clientData/>
  </xdr:twoCellAnchor>
  <xdr:twoCellAnchor editAs="absolute">
    <xdr:from>
      <xdr:col>2</xdr:col>
      <xdr:colOff>37007</xdr:colOff>
      <xdr:row>21</xdr:row>
      <xdr:rowOff>8882</xdr:rowOff>
    </xdr:from>
    <xdr:to>
      <xdr:col>7</xdr:col>
      <xdr:colOff>756918</xdr:colOff>
      <xdr:row>22</xdr:row>
      <xdr:rowOff>107115</xdr:rowOff>
    </xdr:to>
    <xdr:sp macro="" textlink="">
      <xdr:nvSpPr>
        <xdr:cNvPr id="15" name="Rectángulo redondeado 12">
          <a:hlinkClick xmlns:r="http://schemas.openxmlformats.org/officeDocument/2006/relationships" r:id="rId10"/>
          <a:extLst>
            <a:ext uri="{FF2B5EF4-FFF2-40B4-BE49-F238E27FC236}">
              <a16:creationId xmlns:a16="http://schemas.microsoft.com/office/drawing/2014/main" id="{00000000-0008-0000-0600-00000F000000}"/>
            </a:ext>
          </a:extLst>
        </xdr:cNvPr>
        <xdr:cNvSpPr>
          <a:spLocks noChangeAspect="1"/>
        </xdr:cNvSpPr>
      </xdr:nvSpPr>
      <xdr:spPr>
        <a:xfrm>
          <a:off x="1280860" y="5466147"/>
          <a:ext cx="5034176" cy="355968"/>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s-CO" sz="1600" b="1">
              <a:solidFill>
                <a:sysClr val="windowText" lastClr="000000"/>
              </a:solidFill>
            </a:rPr>
            <a:t>TAREAS</a:t>
          </a:r>
        </a:p>
      </xdr:txBody>
    </xdr:sp>
    <xdr:clientData/>
  </xdr:twoCellAnchor>
  <xdr:twoCellAnchor editAs="oneCell">
    <xdr:from>
      <xdr:col>1</xdr:col>
      <xdr:colOff>442554</xdr:colOff>
      <xdr:row>1</xdr:row>
      <xdr:rowOff>78202</xdr:rowOff>
    </xdr:from>
    <xdr:to>
      <xdr:col>3</xdr:col>
      <xdr:colOff>260777</xdr:colOff>
      <xdr:row>4</xdr:row>
      <xdr:rowOff>190500</xdr:rowOff>
    </xdr:to>
    <xdr:pic>
      <xdr:nvPicPr>
        <xdr:cNvPr id="16" name="Imagen 2" descr="escudo-alc">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23554" y="335937"/>
          <a:ext cx="1543929" cy="930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59419</xdr:colOff>
      <xdr:row>22</xdr:row>
      <xdr:rowOff>205306</xdr:rowOff>
    </xdr:from>
    <xdr:to>
      <xdr:col>7</xdr:col>
      <xdr:colOff>779330</xdr:colOff>
      <xdr:row>24</xdr:row>
      <xdr:rowOff>45804</xdr:rowOff>
    </xdr:to>
    <xdr:sp macro="" textlink="">
      <xdr:nvSpPr>
        <xdr:cNvPr id="17" name="Rectángulo redondeado 12">
          <a:hlinkClick xmlns:r="http://schemas.openxmlformats.org/officeDocument/2006/relationships" r:id="rId12"/>
          <a:extLst>
            <a:ext uri="{FF2B5EF4-FFF2-40B4-BE49-F238E27FC236}">
              <a16:creationId xmlns:a16="http://schemas.microsoft.com/office/drawing/2014/main" id="{00000000-0008-0000-0600-000011000000}"/>
            </a:ext>
          </a:extLst>
        </xdr:cNvPr>
        <xdr:cNvSpPr>
          <a:spLocks noChangeAspect="1"/>
        </xdr:cNvSpPr>
      </xdr:nvSpPr>
      <xdr:spPr>
        <a:xfrm>
          <a:off x="1303272" y="5920306"/>
          <a:ext cx="5034176" cy="355969"/>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s-CO" sz="1600" b="1">
              <a:solidFill>
                <a:sysClr val="windowText" lastClr="000000"/>
              </a:solidFill>
            </a:rPr>
            <a:t>SOPORTES</a:t>
          </a:r>
        </a:p>
      </xdr:txBody>
    </xdr:sp>
    <xdr:clientData/>
  </xdr:twoCellAnchor>
  <xdr:twoCellAnchor editAs="absolute">
    <xdr:from>
      <xdr:col>2</xdr:col>
      <xdr:colOff>70625</xdr:colOff>
      <xdr:row>24</xdr:row>
      <xdr:rowOff>135989</xdr:rowOff>
    </xdr:from>
    <xdr:to>
      <xdr:col>7</xdr:col>
      <xdr:colOff>790536</xdr:colOff>
      <xdr:row>25</xdr:row>
      <xdr:rowOff>233421</xdr:rowOff>
    </xdr:to>
    <xdr:sp macro="" textlink="">
      <xdr:nvSpPr>
        <xdr:cNvPr id="18" name="Rectángulo redondeado 12">
          <a:hlinkClick xmlns:r="http://schemas.openxmlformats.org/officeDocument/2006/relationships" r:id="rId13"/>
          <a:extLst>
            <a:ext uri="{FF2B5EF4-FFF2-40B4-BE49-F238E27FC236}">
              <a16:creationId xmlns:a16="http://schemas.microsoft.com/office/drawing/2014/main" id="{00000000-0008-0000-0600-000012000000}"/>
            </a:ext>
          </a:extLst>
        </xdr:cNvPr>
        <xdr:cNvSpPr>
          <a:spLocks noChangeAspect="1"/>
        </xdr:cNvSpPr>
      </xdr:nvSpPr>
      <xdr:spPr>
        <a:xfrm>
          <a:off x="1314478" y="6366460"/>
          <a:ext cx="5034176" cy="355167"/>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s-CO" sz="1600" b="1">
              <a:solidFill>
                <a:sysClr val="windowText" lastClr="000000"/>
              </a:solidFill>
            </a:rPr>
            <a:t>TERRITORIALIZACIÓN Y POBLACIÓN</a:t>
          </a:r>
        </a:p>
      </xdr:txBody>
    </xdr:sp>
    <xdr:clientData/>
  </xdr:twoCellAnchor>
  <xdr:twoCellAnchor editAs="absolute">
    <xdr:from>
      <xdr:col>2</xdr:col>
      <xdr:colOff>59581</xdr:colOff>
      <xdr:row>26</xdr:row>
      <xdr:rowOff>73238</xdr:rowOff>
    </xdr:from>
    <xdr:to>
      <xdr:col>7</xdr:col>
      <xdr:colOff>779492</xdr:colOff>
      <xdr:row>27</xdr:row>
      <xdr:rowOff>171471</xdr:rowOff>
    </xdr:to>
    <xdr:sp macro="" textlink="">
      <xdr:nvSpPr>
        <xdr:cNvPr id="20" name="Rectángulo redondeado 12">
          <a:hlinkClick xmlns:r="http://schemas.openxmlformats.org/officeDocument/2006/relationships" r:id="rId14"/>
          <a:extLst>
            <a:ext uri="{FF2B5EF4-FFF2-40B4-BE49-F238E27FC236}">
              <a16:creationId xmlns:a16="http://schemas.microsoft.com/office/drawing/2014/main" id="{00000000-0008-0000-0600-000014000000}"/>
            </a:ext>
          </a:extLst>
        </xdr:cNvPr>
        <xdr:cNvSpPr>
          <a:spLocks noChangeAspect="1"/>
        </xdr:cNvSpPr>
      </xdr:nvSpPr>
      <xdr:spPr>
        <a:xfrm>
          <a:off x="1278781" y="6823662"/>
          <a:ext cx="4933323" cy="358209"/>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s-CO" sz="1600" b="1">
              <a:solidFill>
                <a:sysClr val="windowText" lastClr="000000"/>
              </a:solidFill>
            </a:rPr>
            <a:t>DIRECTORIO DE UNIDADES</a:t>
          </a:r>
          <a:r>
            <a:rPr lang="es-CO" sz="1600" b="1" baseline="0">
              <a:solidFill>
                <a:sysClr val="windowText" lastClr="000000"/>
              </a:solidFill>
            </a:rPr>
            <a:t> OPERATIVAS</a:t>
          </a:r>
          <a:endParaRPr lang="es-CO" sz="1600" b="1">
            <a:solidFill>
              <a:sysClr val="windowText" lastClr="000000"/>
            </a:solidFill>
          </a:endParaRPr>
        </a:p>
      </xdr:txBody>
    </xdr:sp>
    <xdr:clientData/>
  </xdr:twoCellAnchor>
  <xdr:twoCellAnchor editAs="absolute">
    <xdr:from>
      <xdr:col>2</xdr:col>
      <xdr:colOff>30445</xdr:colOff>
      <xdr:row>10</xdr:row>
      <xdr:rowOff>46342</xdr:rowOff>
    </xdr:from>
    <xdr:to>
      <xdr:col>7</xdr:col>
      <xdr:colOff>750356</xdr:colOff>
      <xdr:row>11</xdr:row>
      <xdr:rowOff>153540</xdr:rowOff>
    </xdr:to>
    <xdr:sp macro="" textlink="">
      <xdr:nvSpPr>
        <xdr:cNvPr id="21" name="Rectángulo redondeado 12">
          <a:hlinkClick xmlns:r="http://schemas.openxmlformats.org/officeDocument/2006/relationships" r:id="rId15"/>
          <a:extLst>
            <a:ext uri="{FF2B5EF4-FFF2-40B4-BE49-F238E27FC236}">
              <a16:creationId xmlns:a16="http://schemas.microsoft.com/office/drawing/2014/main" id="{00000000-0008-0000-0600-000015000000}"/>
            </a:ext>
          </a:extLst>
        </xdr:cNvPr>
        <xdr:cNvSpPr>
          <a:spLocks noChangeAspect="1"/>
        </xdr:cNvSpPr>
      </xdr:nvSpPr>
      <xdr:spPr>
        <a:xfrm>
          <a:off x="1249645" y="2673001"/>
          <a:ext cx="4933323" cy="358210"/>
        </a:xfrm>
        <a:prstGeom prst="roundRect">
          <a:avLst/>
        </a:prstGeom>
        <a:solidFill>
          <a:schemeClr val="accent6"/>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s-CO" sz="1600" b="1">
              <a:solidFill>
                <a:sysClr val="windowText" lastClr="000000"/>
              </a:solidFill>
            </a:rPr>
            <a:t>EJECUCIÓN</a:t>
          </a:r>
        </a:p>
      </xdr:txBody>
    </xdr:sp>
    <xdr:clientData/>
  </xdr:twoCellAnchor>
  <xdr:twoCellAnchor editAs="absolute">
    <xdr:from>
      <xdr:col>2</xdr:col>
      <xdr:colOff>57339</xdr:colOff>
      <xdr:row>27</xdr:row>
      <xdr:rowOff>257014</xdr:rowOff>
    </xdr:from>
    <xdr:to>
      <xdr:col>7</xdr:col>
      <xdr:colOff>777250</xdr:colOff>
      <xdr:row>29</xdr:row>
      <xdr:rowOff>95270</xdr:rowOff>
    </xdr:to>
    <xdr:sp macro="" textlink="">
      <xdr:nvSpPr>
        <xdr:cNvPr id="19" name="Rectángulo redondeado 12">
          <a:hlinkClick xmlns:r="http://schemas.openxmlformats.org/officeDocument/2006/relationships" r:id="rId16"/>
          <a:extLst>
            <a:ext uri="{FF2B5EF4-FFF2-40B4-BE49-F238E27FC236}">
              <a16:creationId xmlns:a16="http://schemas.microsoft.com/office/drawing/2014/main" id="{A8D9501D-0224-4434-8E47-D8EA92A755B2}"/>
            </a:ext>
          </a:extLst>
        </xdr:cNvPr>
        <xdr:cNvSpPr>
          <a:spLocks noChangeAspect="1"/>
        </xdr:cNvSpPr>
      </xdr:nvSpPr>
      <xdr:spPr>
        <a:xfrm>
          <a:off x="1276539" y="7267414"/>
          <a:ext cx="4933323" cy="358209"/>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s-CO" sz="1600" b="1">
              <a:solidFill>
                <a:sysClr val="windowText" lastClr="000000"/>
              </a:solidFill>
            </a:rPr>
            <a:t>GLOSARIO</a:t>
          </a:r>
        </a:p>
      </xdr:txBody>
    </xdr:sp>
    <xdr:clientData/>
  </xdr:twoCellAnchor>
  <xdr:twoCellAnchor editAs="absolute">
    <xdr:from>
      <xdr:col>2</xdr:col>
      <xdr:colOff>66304</xdr:colOff>
      <xdr:row>29</xdr:row>
      <xdr:rowOff>203226</xdr:rowOff>
    </xdr:from>
    <xdr:to>
      <xdr:col>7</xdr:col>
      <xdr:colOff>786215</xdr:colOff>
      <xdr:row>31</xdr:row>
      <xdr:rowOff>41482</xdr:rowOff>
    </xdr:to>
    <xdr:sp macro="" textlink="">
      <xdr:nvSpPr>
        <xdr:cNvPr id="22" name="Rectángulo redondeado 12">
          <a:hlinkClick xmlns:r="http://schemas.openxmlformats.org/officeDocument/2006/relationships" r:id="rId9"/>
          <a:extLst>
            <a:ext uri="{FF2B5EF4-FFF2-40B4-BE49-F238E27FC236}">
              <a16:creationId xmlns:a16="http://schemas.microsoft.com/office/drawing/2014/main" id="{5CAC0D28-CC3A-4CF3-9D07-FF2F3F09283D}"/>
            </a:ext>
          </a:extLst>
        </xdr:cNvPr>
        <xdr:cNvSpPr>
          <a:spLocks noChangeAspect="1"/>
        </xdr:cNvSpPr>
      </xdr:nvSpPr>
      <xdr:spPr>
        <a:xfrm>
          <a:off x="1285504" y="7733579"/>
          <a:ext cx="4933323" cy="358209"/>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s-CO" sz="1600" b="1">
              <a:solidFill>
                <a:sysClr val="windowText" lastClr="000000"/>
              </a:solidFill>
            </a:rPr>
            <a:t>INSTRUCCIONES</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1030276</xdr:colOff>
      <xdr:row>7</xdr:row>
      <xdr:rowOff>45540</xdr:rowOff>
    </xdr:from>
    <xdr:to>
      <xdr:col>8</xdr:col>
      <xdr:colOff>803026</xdr:colOff>
      <xdr:row>10</xdr:row>
      <xdr:rowOff>105107</xdr:rowOff>
    </xdr:to>
    <xdr:grpSp>
      <xdr:nvGrpSpPr>
        <xdr:cNvPr id="3" name="Grupo 2">
          <a:extLst>
            <a:ext uri="{FF2B5EF4-FFF2-40B4-BE49-F238E27FC236}">
              <a16:creationId xmlns:a16="http://schemas.microsoft.com/office/drawing/2014/main" id="{00000000-0008-0000-0800-000003000000}"/>
            </a:ext>
          </a:extLst>
        </xdr:cNvPr>
        <xdr:cNvGrpSpPr/>
      </xdr:nvGrpSpPr>
      <xdr:grpSpPr>
        <a:xfrm>
          <a:off x="6349036" y="1630500"/>
          <a:ext cx="6828870" cy="562487"/>
          <a:chOff x="7767269" y="1821254"/>
          <a:chExt cx="7017579" cy="546389"/>
        </a:xfrm>
      </xdr:grpSpPr>
      <xdr:sp macro="" textlink="">
        <xdr:nvSpPr>
          <xdr:cNvPr id="4" name="Flecha izquierda 6">
            <a:hlinkClick xmlns:r="http://schemas.openxmlformats.org/officeDocument/2006/relationships" r:id="rId1"/>
            <a:extLst>
              <a:ext uri="{FF2B5EF4-FFF2-40B4-BE49-F238E27FC236}">
                <a16:creationId xmlns:a16="http://schemas.microsoft.com/office/drawing/2014/main" id="{00000000-0008-0000-0800-000004000000}"/>
              </a:ext>
            </a:extLst>
          </xdr:cNvPr>
          <xdr:cNvSpPr>
            <a:spLocks noChangeAspect="1"/>
          </xdr:cNvSpPr>
        </xdr:nvSpPr>
        <xdr:spPr>
          <a:xfrm>
            <a:off x="7767269" y="1827415"/>
            <a:ext cx="2229037" cy="540228"/>
          </a:xfrm>
          <a:prstGeom prst="leftArrow">
            <a:avLst>
              <a:gd name="adj1" fmla="val 100000"/>
              <a:gd name="adj2" fmla="val 60586"/>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cs typeface="Arial" panose="020B0604020202020204" pitchFamily="34" charset="0"/>
              </a:rPr>
              <a:t>INDICE </a:t>
            </a:r>
          </a:p>
        </xdr:txBody>
      </xdr:sp>
      <xdr:sp macro="" textlink="">
        <xdr:nvSpPr>
          <xdr:cNvPr id="5" name="Flecha izquierda 8">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spect="1"/>
          </xdr:cNvSpPr>
        </xdr:nvSpPr>
        <xdr:spPr>
          <a:xfrm>
            <a:off x="10172477" y="1821254"/>
            <a:ext cx="2229037" cy="540228"/>
          </a:xfrm>
          <a:prstGeom prst="leftArrow">
            <a:avLst>
              <a:gd name="adj1" fmla="val 100000"/>
              <a:gd name="adj2" fmla="val 0"/>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GLOSARIO</a:t>
            </a:r>
            <a:endParaRPr lang="es-CO" sz="1400" b="1">
              <a:solidFill>
                <a:sysClr val="windowText" lastClr="000000"/>
              </a:solidFill>
              <a:latin typeface="Arial Narrow" panose="020B0606020202030204" pitchFamily="34" charset="0"/>
              <a:cs typeface="Arial" panose="020B0604020202020204" pitchFamily="34" charset="0"/>
            </a:endParaRPr>
          </a:p>
        </xdr:txBody>
      </xdr:sp>
      <xdr:sp macro="" textlink="">
        <xdr:nvSpPr>
          <xdr:cNvPr id="6" name="Flecha izquierda 8">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spect="1"/>
          </xdr:cNvSpPr>
        </xdr:nvSpPr>
        <xdr:spPr>
          <a:xfrm flipH="1">
            <a:off x="12555811" y="1821254"/>
            <a:ext cx="2229037" cy="540228"/>
          </a:xfrm>
          <a:prstGeom prst="leftArrow">
            <a:avLst>
              <a:gd name="adj1" fmla="val 100000"/>
              <a:gd name="adj2" fmla="val 46148"/>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INSTRUCCIONES</a:t>
            </a:r>
          </a:p>
        </xdr:txBody>
      </xdr:sp>
    </xdr:grpSp>
    <xdr:clientData/>
  </xdr:twoCellAnchor>
  <xdr:twoCellAnchor editAs="oneCell">
    <xdr:from>
      <xdr:col>1</xdr:col>
      <xdr:colOff>128788</xdr:colOff>
      <xdr:row>1</xdr:row>
      <xdr:rowOff>55790</xdr:rowOff>
    </xdr:from>
    <xdr:to>
      <xdr:col>2</xdr:col>
      <xdr:colOff>31936</xdr:colOff>
      <xdr:row>4</xdr:row>
      <xdr:rowOff>201706</xdr:rowOff>
    </xdr:to>
    <xdr:pic>
      <xdr:nvPicPr>
        <xdr:cNvPr id="7" name="Imagen 2" descr="escudo-alc">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8229" y="212672"/>
          <a:ext cx="1417623" cy="963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36062</xdr:colOff>
      <xdr:row>1</xdr:row>
      <xdr:rowOff>91124</xdr:rowOff>
    </xdr:from>
    <xdr:to>
      <xdr:col>3</xdr:col>
      <xdr:colOff>495300</xdr:colOff>
      <xdr:row>4</xdr:row>
      <xdr:rowOff>152117</xdr:rowOff>
    </xdr:to>
    <xdr:pic>
      <xdr:nvPicPr>
        <xdr:cNvPr id="2" name="Imagen 2" descr="escudo-alc">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8112" y="348299"/>
          <a:ext cx="1040263" cy="832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1429871</xdr:colOff>
      <xdr:row>7</xdr:row>
      <xdr:rowOff>56030</xdr:rowOff>
    </xdr:from>
    <xdr:to>
      <xdr:col>8</xdr:col>
      <xdr:colOff>660368</xdr:colOff>
      <xdr:row>10</xdr:row>
      <xdr:rowOff>115597</xdr:rowOff>
    </xdr:to>
    <xdr:grpSp>
      <xdr:nvGrpSpPr>
        <xdr:cNvPr id="3" name="Grupo 2">
          <a:extLst>
            <a:ext uri="{FF2B5EF4-FFF2-40B4-BE49-F238E27FC236}">
              <a16:creationId xmlns:a16="http://schemas.microsoft.com/office/drawing/2014/main" id="{00000000-0008-0000-0C00-000003000000}"/>
            </a:ext>
          </a:extLst>
        </xdr:cNvPr>
        <xdr:cNvGrpSpPr/>
      </xdr:nvGrpSpPr>
      <xdr:grpSpPr>
        <a:xfrm>
          <a:off x="5994251" y="1656230"/>
          <a:ext cx="6789537" cy="585347"/>
          <a:chOff x="7767269" y="1821254"/>
          <a:chExt cx="7017579" cy="546389"/>
        </a:xfrm>
      </xdr:grpSpPr>
      <xdr:sp macro="" textlink="">
        <xdr:nvSpPr>
          <xdr:cNvPr id="4" name="Flecha izquierda 6">
            <a:hlinkClick xmlns:r="http://schemas.openxmlformats.org/officeDocument/2006/relationships" r:id="rId1"/>
            <a:extLst>
              <a:ext uri="{FF2B5EF4-FFF2-40B4-BE49-F238E27FC236}">
                <a16:creationId xmlns:a16="http://schemas.microsoft.com/office/drawing/2014/main" id="{00000000-0008-0000-0C00-000004000000}"/>
              </a:ext>
            </a:extLst>
          </xdr:cNvPr>
          <xdr:cNvSpPr>
            <a:spLocks noChangeAspect="1"/>
          </xdr:cNvSpPr>
        </xdr:nvSpPr>
        <xdr:spPr>
          <a:xfrm>
            <a:off x="7767269" y="1827415"/>
            <a:ext cx="2229037" cy="540228"/>
          </a:xfrm>
          <a:prstGeom prst="leftArrow">
            <a:avLst>
              <a:gd name="adj1" fmla="val 100000"/>
              <a:gd name="adj2" fmla="val 60586"/>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cs typeface="Arial" panose="020B0604020202020204" pitchFamily="34" charset="0"/>
              </a:rPr>
              <a:t>INDICE </a:t>
            </a:r>
          </a:p>
        </xdr:txBody>
      </xdr:sp>
      <xdr:sp macro="" textlink="">
        <xdr:nvSpPr>
          <xdr:cNvPr id="5" name="Flecha izquierda 8">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spect="1"/>
          </xdr:cNvSpPr>
        </xdr:nvSpPr>
        <xdr:spPr>
          <a:xfrm>
            <a:off x="10172477" y="1821254"/>
            <a:ext cx="2229037" cy="540228"/>
          </a:xfrm>
          <a:prstGeom prst="leftArrow">
            <a:avLst>
              <a:gd name="adj1" fmla="val 100000"/>
              <a:gd name="adj2" fmla="val 0"/>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GLOSARIO</a:t>
            </a:r>
            <a:endParaRPr lang="es-CO" sz="1400" b="1">
              <a:solidFill>
                <a:sysClr val="windowText" lastClr="000000"/>
              </a:solidFill>
              <a:latin typeface="Arial Narrow" panose="020B0606020202030204" pitchFamily="34" charset="0"/>
              <a:cs typeface="Arial" panose="020B0604020202020204" pitchFamily="34" charset="0"/>
            </a:endParaRPr>
          </a:p>
        </xdr:txBody>
      </xdr:sp>
      <xdr:sp macro="" textlink="">
        <xdr:nvSpPr>
          <xdr:cNvPr id="6" name="Flecha izquierda 8">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spect="1"/>
          </xdr:cNvSpPr>
        </xdr:nvSpPr>
        <xdr:spPr>
          <a:xfrm flipH="1">
            <a:off x="12555811" y="1821254"/>
            <a:ext cx="2229037" cy="540228"/>
          </a:xfrm>
          <a:prstGeom prst="leftArrow">
            <a:avLst>
              <a:gd name="adj1" fmla="val 100000"/>
              <a:gd name="adj2" fmla="val 46148"/>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INSTRUCCIONES</a:t>
            </a:r>
          </a:p>
        </xdr:txBody>
      </xdr:sp>
    </xdr:grpSp>
    <xdr:clientData/>
  </xdr:twoCellAnchor>
  <xdr:twoCellAnchor editAs="oneCell">
    <xdr:from>
      <xdr:col>1</xdr:col>
      <xdr:colOff>352905</xdr:colOff>
      <xdr:row>1</xdr:row>
      <xdr:rowOff>89408</xdr:rowOff>
    </xdr:from>
    <xdr:to>
      <xdr:col>2</xdr:col>
      <xdr:colOff>593911</xdr:colOff>
      <xdr:row>4</xdr:row>
      <xdr:rowOff>164932</xdr:rowOff>
    </xdr:to>
    <xdr:pic>
      <xdr:nvPicPr>
        <xdr:cNvPr id="7" name="Imagen 2" descr="escudo-alc">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140" y="246290"/>
          <a:ext cx="1294359" cy="893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1099857</xdr:colOff>
      <xdr:row>7</xdr:row>
      <xdr:rowOff>108858</xdr:rowOff>
    </xdr:from>
    <xdr:to>
      <xdr:col>16</xdr:col>
      <xdr:colOff>438380</xdr:colOff>
      <xdr:row>10</xdr:row>
      <xdr:rowOff>94786</xdr:rowOff>
    </xdr:to>
    <xdr:grpSp>
      <xdr:nvGrpSpPr>
        <xdr:cNvPr id="3" name="Grupo 2">
          <a:extLst>
            <a:ext uri="{FF2B5EF4-FFF2-40B4-BE49-F238E27FC236}">
              <a16:creationId xmlns:a16="http://schemas.microsoft.com/office/drawing/2014/main" id="{00000000-0008-0000-0D00-000003000000}"/>
            </a:ext>
          </a:extLst>
        </xdr:cNvPr>
        <xdr:cNvGrpSpPr/>
      </xdr:nvGrpSpPr>
      <xdr:grpSpPr>
        <a:xfrm>
          <a:off x="8712237" y="1709058"/>
          <a:ext cx="8947343" cy="511708"/>
          <a:chOff x="7767269" y="1821254"/>
          <a:chExt cx="7017579" cy="546389"/>
        </a:xfrm>
      </xdr:grpSpPr>
      <xdr:sp macro="" textlink="">
        <xdr:nvSpPr>
          <xdr:cNvPr id="4" name="Flecha izquierda 6">
            <a:hlinkClick xmlns:r="http://schemas.openxmlformats.org/officeDocument/2006/relationships" r:id="rId1"/>
            <a:extLst>
              <a:ext uri="{FF2B5EF4-FFF2-40B4-BE49-F238E27FC236}">
                <a16:creationId xmlns:a16="http://schemas.microsoft.com/office/drawing/2014/main" id="{00000000-0008-0000-0D00-000004000000}"/>
              </a:ext>
            </a:extLst>
          </xdr:cNvPr>
          <xdr:cNvSpPr>
            <a:spLocks noChangeAspect="1"/>
          </xdr:cNvSpPr>
        </xdr:nvSpPr>
        <xdr:spPr>
          <a:xfrm>
            <a:off x="7767269" y="1827415"/>
            <a:ext cx="2229037" cy="540228"/>
          </a:xfrm>
          <a:prstGeom prst="leftArrow">
            <a:avLst>
              <a:gd name="adj1" fmla="val 100000"/>
              <a:gd name="adj2" fmla="val 60586"/>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cs typeface="Arial" panose="020B0604020202020204" pitchFamily="34" charset="0"/>
              </a:rPr>
              <a:t>INDICE </a:t>
            </a:r>
          </a:p>
        </xdr:txBody>
      </xdr:sp>
      <xdr:sp macro="" textlink="">
        <xdr:nvSpPr>
          <xdr:cNvPr id="5" name="Flecha izquierda 8">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spect="1"/>
          </xdr:cNvSpPr>
        </xdr:nvSpPr>
        <xdr:spPr>
          <a:xfrm>
            <a:off x="10172477" y="1821254"/>
            <a:ext cx="2229037" cy="540228"/>
          </a:xfrm>
          <a:prstGeom prst="leftArrow">
            <a:avLst>
              <a:gd name="adj1" fmla="val 100000"/>
              <a:gd name="adj2" fmla="val 0"/>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GLOSARIO</a:t>
            </a:r>
            <a:endParaRPr lang="es-CO" sz="1400" b="1">
              <a:solidFill>
                <a:sysClr val="windowText" lastClr="000000"/>
              </a:solidFill>
              <a:latin typeface="Arial Narrow" panose="020B0606020202030204" pitchFamily="34" charset="0"/>
              <a:cs typeface="Arial" panose="020B0604020202020204" pitchFamily="34" charset="0"/>
            </a:endParaRPr>
          </a:p>
        </xdr:txBody>
      </xdr:sp>
      <xdr:sp macro="" textlink="">
        <xdr:nvSpPr>
          <xdr:cNvPr id="6" name="Flecha izquierda 8">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spect="1"/>
          </xdr:cNvSpPr>
        </xdr:nvSpPr>
        <xdr:spPr>
          <a:xfrm flipH="1">
            <a:off x="12555811" y="1821254"/>
            <a:ext cx="2229037" cy="540228"/>
          </a:xfrm>
          <a:prstGeom prst="leftArrow">
            <a:avLst>
              <a:gd name="adj1" fmla="val 100000"/>
              <a:gd name="adj2" fmla="val 46148"/>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INSTRUCCIONES</a:t>
            </a:r>
          </a:p>
        </xdr:txBody>
      </xdr:sp>
    </xdr:grpSp>
    <xdr:clientData/>
  </xdr:twoCellAnchor>
  <xdr:twoCellAnchor editAs="oneCell">
    <xdr:from>
      <xdr:col>1</xdr:col>
      <xdr:colOff>380999</xdr:colOff>
      <xdr:row>1</xdr:row>
      <xdr:rowOff>100614</xdr:rowOff>
    </xdr:from>
    <xdr:to>
      <xdr:col>3</xdr:col>
      <xdr:colOff>430304</xdr:colOff>
      <xdr:row>4</xdr:row>
      <xdr:rowOff>214313</xdr:rowOff>
    </xdr:to>
    <xdr:pic>
      <xdr:nvPicPr>
        <xdr:cNvPr id="7" name="Imagen 2" descr="escudo-alc">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69218" y="267302"/>
          <a:ext cx="1394711" cy="947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6</xdr:col>
      <xdr:colOff>862853</xdr:colOff>
      <xdr:row>7</xdr:row>
      <xdr:rowOff>56032</xdr:rowOff>
    </xdr:from>
    <xdr:to>
      <xdr:col>11</xdr:col>
      <xdr:colOff>988924</xdr:colOff>
      <xdr:row>10</xdr:row>
      <xdr:rowOff>100471</xdr:rowOff>
    </xdr:to>
    <xdr:grpSp>
      <xdr:nvGrpSpPr>
        <xdr:cNvPr id="3" name="Grupo 2">
          <a:extLst>
            <a:ext uri="{FF2B5EF4-FFF2-40B4-BE49-F238E27FC236}">
              <a16:creationId xmlns:a16="http://schemas.microsoft.com/office/drawing/2014/main" id="{00000000-0008-0000-0E00-000003000000}"/>
            </a:ext>
          </a:extLst>
        </xdr:cNvPr>
        <xdr:cNvGrpSpPr/>
      </xdr:nvGrpSpPr>
      <xdr:grpSpPr>
        <a:xfrm>
          <a:off x="8200913" y="1656232"/>
          <a:ext cx="6824051" cy="570219"/>
          <a:chOff x="7767269" y="1821254"/>
          <a:chExt cx="7017579" cy="546389"/>
        </a:xfrm>
      </xdr:grpSpPr>
      <xdr:sp macro="" textlink="">
        <xdr:nvSpPr>
          <xdr:cNvPr id="4" name="Flecha izquierda 6">
            <a:hlinkClick xmlns:r="http://schemas.openxmlformats.org/officeDocument/2006/relationships" r:id="rId1"/>
            <a:extLst>
              <a:ext uri="{FF2B5EF4-FFF2-40B4-BE49-F238E27FC236}">
                <a16:creationId xmlns:a16="http://schemas.microsoft.com/office/drawing/2014/main" id="{00000000-0008-0000-0E00-000004000000}"/>
              </a:ext>
            </a:extLst>
          </xdr:cNvPr>
          <xdr:cNvSpPr>
            <a:spLocks noChangeAspect="1"/>
          </xdr:cNvSpPr>
        </xdr:nvSpPr>
        <xdr:spPr>
          <a:xfrm>
            <a:off x="7767269" y="1827415"/>
            <a:ext cx="2229037" cy="540228"/>
          </a:xfrm>
          <a:prstGeom prst="leftArrow">
            <a:avLst>
              <a:gd name="adj1" fmla="val 100000"/>
              <a:gd name="adj2" fmla="val 60586"/>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cs typeface="Arial" panose="020B0604020202020204" pitchFamily="34" charset="0"/>
              </a:rPr>
              <a:t>INDICE </a:t>
            </a:r>
          </a:p>
        </xdr:txBody>
      </xdr:sp>
      <xdr:sp macro="" textlink="">
        <xdr:nvSpPr>
          <xdr:cNvPr id="5" name="Flecha izquierda 8">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spect="1"/>
          </xdr:cNvSpPr>
        </xdr:nvSpPr>
        <xdr:spPr>
          <a:xfrm>
            <a:off x="10172477" y="1821254"/>
            <a:ext cx="2229037" cy="540228"/>
          </a:xfrm>
          <a:prstGeom prst="leftArrow">
            <a:avLst>
              <a:gd name="adj1" fmla="val 100000"/>
              <a:gd name="adj2" fmla="val 0"/>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GLOSARIO</a:t>
            </a:r>
            <a:endParaRPr lang="es-CO" sz="1400" b="1">
              <a:solidFill>
                <a:sysClr val="windowText" lastClr="000000"/>
              </a:solidFill>
              <a:latin typeface="Arial Narrow" panose="020B0606020202030204" pitchFamily="34" charset="0"/>
              <a:cs typeface="Arial" panose="020B0604020202020204" pitchFamily="34" charset="0"/>
            </a:endParaRPr>
          </a:p>
        </xdr:txBody>
      </xdr:sp>
      <xdr:sp macro="" textlink="">
        <xdr:nvSpPr>
          <xdr:cNvPr id="6" name="Flecha izquierda 8">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spect="1"/>
          </xdr:cNvSpPr>
        </xdr:nvSpPr>
        <xdr:spPr>
          <a:xfrm flipH="1">
            <a:off x="12555811" y="1821254"/>
            <a:ext cx="2229037" cy="540228"/>
          </a:xfrm>
          <a:prstGeom prst="leftArrow">
            <a:avLst>
              <a:gd name="adj1" fmla="val 100000"/>
              <a:gd name="adj2" fmla="val 46148"/>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INSTRUCCIONES</a:t>
            </a:r>
          </a:p>
        </xdr:txBody>
      </xdr:sp>
    </xdr:grpSp>
    <xdr:clientData/>
  </xdr:twoCellAnchor>
  <xdr:twoCellAnchor editAs="oneCell">
    <xdr:from>
      <xdr:col>1</xdr:col>
      <xdr:colOff>212912</xdr:colOff>
      <xdr:row>1</xdr:row>
      <xdr:rowOff>100613</xdr:rowOff>
    </xdr:from>
    <xdr:to>
      <xdr:col>2</xdr:col>
      <xdr:colOff>605118</xdr:colOff>
      <xdr:row>4</xdr:row>
      <xdr:rowOff>179294</xdr:rowOff>
    </xdr:to>
    <xdr:pic>
      <xdr:nvPicPr>
        <xdr:cNvPr id="7" name="Imagen 2" descr="escudo-alc">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0441" y="257495"/>
          <a:ext cx="1255059" cy="896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6</xdr:col>
      <xdr:colOff>1217084</xdr:colOff>
      <xdr:row>7</xdr:row>
      <xdr:rowOff>56029</xdr:rowOff>
    </xdr:from>
    <xdr:to>
      <xdr:col>12</xdr:col>
      <xdr:colOff>228429</xdr:colOff>
      <xdr:row>10</xdr:row>
      <xdr:rowOff>115596</xdr:rowOff>
    </xdr:to>
    <xdr:grpSp>
      <xdr:nvGrpSpPr>
        <xdr:cNvPr id="3" name="Grupo 2">
          <a:extLst>
            <a:ext uri="{FF2B5EF4-FFF2-40B4-BE49-F238E27FC236}">
              <a16:creationId xmlns:a16="http://schemas.microsoft.com/office/drawing/2014/main" id="{00000000-0008-0000-0F00-000003000000}"/>
            </a:ext>
          </a:extLst>
        </xdr:cNvPr>
        <xdr:cNvGrpSpPr/>
      </xdr:nvGrpSpPr>
      <xdr:grpSpPr>
        <a:xfrm>
          <a:off x="8678058" y="1646290"/>
          <a:ext cx="6790371" cy="576402"/>
          <a:chOff x="7767269" y="1821254"/>
          <a:chExt cx="7017579" cy="546389"/>
        </a:xfrm>
      </xdr:grpSpPr>
      <xdr:sp macro="" textlink="">
        <xdr:nvSpPr>
          <xdr:cNvPr id="4" name="Flecha izquierda 6">
            <a:hlinkClick xmlns:r="http://schemas.openxmlformats.org/officeDocument/2006/relationships" r:id="rId1"/>
            <a:extLst>
              <a:ext uri="{FF2B5EF4-FFF2-40B4-BE49-F238E27FC236}">
                <a16:creationId xmlns:a16="http://schemas.microsoft.com/office/drawing/2014/main" id="{00000000-0008-0000-0F00-000004000000}"/>
              </a:ext>
            </a:extLst>
          </xdr:cNvPr>
          <xdr:cNvSpPr>
            <a:spLocks noChangeAspect="1"/>
          </xdr:cNvSpPr>
        </xdr:nvSpPr>
        <xdr:spPr>
          <a:xfrm>
            <a:off x="7767269" y="1827415"/>
            <a:ext cx="2229037" cy="540228"/>
          </a:xfrm>
          <a:prstGeom prst="leftArrow">
            <a:avLst>
              <a:gd name="adj1" fmla="val 100000"/>
              <a:gd name="adj2" fmla="val 60586"/>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cs typeface="Arial" panose="020B0604020202020204" pitchFamily="34" charset="0"/>
              </a:rPr>
              <a:t>INDICE </a:t>
            </a:r>
          </a:p>
        </xdr:txBody>
      </xdr:sp>
      <xdr:sp macro="" textlink="">
        <xdr:nvSpPr>
          <xdr:cNvPr id="5" name="Flecha izquierda 8">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spect="1"/>
          </xdr:cNvSpPr>
        </xdr:nvSpPr>
        <xdr:spPr>
          <a:xfrm>
            <a:off x="10172477" y="1821254"/>
            <a:ext cx="2229037" cy="540228"/>
          </a:xfrm>
          <a:prstGeom prst="leftArrow">
            <a:avLst>
              <a:gd name="adj1" fmla="val 100000"/>
              <a:gd name="adj2" fmla="val 0"/>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GLOSARIO</a:t>
            </a:r>
            <a:endParaRPr lang="es-CO" sz="1400" b="1">
              <a:solidFill>
                <a:sysClr val="windowText" lastClr="000000"/>
              </a:solidFill>
              <a:latin typeface="Arial Narrow" panose="020B0606020202030204" pitchFamily="34" charset="0"/>
              <a:cs typeface="Arial" panose="020B0604020202020204" pitchFamily="34" charset="0"/>
            </a:endParaRPr>
          </a:p>
        </xdr:txBody>
      </xdr:sp>
      <xdr:sp macro="" textlink="">
        <xdr:nvSpPr>
          <xdr:cNvPr id="6" name="Flecha izquierda 8">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spect="1"/>
          </xdr:cNvSpPr>
        </xdr:nvSpPr>
        <xdr:spPr>
          <a:xfrm flipH="1">
            <a:off x="12555811" y="1821254"/>
            <a:ext cx="2229037" cy="540228"/>
          </a:xfrm>
          <a:prstGeom prst="leftArrow">
            <a:avLst>
              <a:gd name="adj1" fmla="val 100000"/>
              <a:gd name="adj2" fmla="val 46148"/>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INSTRUCCIONES</a:t>
            </a:r>
          </a:p>
        </xdr:txBody>
      </xdr:sp>
    </xdr:grpSp>
    <xdr:clientData/>
  </xdr:twoCellAnchor>
  <xdr:twoCellAnchor editAs="oneCell">
    <xdr:from>
      <xdr:col>1</xdr:col>
      <xdr:colOff>380999</xdr:colOff>
      <xdr:row>1</xdr:row>
      <xdr:rowOff>100613</xdr:rowOff>
    </xdr:from>
    <xdr:to>
      <xdr:col>2</xdr:col>
      <xdr:colOff>773204</xdr:colOff>
      <xdr:row>4</xdr:row>
      <xdr:rowOff>179294</xdr:rowOff>
    </xdr:to>
    <xdr:pic>
      <xdr:nvPicPr>
        <xdr:cNvPr id="7" name="Imagen 2" descr="escudo-alc">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8528" y="257495"/>
          <a:ext cx="1389529" cy="896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6</xdr:col>
      <xdr:colOff>712538</xdr:colOff>
      <xdr:row>6</xdr:row>
      <xdr:rowOff>11207</xdr:rowOff>
    </xdr:from>
    <xdr:to>
      <xdr:col>13</xdr:col>
      <xdr:colOff>222746</xdr:colOff>
      <xdr:row>9</xdr:row>
      <xdr:rowOff>3538</xdr:rowOff>
    </xdr:to>
    <xdr:grpSp>
      <xdr:nvGrpSpPr>
        <xdr:cNvPr id="3" name="Grupo 2">
          <a:extLst>
            <a:ext uri="{FF2B5EF4-FFF2-40B4-BE49-F238E27FC236}">
              <a16:creationId xmlns:a16="http://schemas.microsoft.com/office/drawing/2014/main" id="{00000000-0008-0000-1000-000003000000}"/>
            </a:ext>
          </a:extLst>
        </xdr:cNvPr>
        <xdr:cNvGrpSpPr/>
      </xdr:nvGrpSpPr>
      <xdr:grpSpPr>
        <a:xfrm>
          <a:off x="8164898" y="1641887"/>
          <a:ext cx="9340008" cy="518111"/>
          <a:chOff x="7767269" y="1821254"/>
          <a:chExt cx="7017579" cy="546389"/>
        </a:xfrm>
      </xdr:grpSpPr>
      <xdr:sp macro="" textlink="">
        <xdr:nvSpPr>
          <xdr:cNvPr id="4" name="Flecha izquierda 6">
            <a:hlinkClick xmlns:r="http://schemas.openxmlformats.org/officeDocument/2006/relationships" r:id="rId1"/>
            <a:extLst>
              <a:ext uri="{FF2B5EF4-FFF2-40B4-BE49-F238E27FC236}">
                <a16:creationId xmlns:a16="http://schemas.microsoft.com/office/drawing/2014/main" id="{00000000-0008-0000-1000-000004000000}"/>
              </a:ext>
            </a:extLst>
          </xdr:cNvPr>
          <xdr:cNvSpPr>
            <a:spLocks noChangeAspect="1"/>
          </xdr:cNvSpPr>
        </xdr:nvSpPr>
        <xdr:spPr>
          <a:xfrm>
            <a:off x="7767269" y="1827415"/>
            <a:ext cx="2229037" cy="540228"/>
          </a:xfrm>
          <a:prstGeom prst="leftArrow">
            <a:avLst>
              <a:gd name="adj1" fmla="val 100000"/>
              <a:gd name="adj2" fmla="val 60586"/>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cs typeface="Arial" panose="020B0604020202020204" pitchFamily="34" charset="0"/>
              </a:rPr>
              <a:t>INDICE </a:t>
            </a:r>
          </a:p>
        </xdr:txBody>
      </xdr:sp>
      <xdr:sp macro="" textlink="">
        <xdr:nvSpPr>
          <xdr:cNvPr id="5" name="Flecha izquierda 8">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spect="1"/>
          </xdr:cNvSpPr>
        </xdr:nvSpPr>
        <xdr:spPr>
          <a:xfrm>
            <a:off x="10172477" y="1821254"/>
            <a:ext cx="2229037" cy="540228"/>
          </a:xfrm>
          <a:prstGeom prst="leftArrow">
            <a:avLst>
              <a:gd name="adj1" fmla="val 100000"/>
              <a:gd name="adj2" fmla="val 0"/>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GLOSARIO</a:t>
            </a:r>
            <a:endParaRPr lang="es-CO" sz="1400" b="1">
              <a:solidFill>
                <a:sysClr val="windowText" lastClr="000000"/>
              </a:solidFill>
              <a:latin typeface="Arial Narrow" panose="020B0606020202030204" pitchFamily="34" charset="0"/>
              <a:cs typeface="Arial" panose="020B0604020202020204" pitchFamily="34" charset="0"/>
            </a:endParaRPr>
          </a:p>
        </xdr:txBody>
      </xdr:sp>
      <xdr:sp macro="" textlink="">
        <xdr:nvSpPr>
          <xdr:cNvPr id="6" name="Flecha izquierda 8">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spect="1"/>
          </xdr:cNvSpPr>
        </xdr:nvSpPr>
        <xdr:spPr>
          <a:xfrm flipH="1">
            <a:off x="12555811" y="1821254"/>
            <a:ext cx="2229037" cy="540228"/>
          </a:xfrm>
          <a:prstGeom prst="leftArrow">
            <a:avLst>
              <a:gd name="adj1" fmla="val 100000"/>
              <a:gd name="adj2" fmla="val 46148"/>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INSTRUCCIONES</a:t>
            </a:r>
          </a:p>
        </xdr:txBody>
      </xdr:sp>
    </xdr:grpSp>
    <xdr:clientData/>
  </xdr:twoCellAnchor>
  <xdr:twoCellAnchor editAs="oneCell">
    <xdr:from>
      <xdr:col>1</xdr:col>
      <xdr:colOff>39140</xdr:colOff>
      <xdr:row>1</xdr:row>
      <xdr:rowOff>66997</xdr:rowOff>
    </xdr:from>
    <xdr:to>
      <xdr:col>2</xdr:col>
      <xdr:colOff>255926</xdr:colOff>
      <xdr:row>4</xdr:row>
      <xdr:rowOff>11207</xdr:rowOff>
    </xdr:to>
    <xdr:pic>
      <xdr:nvPicPr>
        <xdr:cNvPr id="7" name="Imagen 2" descr="escudo-alc">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0287" y="223879"/>
          <a:ext cx="1384007" cy="963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8</xdr:col>
      <xdr:colOff>139450</xdr:colOff>
      <xdr:row>8</xdr:row>
      <xdr:rowOff>172573</xdr:rowOff>
    </xdr:from>
    <xdr:to>
      <xdr:col>12</xdr:col>
      <xdr:colOff>330821</xdr:colOff>
      <xdr:row>11</xdr:row>
      <xdr:rowOff>138011</xdr:rowOff>
    </xdr:to>
    <xdr:grpSp>
      <xdr:nvGrpSpPr>
        <xdr:cNvPr id="4" name="Grupo 3">
          <a:extLst>
            <a:ext uri="{FF2B5EF4-FFF2-40B4-BE49-F238E27FC236}">
              <a16:creationId xmlns:a16="http://schemas.microsoft.com/office/drawing/2014/main" id="{00000000-0008-0000-1100-000004000000}"/>
            </a:ext>
          </a:extLst>
        </xdr:cNvPr>
        <xdr:cNvGrpSpPr/>
      </xdr:nvGrpSpPr>
      <xdr:grpSpPr>
        <a:xfrm>
          <a:off x="8692900" y="1696573"/>
          <a:ext cx="6592171" cy="536938"/>
          <a:chOff x="7767269" y="1821254"/>
          <a:chExt cx="7017579" cy="546389"/>
        </a:xfrm>
      </xdr:grpSpPr>
      <xdr:sp macro="" textlink="">
        <xdr:nvSpPr>
          <xdr:cNvPr id="5" name="Flecha izquierda 6">
            <a:hlinkClick xmlns:r="http://schemas.openxmlformats.org/officeDocument/2006/relationships" r:id="rId1"/>
            <a:extLst>
              <a:ext uri="{FF2B5EF4-FFF2-40B4-BE49-F238E27FC236}">
                <a16:creationId xmlns:a16="http://schemas.microsoft.com/office/drawing/2014/main" id="{00000000-0008-0000-1100-000005000000}"/>
              </a:ext>
            </a:extLst>
          </xdr:cNvPr>
          <xdr:cNvSpPr>
            <a:spLocks noChangeAspect="1"/>
          </xdr:cNvSpPr>
        </xdr:nvSpPr>
        <xdr:spPr>
          <a:xfrm>
            <a:off x="7767269" y="1827415"/>
            <a:ext cx="2229037" cy="540228"/>
          </a:xfrm>
          <a:prstGeom prst="leftArrow">
            <a:avLst>
              <a:gd name="adj1" fmla="val 100000"/>
              <a:gd name="adj2" fmla="val 60586"/>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cs typeface="Arial" panose="020B0604020202020204" pitchFamily="34" charset="0"/>
              </a:rPr>
              <a:t>INDICE </a:t>
            </a:r>
          </a:p>
        </xdr:txBody>
      </xdr:sp>
      <xdr:sp macro="" textlink="">
        <xdr:nvSpPr>
          <xdr:cNvPr id="6" name="Flecha izquierda 8">
            <a:hlinkClick xmlns:r="http://schemas.openxmlformats.org/officeDocument/2006/relationships" r:id="rId2"/>
            <a:extLst>
              <a:ext uri="{FF2B5EF4-FFF2-40B4-BE49-F238E27FC236}">
                <a16:creationId xmlns:a16="http://schemas.microsoft.com/office/drawing/2014/main" id="{00000000-0008-0000-1100-000006000000}"/>
              </a:ext>
            </a:extLst>
          </xdr:cNvPr>
          <xdr:cNvSpPr>
            <a:spLocks noChangeAspect="1"/>
          </xdr:cNvSpPr>
        </xdr:nvSpPr>
        <xdr:spPr>
          <a:xfrm>
            <a:off x="10172477" y="1821254"/>
            <a:ext cx="2229037" cy="540228"/>
          </a:xfrm>
          <a:prstGeom prst="leftArrow">
            <a:avLst>
              <a:gd name="adj1" fmla="val 100000"/>
              <a:gd name="adj2" fmla="val 0"/>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GLOSARIO</a:t>
            </a:r>
            <a:endParaRPr lang="es-CO" sz="1400" b="1">
              <a:solidFill>
                <a:sysClr val="windowText" lastClr="000000"/>
              </a:solidFill>
              <a:latin typeface="Arial Narrow" panose="020B0606020202030204" pitchFamily="34" charset="0"/>
              <a:cs typeface="Arial" panose="020B0604020202020204" pitchFamily="34" charset="0"/>
            </a:endParaRPr>
          </a:p>
        </xdr:txBody>
      </xdr:sp>
      <xdr:sp macro="" textlink="">
        <xdr:nvSpPr>
          <xdr:cNvPr id="7" name="Flecha izquierda 8">
            <a:hlinkClick xmlns:r="http://schemas.openxmlformats.org/officeDocument/2006/relationships" r:id="rId3"/>
            <a:extLst>
              <a:ext uri="{FF2B5EF4-FFF2-40B4-BE49-F238E27FC236}">
                <a16:creationId xmlns:a16="http://schemas.microsoft.com/office/drawing/2014/main" id="{00000000-0008-0000-1100-000007000000}"/>
              </a:ext>
            </a:extLst>
          </xdr:cNvPr>
          <xdr:cNvSpPr>
            <a:spLocks noChangeAspect="1"/>
          </xdr:cNvSpPr>
        </xdr:nvSpPr>
        <xdr:spPr>
          <a:xfrm flipH="1">
            <a:off x="12555811" y="1821254"/>
            <a:ext cx="2229037" cy="540228"/>
          </a:xfrm>
          <a:prstGeom prst="leftArrow">
            <a:avLst>
              <a:gd name="adj1" fmla="val 100000"/>
              <a:gd name="adj2" fmla="val 46148"/>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INSTRUCCIONES</a:t>
            </a:r>
          </a:p>
        </xdr:txBody>
      </xdr:sp>
    </xdr:grpSp>
    <xdr:clientData/>
  </xdr:twoCellAnchor>
  <xdr:twoCellAnchor editAs="oneCell">
    <xdr:from>
      <xdr:col>2</xdr:col>
      <xdr:colOff>618111</xdr:colOff>
      <xdr:row>1</xdr:row>
      <xdr:rowOff>59765</xdr:rowOff>
    </xdr:from>
    <xdr:to>
      <xdr:col>3</xdr:col>
      <xdr:colOff>808070</xdr:colOff>
      <xdr:row>4</xdr:row>
      <xdr:rowOff>138996</xdr:rowOff>
    </xdr:to>
    <xdr:pic>
      <xdr:nvPicPr>
        <xdr:cNvPr id="8" name="Imagen 2" descr="escudo-alc">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97287" y="254000"/>
          <a:ext cx="928302" cy="6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10</xdr:col>
      <xdr:colOff>440672</xdr:colOff>
      <xdr:row>7</xdr:row>
      <xdr:rowOff>11211</xdr:rowOff>
    </xdr:from>
    <xdr:to>
      <xdr:col>15</xdr:col>
      <xdr:colOff>1883533</xdr:colOff>
      <xdr:row>10</xdr:row>
      <xdr:rowOff>3542</xdr:rowOff>
    </xdr:to>
    <xdr:grpSp>
      <xdr:nvGrpSpPr>
        <xdr:cNvPr id="3" name="Grupo 2">
          <a:extLst>
            <a:ext uri="{FF2B5EF4-FFF2-40B4-BE49-F238E27FC236}">
              <a16:creationId xmlns:a16="http://schemas.microsoft.com/office/drawing/2014/main" id="{00000000-0008-0000-1200-000003000000}"/>
            </a:ext>
          </a:extLst>
        </xdr:cNvPr>
        <xdr:cNvGrpSpPr/>
      </xdr:nvGrpSpPr>
      <xdr:grpSpPr>
        <a:xfrm>
          <a:off x="8068292" y="1664751"/>
          <a:ext cx="7005461" cy="518111"/>
          <a:chOff x="7767269" y="1821254"/>
          <a:chExt cx="7017579" cy="546389"/>
        </a:xfrm>
      </xdr:grpSpPr>
      <xdr:sp macro="" textlink="">
        <xdr:nvSpPr>
          <xdr:cNvPr id="4" name="Flecha izquierda 6">
            <a:hlinkClick xmlns:r="http://schemas.openxmlformats.org/officeDocument/2006/relationships" r:id="rId1"/>
            <a:extLst>
              <a:ext uri="{FF2B5EF4-FFF2-40B4-BE49-F238E27FC236}">
                <a16:creationId xmlns:a16="http://schemas.microsoft.com/office/drawing/2014/main" id="{00000000-0008-0000-1200-000004000000}"/>
              </a:ext>
            </a:extLst>
          </xdr:cNvPr>
          <xdr:cNvSpPr>
            <a:spLocks noChangeAspect="1"/>
          </xdr:cNvSpPr>
        </xdr:nvSpPr>
        <xdr:spPr>
          <a:xfrm>
            <a:off x="7767269" y="1827415"/>
            <a:ext cx="2229037" cy="540228"/>
          </a:xfrm>
          <a:prstGeom prst="leftArrow">
            <a:avLst>
              <a:gd name="adj1" fmla="val 100000"/>
              <a:gd name="adj2" fmla="val 60586"/>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cs typeface="Arial" panose="020B0604020202020204" pitchFamily="34" charset="0"/>
              </a:rPr>
              <a:t>INDICE </a:t>
            </a:r>
          </a:p>
        </xdr:txBody>
      </xdr:sp>
      <xdr:sp macro="" textlink="">
        <xdr:nvSpPr>
          <xdr:cNvPr id="5" name="Flecha izquierda 8">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spect="1"/>
          </xdr:cNvSpPr>
        </xdr:nvSpPr>
        <xdr:spPr>
          <a:xfrm>
            <a:off x="10172477" y="1821254"/>
            <a:ext cx="2229037" cy="540228"/>
          </a:xfrm>
          <a:prstGeom prst="leftArrow">
            <a:avLst>
              <a:gd name="adj1" fmla="val 100000"/>
              <a:gd name="adj2" fmla="val 0"/>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GLOSARIO</a:t>
            </a:r>
            <a:endParaRPr lang="es-CO" sz="1400" b="1">
              <a:solidFill>
                <a:sysClr val="windowText" lastClr="000000"/>
              </a:solidFill>
              <a:latin typeface="Arial Narrow" panose="020B0606020202030204" pitchFamily="34" charset="0"/>
              <a:cs typeface="Arial" panose="020B0604020202020204" pitchFamily="34" charset="0"/>
            </a:endParaRPr>
          </a:p>
        </xdr:txBody>
      </xdr:sp>
      <xdr:sp macro="" textlink="">
        <xdr:nvSpPr>
          <xdr:cNvPr id="6" name="Flecha izquierda 8">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spect="1"/>
          </xdr:cNvSpPr>
        </xdr:nvSpPr>
        <xdr:spPr>
          <a:xfrm flipH="1">
            <a:off x="12555811" y="1821254"/>
            <a:ext cx="2229037" cy="540228"/>
          </a:xfrm>
          <a:prstGeom prst="leftArrow">
            <a:avLst>
              <a:gd name="adj1" fmla="val 100000"/>
              <a:gd name="adj2" fmla="val 46148"/>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INSTRUCCIONES</a:t>
            </a:r>
          </a:p>
        </xdr:txBody>
      </xdr:sp>
    </xdr:grpSp>
    <xdr:clientData/>
  </xdr:twoCellAnchor>
  <xdr:twoCellAnchor editAs="oneCell">
    <xdr:from>
      <xdr:col>3</xdr:col>
      <xdr:colOff>352904</xdr:colOff>
      <xdr:row>1</xdr:row>
      <xdr:rowOff>89647</xdr:rowOff>
    </xdr:from>
    <xdr:to>
      <xdr:col>5</xdr:col>
      <xdr:colOff>6860</xdr:colOff>
      <xdr:row>4</xdr:row>
      <xdr:rowOff>156883</xdr:rowOff>
    </xdr:to>
    <xdr:pic>
      <xdr:nvPicPr>
        <xdr:cNvPr id="7" name="Imagen 2" descr="escudo-alc">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9022" y="246529"/>
          <a:ext cx="1328536" cy="930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5</xdr:col>
      <xdr:colOff>1863538</xdr:colOff>
      <xdr:row>7</xdr:row>
      <xdr:rowOff>107417</xdr:rowOff>
    </xdr:from>
    <xdr:to>
      <xdr:col>16</xdr:col>
      <xdr:colOff>446992</xdr:colOff>
      <xdr:row>10</xdr:row>
      <xdr:rowOff>109640</xdr:rowOff>
    </xdr:to>
    <xdr:grpSp>
      <xdr:nvGrpSpPr>
        <xdr:cNvPr id="3" name="Grupo 2">
          <a:extLst>
            <a:ext uri="{FF2B5EF4-FFF2-40B4-BE49-F238E27FC236}">
              <a16:creationId xmlns:a16="http://schemas.microsoft.com/office/drawing/2014/main" id="{00000000-0008-0000-1300-000003000000}"/>
            </a:ext>
          </a:extLst>
        </xdr:cNvPr>
        <xdr:cNvGrpSpPr/>
      </xdr:nvGrpSpPr>
      <xdr:grpSpPr>
        <a:xfrm>
          <a:off x="7148900" y="1728694"/>
          <a:ext cx="5595475" cy="537244"/>
          <a:chOff x="7767269" y="1821254"/>
          <a:chExt cx="7017579" cy="546389"/>
        </a:xfrm>
      </xdr:grpSpPr>
      <xdr:sp macro="" textlink="">
        <xdr:nvSpPr>
          <xdr:cNvPr id="4" name="Flecha izquierda 6">
            <a:hlinkClick xmlns:r="http://schemas.openxmlformats.org/officeDocument/2006/relationships" r:id="rId1"/>
            <a:extLst>
              <a:ext uri="{FF2B5EF4-FFF2-40B4-BE49-F238E27FC236}">
                <a16:creationId xmlns:a16="http://schemas.microsoft.com/office/drawing/2014/main" id="{00000000-0008-0000-1300-000004000000}"/>
              </a:ext>
            </a:extLst>
          </xdr:cNvPr>
          <xdr:cNvSpPr>
            <a:spLocks noChangeAspect="1"/>
          </xdr:cNvSpPr>
        </xdr:nvSpPr>
        <xdr:spPr>
          <a:xfrm>
            <a:off x="7767269" y="1827415"/>
            <a:ext cx="2229037" cy="540228"/>
          </a:xfrm>
          <a:prstGeom prst="leftArrow">
            <a:avLst>
              <a:gd name="adj1" fmla="val 100000"/>
              <a:gd name="adj2" fmla="val 60586"/>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cs typeface="Arial" panose="020B0604020202020204" pitchFamily="34" charset="0"/>
              </a:rPr>
              <a:t>INDICE </a:t>
            </a:r>
          </a:p>
        </xdr:txBody>
      </xdr:sp>
      <xdr:sp macro="" textlink="">
        <xdr:nvSpPr>
          <xdr:cNvPr id="5" name="Flecha izquierda 8">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spect="1"/>
          </xdr:cNvSpPr>
        </xdr:nvSpPr>
        <xdr:spPr>
          <a:xfrm>
            <a:off x="10172477" y="1821254"/>
            <a:ext cx="2229037" cy="540228"/>
          </a:xfrm>
          <a:prstGeom prst="leftArrow">
            <a:avLst>
              <a:gd name="adj1" fmla="val 100000"/>
              <a:gd name="adj2" fmla="val 0"/>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GLOSARIO</a:t>
            </a:r>
            <a:endParaRPr lang="es-CO" sz="1400" b="1">
              <a:solidFill>
                <a:sysClr val="windowText" lastClr="000000"/>
              </a:solidFill>
              <a:latin typeface="Arial Narrow" panose="020B0606020202030204" pitchFamily="34" charset="0"/>
              <a:cs typeface="Arial" panose="020B0604020202020204" pitchFamily="34" charset="0"/>
            </a:endParaRPr>
          </a:p>
        </xdr:txBody>
      </xdr:sp>
      <xdr:sp macro="" textlink="">
        <xdr:nvSpPr>
          <xdr:cNvPr id="6" name="Flecha izquierda 8">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spect="1"/>
          </xdr:cNvSpPr>
        </xdr:nvSpPr>
        <xdr:spPr>
          <a:xfrm flipH="1">
            <a:off x="12555811" y="1821254"/>
            <a:ext cx="2229037" cy="540228"/>
          </a:xfrm>
          <a:prstGeom prst="leftArrow">
            <a:avLst>
              <a:gd name="adj1" fmla="val 100000"/>
              <a:gd name="adj2" fmla="val 46148"/>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INSTRUCCIONES</a:t>
            </a:r>
          </a:p>
        </xdr:txBody>
      </xdr:sp>
    </xdr:grpSp>
    <xdr:clientData/>
  </xdr:twoCellAnchor>
  <xdr:twoCellAnchor editAs="oneCell">
    <xdr:from>
      <xdr:col>1</xdr:col>
      <xdr:colOff>392206</xdr:colOff>
      <xdr:row>1</xdr:row>
      <xdr:rowOff>55790</xdr:rowOff>
    </xdr:from>
    <xdr:to>
      <xdr:col>2</xdr:col>
      <xdr:colOff>593912</xdr:colOff>
      <xdr:row>5</xdr:row>
      <xdr:rowOff>17250</xdr:rowOff>
    </xdr:to>
    <xdr:pic>
      <xdr:nvPicPr>
        <xdr:cNvPr id="7" name="Imagen 2" descr="escudo-alc">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3000" y="212672"/>
          <a:ext cx="1445559" cy="99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8</xdr:col>
      <xdr:colOff>397809</xdr:colOff>
      <xdr:row>7</xdr:row>
      <xdr:rowOff>56032</xdr:rowOff>
    </xdr:from>
    <xdr:to>
      <xdr:col>15</xdr:col>
      <xdr:colOff>35528</xdr:colOff>
      <xdr:row>10</xdr:row>
      <xdr:rowOff>48363</xdr:rowOff>
    </xdr:to>
    <xdr:grpSp>
      <xdr:nvGrpSpPr>
        <xdr:cNvPr id="3" name="Grupo 2">
          <a:extLst>
            <a:ext uri="{FF2B5EF4-FFF2-40B4-BE49-F238E27FC236}">
              <a16:creationId xmlns:a16="http://schemas.microsoft.com/office/drawing/2014/main" id="{00000000-0008-0000-1400-000003000000}"/>
            </a:ext>
          </a:extLst>
        </xdr:cNvPr>
        <xdr:cNvGrpSpPr/>
      </xdr:nvGrpSpPr>
      <xdr:grpSpPr>
        <a:xfrm>
          <a:off x="7578538" y="1678644"/>
          <a:ext cx="5204802" cy="530213"/>
          <a:chOff x="7767269" y="1821254"/>
          <a:chExt cx="7017579" cy="546389"/>
        </a:xfrm>
      </xdr:grpSpPr>
      <xdr:sp macro="" textlink="">
        <xdr:nvSpPr>
          <xdr:cNvPr id="4" name="Flecha izquierda 6">
            <a:hlinkClick xmlns:r="http://schemas.openxmlformats.org/officeDocument/2006/relationships" r:id="rId1"/>
            <a:extLst>
              <a:ext uri="{FF2B5EF4-FFF2-40B4-BE49-F238E27FC236}">
                <a16:creationId xmlns:a16="http://schemas.microsoft.com/office/drawing/2014/main" id="{00000000-0008-0000-1400-000004000000}"/>
              </a:ext>
            </a:extLst>
          </xdr:cNvPr>
          <xdr:cNvSpPr>
            <a:spLocks noChangeAspect="1"/>
          </xdr:cNvSpPr>
        </xdr:nvSpPr>
        <xdr:spPr>
          <a:xfrm>
            <a:off x="7767269" y="1827415"/>
            <a:ext cx="2229037" cy="540228"/>
          </a:xfrm>
          <a:prstGeom prst="leftArrow">
            <a:avLst>
              <a:gd name="adj1" fmla="val 100000"/>
              <a:gd name="adj2" fmla="val 60586"/>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cs typeface="Arial" panose="020B0604020202020204" pitchFamily="34" charset="0"/>
              </a:rPr>
              <a:t>INDICE </a:t>
            </a:r>
          </a:p>
        </xdr:txBody>
      </xdr:sp>
      <xdr:sp macro="" textlink="">
        <xdr:nvSpPr>
          <xdr:cNvPr id="5" name="Flecha izquierda 8">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spect="1"/>
          </xdr:cNvSpPr>
        </xdr:nvSpPr>
        <xdr:spPr>
          <a:xfrm>
            <a:off x="10172477" y="1821254"/>
            <a:ext cx="2229037" cy="540228"/>
          </a:xfrm>
          <a:prstGeom prst="leftArrow">
            <a:avLst>
              <a:gd name="adj1" fmla="val 100000"/>
              <a:gd name="adj2" fmla="val 0"/>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GLOSARIO</a:t>
            </a:r>
            <a:endParaRPr lang="es-CO" sz="1400" b="1">
              <a:solidFill>
                <a:sysClr val="windowText" lastClr="000000"/>
              </a:solidFill>
              <a:latin typeface="Arial Narrow" panose="020B0606020202030204" pitchFamily="34" charset="0"/>
              <a:cs typeface="Arial" panose="020B0604020202020204" pitchFamily="34" charset="0"/>
            </a:endParaRPr>
          </a:p>
        </xdr:txBody>
      </xdr:sp>
      <xdr:sp macro="" textlink="">
        <xdr:nvSpPr>
          <xdr:cNvPr id="6" name="Flecha izquierda 8">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spect="1"/>
          </xdr:cNvSpPr>
        </xdr:nvSpPr>
        <xdr:spPr>
          <a:xfrm flipH="1">
            <a:off x="12555811" y="1821254"/>
            <a:ext cx="2229037" cy="540228"/>
          </a:xfrm>
          <a:prstGeom prst="leftArrow">
            <a:avLst>
              <a:gd name="adj1" fmla="val 100000"/>
              <a:gd name="adj2" fmla="val 46148"/>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INSTRUCCIONES</a:t>
            </a:r>
          </a:p>
        </xdr:txBody>
      </xdr:sp>
    </xdr:grpSp>
    <xdr:clientData/>
  </xdr:twoCellAnchor>
  <xdr:twoCellAnchor editAs="oneCell">
    <xdr:from>
      <xdr:col>1</xdr:col>
      <xdr:colOff>347382</xdr:colOff>
      <xdr:row>1</xdr:row>
      <xdr:rowOff>66996</xdr:rowOff>
    </xdr:from>
    <xdr:to>
      <xdr:col>2</xdr:col>
      <xdr:colOff>582706</xdr:colOff>
      <xdr:row>4</xdr:row>
      <xdr:rowOff>201706</xdr:rowOff>
    </xdr:to>
    <xdr:pic>
      <xdr:nvPicPr>
        <xdr:cNvPr id="7" name="Imagen 2" descr="escudo-alc">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0088" y="223878"/>
          <a:ext cx="1221442" cy="95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165743</xdr:colOff>
      <xdr:row>6</xdr:row>
      <xdr:rowOff>56744</xdr:rowOff>
    </xdr:from>
    <xdr:to>
      <xdr:col>2</xdr:col>
      <xdr:colOff>5524065</xdr:colOff>
      <xdr:row>9</xdr:row>
      <xdr:rowOff>49076</xdr:rowOff>
    </xdr:to>
    <xdr:grpSp>
      <xdr:nvGrpSpPr>
        <xdr:cNvPr id="2" name="Grupo 1">
          <a:extLst>
            <a:ext uri="{FF2B5EF4-FFF2-40B4-BE49-F238E27FC236}">
              <a16:creationId xmlns:a16="http://schemas.microsoft.com/office/drawing/2014/main" id="{361787C7-0A05-4224-AFF3-3511996F47E4}"/>
            </a:ext>
          </a:extLst>
        </xdr:cNvPr>
        <xdr:cNvGrpSpPr/>
      </xdr:nvGrpSpPr>
      <xdr:grpSpPr>
        <a:xfrm>
          <a:off x="165743" y="1591630"/>
          <a:ext cx="6947636" cy="514846"/>
          <a:chOff x="7767269" y="1821254"/>
          <a:chExt cx="7017579" cy="546389"/>
        </a:xfrm>
      </xdr:grpSpPr>
      <xdr:sp macro="" textlink="">
        <xdr:nvSpPr>
          <xdr:cNvPr id="3" name="Flecha izquierda 6">
            <a:hlinkClick xmlns:r="http://schemas.openxmlformats.org/officeDocument/2006/relationships" r:id="rId1"/>
            <a:extLst>
              <a:ext uri="{FF2B5EF4-FFF2-40B4-BE49-F238E27FC236}">
                <a16:creationId xmlns:a16="http://schemas.microsoft.com/office/drawing/2014/main" id="{3D670AE7-8D79-46EF-8055-2678C71CEB88}"/>
              </a:ext>
            </a:extLst>
          </xdr:cNvPr>
          <xdr:cNvSpPr>
            <a:spLocks noChangeAspect="1"/>
          </xdr:cNvSpPr>
        </xdr:nvSpPr>
        <xdr:spPr>
          <a:xfrm>
            <a:off x="7767269" y="1827415"/>
            <a:ext cx="2229037" cy="540228"/>
          </a:xfrm>
          <a:prstGeom prst="leftArrow">
            <a:avLst>
              <a:gd name="adj1" fmla="val 100000"/>
              <a:gd name="adj2" fmla="val 60586"/>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cs typeface="Arial" panose="020B0604020202020204" pitchFamily="34" charset="0"/>
              </a:rPr>
              <a:t>INDICE </a:t>
            </a:r>
          </a:p>
        </xdr:txBody>
      </xdr:sp>
      <xdr:sp macro="" textlink="">
        <xdr:nvSpPr>
          <xdr:cNvPr id="4" name="Flecha izquierda 8">
            <a:hlinkClick xmlns:r="http://schemas.openxmlformats.org/officeDocument/2006/relationships" r:id="rId2"/>
            <a:extLst>
              <a:ext uri="{FF2B5EF4-FFF2-40B4-BE49-F238E27FC236}">
                <a16:creationId xmlns:a16="http://schemas.microsoft.com/office/drawing/2014/main" id="{329F0F25-F6D0-4C82-9319-A0F07A98B750}"/>
              </a:ext>
            </a:extLst>
          </xdr:cNvPr>
          <xdr:cNvSpPr>
            <a:spLocks noChangeAspect="1"/>
          </xdr:cNvSpPr>
        </xdr:nvSpPr>
        <xdr:spPr>
          <a:xfrm>
            <a:off x="10172477" y="1821254"/>
            <a:ext cx="2229037" cy="540228"/>
          </a:xfrm>
          <a:prstGeom prst="leftArrow">
            <a:avLst>
              <a:gd name="adj1" fmla="val 100000"/>
              <a:gd name="adj2" fmla="val 0"/>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GLOSARIO</a:t>
            </a:r>
            <a:endParaRPr lang="es-CO" sz="1400" b="1">
              <a:solidFill>
                <a:sysClr val="windowText" lastClr="000000"/>
              </a:solidFill>
              <a:latin typeface="Arial Narrow" panose="020B0606020202030204" pitchFamily="34" charset="0"/>
              <a:cs typeface="Arial" panose="020B0604020202020204" pitchFamily="34" charset="0"/>
            </a:endParaRPr>
          </a:p>
        </xdr:txBody>
      </xdr:sp>
      <xdr:sp macro="" textlink="">
        <xdr:nvSpPr>
          <xdr:cNvPr id="5" name="Flecha izquierda 8">
            <a:hlinkClick xmlns:r="http://schemas.openxmlformats.org/officeDocument/2006/relationships" r:id="rId3"/>
            <a:extLst>
              <a:ext uri="{FF2B5EF4-FFF2-40B4-BE49-F238E27FC236}">
                <a16:creationId xmlns:a16="http://schemas.microsoft.com/office/drawing/2014/main" id="{99EDA06C-4265-4567-99FB-344C9C5BE5E2}"/>
              </a:ext>
            </a:extLst>
          </xdr:cNvPr>
          <xdr:cNvSpPr>
            <a:spLocks noChangeAspect="1"/>
          </xdr:cNvSpPr>
        </xdr:nvSpPr>
        <xdr:spPr>
          <a:xfrm flipH="1">
            <a:off x="12555811" y="1821254"/>
            <a:ext cx="2229037" cy="540228"/>
          </a:xfrm>
          <a:prstGeom prst="leftArrow">
            <a:avLst>
              <a:gd name="adj1" fmla="val 100000"/>
              <a:gd name="adj2" fmla="val 46148"/>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INSTRUCCIONES</a:t>
            </a:r>
          </a:p>
        </xdr:txBody>
      </xdr:sp>
    </xdr:grpSp>
    <xdr:clientData/>
  </xdr:twoCellAnchor>
  <xdr:twoCellAnchor editAs="oneCell">
    <xdr:from>
      <xdr:col>1</xdr:col>
      <xdr:colOff>100851</xdr:colOff>
      <xdr:row>1</xdr:row>
      <xdr:rowOff>156643</xdr:rowOff>
    </xdr:from>
    <xdr:to>
      <xdr:col>1</xdr:col>
      <xdr:colOff>1368754</xdr:colOff>
      <xdr:row>4</xdr:row>
      <xdr:rowOff>11207</xdr:rowOff>
    </xdr:to>
    <xdr:pic>
      <xdr:nvPicPr>
        <xdr:cNvPr id="6" name="Imagen 2" descr="escudo-alc">
          <a:extLst>
            <a:ext uri="{FF2B5EF4-FFF2-40B4-BE49-F238E27FC236}">
              <a16:creationId xmlns:a16="http://schemas.microsoft.com/office/drawing/2014/main" id="{1D5EDB0C-DC5C-4E62-A294-09A9988829A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111" y="331903"/>
          <a:ext cx="1267903" cy="78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1155216</xdr:colOff>
      <xdr:row>60</xdr:row>
      <xdr:rowOff>22722</xdr:rowOff>
    </xdr:from>
    <xdr:to>
      <xdr:col>4</xdr:col>
      <xdr:colOff>529764</xdr:colOff>
      <xdr:row>60</xdr:row>
      <xdr:rowOff>157721</xdr:rowOff>
    </xdr:to>
    <xdr:pic>
      <xdr:nvPicPr>
        <xdr:cNvPr id="2" name="Imagen 1">
          <a:extLst>
            <a:ext uri="{FF2B5EF4-FFF2-40B4-BE49-F238E27FC236}">
              <a16:creationId xmlns:a16="http://schemas.microsoft.com/office/drawing/2014/main" id="{A8C34ED7-4191-4767-813A-943D06EFE433}"/>
            </a:ext>
          </a:extLst>
        </xdr:cNvPr>
        <xdr:cNvPicPr/>
      </xdr:nvPicPr>
      <xdr:blipFill rotWithShape="1">
        <a:blip xmlns:r="http://schemas.openxmlformats.org/officeDocument/2006/relationships" r:embed="rId1"/>
        <a:srcRect l="12048" t="57015" r="76175" b="38969"/>
        <a:stretch/>
      </xdr:blipFill>
      <xdr:spPr bwMode="auto">
        <a:xfrm>
          <a:off x="3845076" y="11955642"/>
          <a:ext cx="715668" cy="134999"/>
        </a:xfrm>
        <a:prstGeom prst="rect">
          <a:avLst/>
        </a:prstGeom>
        <a:ln>
          <a:noFill/>
        </a:ln>
        <a:extLst>
          <a:ext uri="{53640926-AAD7-44D8-BBD7-CCE9431645EC}">
            <a14:shadowObscured xmlns:a14="http://schemas.microsoft.com/office/drawing/2010/main"/>
          </a:ext>
        </a:extLst>
      </xdr:spPr>
    </xdr:pic>
    <xdr:clientData/>
  </xdr:twoCellAnchor>
  <xdr:twoCellAnchor editAs="absolute">
    <xdr:from>
      <xdr:col>1</xdr:col>
      <xdr:colOff>1059</xdr:colOff>
      <xdr:row>6</xdr:row>
      <xdr:rowOff>88894</xdr:rowOff>
    </xdr:from>
    <xdr:to>
      <xdr:col>6</xdr:col>
      <xdr:colOff>451916</xdr:colOff>
      <xdr:row>9</xdr:row>
      <xdr:rowOff>81225</xdr:rowOff>
    </xdr:to>
    <xdr:grpSp>
      <xdr:nvGrpSpPr>
        <xdr:cNvPr id="3" name="Grupo 2">
          <a:extLst>
            <a:ext uri="{FF2B5EF4-FFF2-40B4-BE49-F238E27FC236}">
              <a16:creationId xmlns:a16="http://schemas.microsoft.com/office/drawing/2014/main" id="{268EADB0-A54B-482D-AC52-036CB3FF8DDE}"/>
            </a:ext>
          </a:extLst>
        </xdr:cNvPr>
        <xdr:cNvGrpSpPr/>
      </xdr:nvGrpSpPr>
      <xdr:grpSpPr>
        <a:xfrm>
          <a:off x="235521" y="1513248"/>
          <a:ext cx="6927857" cy="519869"/>
          <a:chOff x="7767269" y="1821254"/>
          <a:chExt cx="7017579" cy="546389"/>
        </a:xfrm>
      </xdr:grpSpPr>
      <xdr:sp macro="" textlink="">
        <xdr:nvSpPr>
          <xdr:cNvPr id="4" name="Flecha izquierda 6">
            <a:hlinkClick xmlns:r="http://schemas.openxmlformats.org/officeDocument/2006/relationships" r:id="rId2"/>
            <a:extLst>
              <a:ext uri="{FF2B5EF4-FFF2-40B4-BE49-F238E27FC236}">
                <a16:creationId xmlns:a16="http://schemas.microsoft.com/office/drawing/2014/main" id="{BDFD267D-B638-4136-872D-80A544A8E68C}"/>
              </a:ext>
            </a:extLst>
          </xdr:cNvPr>
          <xdr:cNvSpPr>
            <a:spLocks noChangeAspect="1"/>
          </xdr:cNvSpPr>
        </xdr:nvSpPr>
        <xdr:spPr>
          <a:xfrm>
            <a:off x="7767269" y="1827415"/>
            <a:ext cx="2229037" cy="540228"/>
          </a:xfrm>
          <a:prstGeom prst="leftArrow">
            <a:avLst>
              <a:gd name="adj1" fmla="val 100000"/>
              <a:gd name="adj2" fmla="val 60586"/>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cs typeface="Arial" panose="020B0604020202020204" pitchFamily="34" charset="0"/>
              </a:rPr>
              <a:t>INDICE </a:t>
            </a:r>
          </a:p>
        </xdr:txBody>
      </xdr:sp>
      <xdr:sp macro="" textlink="">
        <xdr:nvSpPr>
          <xdr:cNvPr id="5" name="Flecha izquierda 8">
            <a:hlinkClick xmlns:r="http://schemas.openxmlformats.org/officeDocument/2006/relationships" r:id="rId3"/>
            <a:extLst>
              <a:ext uri="{FF2B5EF4-FFF2-40B4-BE49-F238E27FC236}">
                <a16:creationId xmlns:a16="http://schemas.microsoft.com/office/drawing/2014/main" id="{F87F4C59-0E4C-42F2-AF6B-D59576042C49}"/>
              </a:ext>
            </a:extLst>
          </xdr:cNvPr>
          <xdr:cNvSpPr>
            <a:spLocks noChangeAspect="1"/>
          </xdr:cNvSpPr>
        </xdr:nvSpPr>
        <xdr:spPr>
          <a:xfrm>
            <a:off x="10172477" y="1821254"/>
            <a:ext cx="2229037" cy="540228"/>
          </a:xfrm>
          <a:prstGeom prst="leftArrow">
            <a:avLst>
              <a:gd name="adj1" fmla="val 100000"/>
              <a:gd name="adj2" fmla="val 0"/>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GLOSARIO</a:t>
            </a:r>
            <a:endParaRPr lang="es-CO" sz="1400" b="1">
              <a:solidFill>
                <a:sysClr val="windowText" lastClr="000000"/>
              </a:solidFill>
              <a:latin typeface="Arial Narrow" panose="020B0606020202030204" pitchFamily="34" charset="0"/>
              <a:cs typeface="Arial" panose="020B0604020202020204" pitchFamily="34" charset="0"/>
            </a:endParaRPr>
          </a:p>
        </xdr:txBody>
      </xdr:sp>
      <xdr:sp macro="" textlink="">
        <xdr:nvSpPr>
          <xdr:cNvPr id="6" name="Flecha izquierda 8">
            <a:hlinkClick xmlns:r="http://schemas.openxmlformats.org/officeDocument/2006/relationships" r:id="rId4"/>
            <a:extLst>
              <a:ext uri="{FF2B5EF4-FFF2-40B4-BE49-F238E27FC236}">
                <a16:creationId xmlns:a16="http://schemas.microsoft.com/office/drawing/2014/main" id="{B7A6303D-EA3B-4263-AE08-5E6A388FD8E1}"/>
              </a:ext>
            </a:extLst>
          </xdr:cNvPr>
          <xdr:cNvSpPr>
            <a:spLocks noChangeAspect="1"/>
          </xdr:cNvSpPr>
        </xdr:nvSpPr>
        <xdr:spPr>
          <a:xfrm flipH="1">
            <a:off x="12555811" y="1821254"/>
            <a:ext cx="2229037" cy="540228"/>
          </a:xfrm>
          <a:prstGeom prst="leftArrow">
            <a:avLst>
              <a:gd name="adj1" fmla="val 100000"/>
              <a:gd name="adj2" fmla="val 46148"/>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400" b="1" baseline="0">
                <a:solidFill>
                  <a:sysClr val="windowText" lastClr="000000"/>
                </a:solidFill>
                <a:latin typeface="Arial Narrow" panose="020B0606020202030204" pitchFamily="34" charset="0"/>
                <a:cs typeface="Arial" panose="020B0604020202020204" pitchFamily="34" charset="0"/>
              </a:rPr>
              <a:t>INSTRUCCIONES</a:t>
            </a:r>
          </a:p>
        </xdr:txBody>
      </xdr:sp>
    </xdr:grpSp>
    <xdr:clientData/>
  </xdr:twoCellAnchor>
  <xdr:twoCellAnchor editAs="oneCell">
    <xdr:from>
      <xdr:col>1</xdr:col>
      <xdr:colOff>288473</xdr:colOff>
      <xdr:row>1</xdr:row>
      <xdr:rowOff>56850</xdr:rowOff>
    </xdr:from>
    <xdr:to>
      <xdr:col>2</xdr:col>
      <xdr:colOff>1086499</xdr:colOff>
      <xdr:row>4</xdr:row>
      <xdr:rowOff>180976</xdr:rowOff>
    </xdr:to>
    <xdr:pic>
      <xdr:nvPicPr>
        <xdr:cNvPr id="7" name="Imagen 2" descr="escudo-alc">
          <a:extLst>
            <a:ext uri="{FF2B5EF4-FFF2-40B4-BE49-F238E27FC236}">
              <a16:creationId xmlns:a16="http://schemas.microsoft.com/office/drawing/2014/main" id="{3BA8551D-9C93-49EB-81FC-F066C53549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4693" y="232110"/>
          <a:ext cx="1758146" cy="939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897514</xdr:colOff>
      <xdr:row>64</xdr:row>
      <xdr:rowOff>212364</xdr:rowOff>
    </xdr:from>
    <xdr:to>
      <xdr:col>5</xdr:col>
      <xdr:colOff>269683</xdr:colOff>
      <xdr:row>64</xdr:row>
      <xdr:rowOff>348950</xdr:rowOff>
    </xdr:to>
    <xdr:pic>
      <xdr:nvPicPr>
        <xdr:cNvPr id="8" name="Imagen 7">
          <a:extLst>
            <a:ext uri="{FF2B5EF4-FFF2-40B4-BE49-F238E27FC236}">
              <a16:creationId xmlns:a16="http://schemas.microsoft.com/office/drawing/2014/main" id="{153997CC-7D3A-4A06-89EC-9524E0AC9323}"/>
            </a:ext>
          </a:extLst>
        </xdr:cNvPr>
        <xdr:cNvPicPr/>
      </xdr:nvPicPr>
      <xdr:blipFill rotWithShape="1">
        <a:blip xmlns:r="http://schemas.openxmlformats.org/officeDocument/2006/relationships" r:embed="rId1"/>
        <a:srcRect l="12048" t="57015" r="76175" b="38969"/>
        <a:stretch/>
      </xdr:blipFill>
      <xdr:spPr bwMode="auto">
        <a:xfrm>
          <a:off x="4928494" y="15970524"/>
          <a:ext cx="713289" cy="13658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1053300</xdr:colOff>
      <xdr:row>63</xdr:row>
      <xdr:rowOff>340286</xdr:rowOff>
    </xdr:from>
    <xdr:to>
      <xdr:col>5</xdr:col>
      <xdr:colOff>375097</xdr:colOff>
      <xdr:row>63</xdr:row>
      <xdr:rowOff>476872</xdr:rowOff>
    </xdr:to>
    <xdr:pic>
      <xdr:nvPicPr>
        <xdr:cNvPr id="9" name="Imagen 19">
          <a:extLst>
            <a:ext uri="{FF2B5EF4-FFF2-40B4-BE49-F238E27FC236}">
              <a16:creationId xmlns:a16="http://schemas.microsoft.com/office/drawing/2014/main" id="{C606740E-EBF1-428C-8E28-43F565EE4D48}"/>
            </a:ext>
          </a:extLst>
        </xdr:cNvPr>
        <xdr:cNvPicPr/>
      </xdr:nvPicPr>
      <xdr:blipFill rotWithShape="1">
        <a:blip xmlns:r="http://schemas.openxmlformats.org/officeDocument/2006/relationships" r:embed="rId1"/>
        <a:srcRect l="12048" t="57015" r="76175" b="38969"/>
        <a:stretch/>
      </xdr:blipFill>
      <xdr:spPr bwMode="auto">
        <a:xfrm>
          <a:off x="5084280" y="12776126"/>
          <a:ext cx="662917" cy="136586"/>
        </a:xfrm>
        <a:prstGeom prst="rect">
          <a:avLst/>
        </a:prstGeom>
        <a:ln>
          <a:noFill/>
        </a:ln>
        <a:extLst>
          <a:ext uri="{53640926-AAD7-44D8-BBD7-CCE9431645EC}">
            <a14:shadowObscured xmlns:a14="http://schemas.microsoft.com/office/drawing/2010/main"/>
          </a:ext>
        </a:extLst>
      </xdr:spPr>
    </xdr:pic>
    <xdr:clientData/>
  </xdr:twoCellAnchor>
  <xdr:oneCellAnchor>
    <xdr:from>
      <xdr:col>3</xdr:col>
      <xdr:colOff>1155216</xdr:colOff>
      <xdr:row>30</xdr:row>
      <xdr:rowOff>22722</xdr:rowOff>
    </xdr:from>
    <xdr:ext cx="743767" cy="134999"/>
    <xdr:pic>
      <xdr:nvPicPr>
        <xdr:cNvPr id="10" name="Imagen 9">
          <a:extLst>
            <a:ext uri="{FF2B5EF4-FFF2-40B4-BE49-F238E27FC236}">
              <a16:creationId xmlns:a16="http://schemas.microsoft.com/office/drawing/2014/main" id="{637A2E35-488D-4675-A4AF-0C70BBC68F32}"/>
            </a:ext>
          </a:extLst>
        </xdr:cNvPr>
        <xdr:cNvPicPr/>
      </xdr:nvPicPr>
      <xdr:blipFill rotWithShape="1">
        <a:blip xmlns:r="http://schemas.openxmlformats.org/officeDocument/2006/relationships" r:embed="rId1"/>
        <a:srcRect l="12048" t="57015" r="76175" b="38969"/>
        <a:stretch/>
      </xdr:blipFill>
      <xdr:spPr bwMode="auto">
        <a:xfrm>
          <a:off x="3845076" y="6263502"/>
          <a:ext cx="743767" cy="134999"/>
        </a:xfrm>
        <a:prstGeom prst="rect">
          <a:avLst/>
        </a:prstGeom>
        <a:ln>
          <a:noFill/>
        </a:ln>
        <a:extLst>
          <a:ext uri="{53640926-AAD7-44D8-BBD7-CCE9431645EC}">
            <a14:shadowObscured xmlns:a14="http://schemas.microsoft.com/office/drawing/2010/main"/>
          </a:ext>
        </a:extLst>
      </xdr:spPr>
    </xdr:pic>
    <xdr:clientData/>
  </xdr:oneCellAnchor>
  <xdr:oneCellAnchor>
    <xdr:from>
      <xdr:col>5</xdr:col>
      <xdr:colOff>833748</xdr:colOff>
      <xdr:row>27</xdr:row>
      <xdr:rowOff>22721</xdr:rowOff>
    </xdr:from>
    <xdr:ext cx="743767" cy="134999"/>
    <xdr:pic>
      <xdr:nvPicPr>
        <xdr:cNvPr id="11" name="Imagen 10">
          <a:extLst>
            <a:ext uri="{FF2B5EF4-FFF2-40B4-BE49-F238E27FC236}">
              <a16:creationId xmlns:a16="http://schemas.microsoft.com/office/drawing/2014/main" id="{1D417C6C-E938-4D63-A810-8D04E54DE4DB}"/>
            </a:ext>
          </a:extLst>
        </xdr:cNvPr>
        <xdr:cNvPicPr/>
      </xdr:nvPicPr>
      <xdr:blipFill rotWithShape="1">
        <a:blip xmlns:r="http://schemas.openxmlformats.org/officeDocument/2006/relationships" r:embed="rId1"/>
        <a:srcRect l="12048" t="57015" r="76175" b="38969"/>
        <a:stretch/>
      </xdr:blipFill>
      <xdr:spPr bwMode="auto">
        <a:xfrm>
          <a:off x="6205848" y="5692001"/>
          <a:ext cx="743767" cy="134999"/>
        </a:xfrm>
        <a:prstGeom prst="rect">
          <a:avLst/>
        </a:prstGeom>
        <a:ln>
          <a:noFill/>
        </a:ln>
        <a:extLst>
          <a:ext uri="{53640926-AAD7-44D8-BBD7-CCE9431645EC}">
            <a14:shadowObscured xmlns:a14="http://schemas.microsoft.com/office/drawing/2010/main"/>
          </a:ext>
        </a:extLst>
      </xdr:spPr>
    </xdr:pic>
    <xdr:clientData/>
  </xdr:oneCellAnchor>
  <xdr:oneCellAnchor>
    <xdr:from>
      <xdr:col>3</xdr:col>
      <xdr:colOff>1155216</xdr:colOff>
      <xdr:row>56</xdr:row>
      <xdr:rowOff>22722</xdr:rowOff>
    </xdr:from>
    <xdr:ext cx="743767" cy="134999"/>
    <xdr:pic>
      <xdr:nvPicPr>
        <xdr:cNvPr id="12" name="Imagen 11">
          <a:extLst>
            <a:ext uri="{FF2B5EF4-FFF2-40B4-BE49-F238E27FC236}">
              <a16:creationId xmlns:a16="http://schemas.microsoft.com/office/drawing/2014/main" id="{9DA99673-398E-41F8-BCA5-97A3C5D09A4C}"/>
            </a:ext>
          </a:extLst>
        </xdr:cNvPr>
        <xdr:cNvPicPr/>
      </xdr:nvPicPr>
      <xdr:blipFill rotWithShape="1">
        <a:blip xmlns:r="http://schemas.openxmlformats.org/officeDocument/2006/relationships" r:embed="rId1"/>
        <a:srcRect l="12048" t="57015" r="76175" b="38969"/>
        <a:stretch/>
      </xdr:blipFill>
      <xdr:spPr bwMode="auto">
        <a:xfrm>
          <a:off x="3845076" y="11216502"/>
          <a:ext cx="743767" cy="134999"/>
        </a:xfrm>
        <a:prstGeom prst="rect">
          <a:avLst/>
        </a:prstGeom>
        <a:ln>
          <a:noFill/>
        </a:ln>
        <a:extLst>
          <a:ext uri="{53640926-AAD7-44D8-BBD7-CCE9431645EC}">
            <a14:shadowObscured xmlns:a14="http://schemas.microsoft.com/office/drawing/2010/main"/>
          </a:ext>
        </a:extLst>
      </xdr:spPr>
    </xdr:pic>
    <xdr:clientData/>
  </xdr:oneCellAnchor>
  <xdr:oneCellAnchor>
    <xdr:from>
      <xdr:col>7</xdr:col>
      <xdr:colOff>310</xdr:colOff>
      <xdr:row>36</xdr:row>
      <xdr:rowOff>34629</xdr:rowOff>
    </xdr:from>
    <xdr:ext cx="743767" cy="134999"/>
    <xdr:pic>
      <xdr:nvPicPr>
        <xdr:cNvPr id="13" name="Imagen 12">
          <a:extLst>
            <a:ext uri="{FF2B5EF4-FFF2-40B4-BE49-F238E27FC236}">
              <a16:creationId xmlns:a16="http://schemas.microsoft.com/office/drawing/2014/main" id="{4FAC3A43-3142-474A-9170-C0A5C8CA885C}"/>
            </a:ext>
          </a:extLst>
        </xdr:cNvPr>
        <xdr:cNvPicPr/>
      </xdr:nvPicPr>
      <xdr:blipFill rotWithShape="1">
        <a:blip xmlns:r="http://schemas.openxmlformats.org/officeDocument/2006/relationships" r:embed="rId1"/>
        <a:srcRect l="12048" t="57015" r="76175" b="38969"/>
        <a:stretch/>
      </xdr:blipFill>
      <xdr:spPr bwMode="auto">
        <a:xfrm>
          <a:off x="8054650" y="7418409"/>
          <a:ext cx="743767" cy="134999"/>
        </a:xfrm>
        <a:prstGeom prst="rect">
          <a:avLst/>
        </a:prstGeom>
        <a:ln>
          <a:noFill/>
        </a:ln>
        <a:extLst>
          <a:ext uri="{53640926-AAD7-44D8-BBD7-CCE9431645EC}">
            <a14:shadowObscured xmlns:a14="http://schemas.microsoft.com/office/drawing/2010/main"/>
          </a:ext>
        </a:extLst>
      </xdr:spPr>
    </xdr:pic>
    <xdr:clientData/>
  </xdr:oneCellAnchor>
  <xdr:oneCellAnchor>
    <xdr:from>
      <xdr:col>7</xdr:col>
      <xdr:colOff>310</xdr:colOff>
      <xdr:row>40</xdr:row>
      <xdr:rowOff>34629</xdr:rowOff>
    </xdr:from>
    <xdr:ext cx="743767" cy="134999"/>
    <xdr:pic>
      <xdr:nvPicPr>
        <xdr:cNvPr id="14" name="Imagen 13">
          <a:extLst>
            <a:ext uri="{FF2B5EF4-FFF2-40B4-BE49-F238E27FC236}">
              <a16:creationId xmlns:a16="http://schemas.microsoft.com/office/drawing/2014/main" id="{666652D8-8820-474B-8231-2F7ECCE4D5E5}"/>
            </a:ext>
          </a:extLst>
        </xdr:cNvPr>
        <xdr:cNvPicPr/>
      </xdr:nvPicPr>
      <xdr:blipFill rotWithShape="1">
        <a:blip xmlns:r="http://schemas.openxmlformats.org/officeDocument/2006/relationships" r:embed="rId1"/>
        <a:srcRect l="12048" t="57015" r="76175" b="38969"/>
        <a:stretch/>
      </xdr:blipFill>
      <xdr:spPr bwMode="auto">
        <a:xfrm>
          <a:off x="8054650" y="8180409"/>
          <a:ext cx="743767" cy="134999"/>
        </a:xfrm>
        <a:prstGeom prst="rect">
          <a:avLst/>
        </a:prstGeom>
        <a:ln>
          <a:noFill/>
        </a:ln>
        <a:extLst>
          <a:ext uri="{53640926-AAD7-44D8-BBD7-CCE9431645EC}">
            <a14:shadowObscured xmlns:a14="http://schemas.microsoft.com/office/drawing/2010/main"/>
          </a:ext>
        </a:extLst>
      </xdr:spPr>
    </xdr:pic>
    <xdr:clientData/>
  </xdr:oneCellAnchor>
  <xdr:oneCellAnchor>
    <xdr:from>
      <xdr:col>7</xdr:col>
      <xdr:colOff>310</xdr:colOff>
      <xdr:row>44</xdr:row>
      <xdr:rowOff>34629</xdr:rowOff>
    </xdr:from>
    <xdr:ext cx="743767" cy="134999"/>
    <xdr:pic>
      <xdr:nvPicPr>
        <xdr:cNvPr id="15" name="Imagen 14">
          <a:extLst>
            <a:ext uri="{FF2B5EF4-FFF2-40B4-BE49-F238E27FC236}">
              <a16:creationId xmlns:a16="http://schemas.microsoft.com/office/drawing/2014/main" id="{D79E7AAB-9BC7-4A46-A909-08CA8CCFCD79}"/>
            </a:ext>
          </a:extLst>
        </xdr:cNvPr>
        <xdr:cNvPicPr/>
      </xdr:nvPicPr>
      <xdr:blipFill rotWithShape="1">
        <a:blip xmlns:r="http://schemas.openxmlformats.org/officeDocument/2006/relationships" r:embed="rId1"/>
        <a:srcRect l="12048" t="57015" r="76175" b="38969"/>
        <a:stretch/>
      </xdr:blipFill>
      <xdr:spPr bwMode="auto">
        <a:xfrm>
          <a:off x="8054650" y="8942409"/>
          <a:ext cx="743767" cy="134999"/>
        </a:xfrm>
        <a:prstGeom prst="rect">
          <a:avLst/>
        </a:prstGeom>
        <a:ln>
          <a:noFill/>
        </a:ln>
        <a:extLst>
          <a:ext uri="{53640926-AAD7-44D8-BBD7-CCE9431645EC}">
            <a14:shadowObscured xmlns:a14="http://schemas.microsoft.com/office/drawing/2010/main"/>
          </a:ext>
        </a:extLst>
      </xdr:spPr>
    </xdr:pic>
    <xdr:clientData/>
  </xdr:oneCellAnchor>
  <xdr:oneCellAnchor>
    <xdr:from>
      <xdr:col>7</xdr:col>
      <xdr:colOff>310</xdr:colOff>
      <xdr:row>48</xdr:row>
      <xdr:rowOff>34629</xdr:rowOff>
    </xdr:from>
    <xdr:ext cx="743767" cy="134999"/>
    <xdr:pic>
      <xdr:nvPicPr>
        <xdr:cNvPr id="16" name="Imagen 15">
          <a:extLst>
            <a:ext uri="{FF2B5EF4-FFF2-40B4-BE49-F238E27FC236}">
              <a16:creationId xmlns:a16="http://schemas.microsoft.com/office/drawing/2014/main" id="{5290CEDB-F72F-4111-B585-92314B754F71}"/>
            </a:ext>
          </a:extLst>
        </xdr:cNvPr>
        <xdr:cNvPicPr/>
      </xdr:nvPicPr>
      <xdr:blipFill rotWithShape="1">
        <a:blip xmlns:r="http://schemas.openxmlformats.org/officeDocument/2006/relationships" r:embed="rId1"/>
        <a:srcRect l="12048" t="57015" r="76175" b="38969"/>
        <a:stretch/>
      </xdr:blipFill>
      <xdr:spPr bwMode="auto">
        <a:xfrm>
          <a:off x="8054650" y="9704409"/>
          <a:ext cx="743767" cy="134999"/>
        </a:xfrm>
        <a:prstGeom prst="rect">
          <a:avLst/>
        </a:prstGeom>
        <a:ln>
          <a:noFill/>
        </a:ln>
        <a:extLst>
          <a:ext uri="{53640926-AAD7-44D8-BBD7-CCE9431645EC}">
            <a14:shadowObscured xmlns:a14="http://schemas.microsoft.com/office/drawing/2010/main"/>
          </a:ext>
        </a:extLst>
      </xdr:spPr>
    </xdr:pic>
    <xdr:clientData/>
  </xdr:oneCellAnchor>
  <xdr:oneCellAnchor>
    <xdr:from>
      <xdr:col>7</xdr:col>
      <xdr:colOff>310</xdr:colOff>
      <xdr:row>52</xdr:row>
      <xdr:rowOff>34629</xdr:rowOff>
    </xdr:from>
    <xdr:ext cx="743767" cy="134999"/>
    <xdr:pic>
      <xdr:nvPicPr>
        <xdr:cNvPr id="17" name="Imagen 16">
          <a:extLst>
            <a:ext uri="{FF2B5EF4-FFF2-40B4-BE49-F238E27FC236}">
              <a16:creationId xmlns:a16="http://schemas.microsoft.com/office/drawing/2014/main" id="{ED5F8F5E-F550-4CCB-AC42-515453A10453}"/>
            </a:ext>
          </a:extLst>
        </xdr:cNvPr>
        <xdr:cNvPicPr/>
      </xdr:nvPicPr>
      <xdr:blipFill rotWithShape="1">
        <a:blip xmlns:r="http://schemas.openxmlformats.org/officeDocument/2006/relationships" r:embed="rId1"/>
        <a:srcRect l="12048" t="57015" r="76175" b="38969"/>
        <a:stretch/>
      </xdr:blipFill>
      <xdr:spPr bwMode="auto">
        <a:xfrm>
          <a:off x="8054650" y="10466409"/>
          <a:ext cx="743767" cy="134999"/>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3</xdr:col>
      <xdr:colOff>433753</xdr:colOff>
      <xdr:row>22</xdr:row>
      <xdr:rowOff>25532</xdr:rowOff>
    </xdr:from>
    <xdr:to>
      <xdr:col>3</xdr:col>
      <xdr:colOff>861646</xdr:colOff>
      <xdr:row>22</xdr:row>
      <xdr:rowOff>155937</xdr:rowOff>
    </xdr:to>
    <xdr:pic>
      <xdr:nvPicPr>
        <xdr:cNvPr id="18" name="Imagen 17">
          <a:extLst>
            <a:ext uri="{FF2B5EF4-FFF2-40B4-BE49-F238E27FC236}">
              <a16:creationId xmlns:a16="http://schemas.microsoft.com/office/drawing/2014/main" id="{6555ABC7-DCD7-425B-83DE-AE6C62529E9A}"/>
            </a:ext>
          </a:extLst>
        </xdr:cNvPr>
        <xdr:cNvPicPr>
          <a:picLocks noChangeAspect="1"/>
        </xdr:cNvPicPr>
      </xdr:nvPicPr>
      <xdr:blipFill>
        <a:blip xmlns:r="http://schemas.openxmlformats.org/officeDocument/2006/relationships" r:embed="rId6"/>
        <a:stretch>
          <a:fillRect/>
        </a:stretch>
      </xdr:blipFill>
      <xdr:spPr>
        <a:xfrm>
          <a:off x="3118338" y="4726486"/>
          <a:ext cx="427893" cy="130405"/>
        </a:xfrm>
        <a:prstGeom prst="rect">
          <a:avLst/>
        </a:prstGeom>
      </xdr:spPr>
    </xdr:pic>
    <xdr:clientData/>
  </xdr:twoCellAnchor>
  <xdr:twoCellAnchor editAs="oneCell">
    <xdr:from>
      <xdr:col>2</xdr:col>
      <xdr:colOff>1436077</xdr:colOff>
      <xdr:row>22</xdr:row>
      <xdr:rowOff>28767</xdr:rowOff>
    </xdr:from>
    <xdr:to>
      <xdr:col>3</xdr:col>
      <xdr:colOff>281354</xdr:colOff>
      <xdr:row>22</xdr:row>
      <xdr:rowOff>161209</xdr:rowOff>
    </xdr:to>
    <xdr:pic>
      <xdr:nvPicPr>
        <xdr:cNvPr id="19" name="Imagen 18">
          <a:extLst>
            <a:ext uri="{FF2B5EF4-FFF2-40B4-BE49-F238E27FC236}">
              <a16:creationId xmlns:a16="http://schemas.microsoft.com/office/drawing/2014/main" id="{6F45D06C-CF82-46F3-B5E1-6F0C75D9A830}"/>
            </a:ext>
          </a:extLst>
        </xdr:cNvPr>
        <xdr:cNvPicPr>
          <a:picLocks noChangeAspect="1"/>
        </xdr:cNvPicPr>
      </xdr:nvPicPr>
      <xdr:blipFill>
        <a:blip xmlns:r="http://schemas.openxmlformats.org/officeDocument/2006/relationships" r:embed="rId7"/>
        <a:stretch>
          <a:fillRect/>
        </a:stretch>
      </xdr:blipFill>
      <xdr:spPr>
        <a:xfrm>
          <a:off x="2625969" y="4729721"/>
          <a:ext cx="339970" cy="1324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torrijos\OneDrive%20-%20sdis.gov.co\01.5.SPI%20INFANCIA%207744\11.NOVIEMBRE%202023\7744%20SPI%20ENERO%20A%20NOVIEMBRE%202023(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yguerreroh_sdis_gov_co/Documents/Consolidados/Formatos/2020_spi_Consolidado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32">
          <cell r="A132" t="str">
            <v xml:space="preserve">Cupos </v>
          </cell>
        </row>
        <row r="192">
          <cell r="A192" t="str">
            <v xml:space="preserve">Usaquen </v>
          </cell>
        </row>
        <row r="193">
          <cell r="A193" t="str">
            <v>Chapinero</v>
          </cell>
        </row>
        <row r="194">
          <cell r="A194" t="str">
            <v>Santa Fe</v>
          </cell>
        </row>
        <row r="195">
          <cell r="A195" t="str">
            <v xml:space="preserve">San Cristobal </v>
          </cell>
        </row>
        <row r="196">
          <cell r="A196" t="str">
            <v xml:space="preserve">Usme </v>
          </cell>
        </row>
        <row r="197">
          <cell r="A197" t="str">
            <v>Tunjuelito</v>
          </cell>
        </row>
        <row r="198">
          <cell r="A198" t="str">
            <v>Bosa</v>
          </cell>
        </row>
        <row r="199">
          <cell r="A199" t="str">
            <v>Kennedy</v>
          </cell>
        </row>
        <row r="200">
          <cell r="A200" t="str">
            <v>fontibón</v>
          </cell>
        </row>
        <row r="201">
          <cell r="A201" t="str">
            <v>Engativa</v>
          </cell>
        </row>
        <row r="202">
          <cell r="A202" t="str">
            <v>Suba</v>
          </cell>
        </row>
        <row r="203">
          <cell r="A203" t="str">
            <v xml:space="preserve">Barrios Unidos </v>
          </cell>
        </row>
        <row r="204">
          <cell r="A204" t="str">
            <v>Teusaquillo</v>
          </cell>
        </row>
        <row r="205">
          <cell r="A205" t="str">
            <v>Martires</v>
          </cell>
        </row>
        <row r="206">
          <cell r="A206" t="str">
            <v>Antonio Nariño</v>
          </cell>
        </row>
        <row r="207">
          <cell r="A207" t="str">
            <v>Puente Aranda</v>
          </cell>
        </row>
        <row r="208">
          <cell r="A208" t="str">
            <v xml:space="preserve">Candelaria </v>
          </cell>
        </row>
        <row r="209">
          <cell r="A209" t="str">
            <v xml:space="preserve">Rafael Uribe </v>
          </cell>
        </row>
        <row r="210">
          <cell r="A210" t="str">
            <v xml:space="preserve">Nivel Central </v>
          </cell>
        </row>
        <row r="211">
          <cell r="A211" t="str">
            <v xml:space="preserve">Ciudad Bolivar </v>
          </cell>
        </row>
        <row r="212">
          <cell r="A212" t="str">
            <v xml:space="preserve">Sumapaz </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DENA DE VALOR 2020"/>
      <sheetName val="CADENA DE VALOR 2021"/>
      <sheetName val="RESERVAS 2021"/>
      <sheetName val="EJECUCIÓN 2020"/>
      <sheetName val="EJECUCIÓN 2021"/>
      <sheetName val="ESTRATÉGICO"/>
      <sheetName val="INDICE"/>
      <sheetName val="Cuadro Control"/>
      <sheetName val="homologación conceptos"/>
      <sheetName val="Listas"/>
      <sheetName val="Cadena de Valor"/>
      <sheetName val="EJECUCIÓN"/>
      <sheetName val="Proyecto"/>
      <sheetName val="Metas proyecto"/>
      <sheetName val="Metas PDD"/>
      <sheetName val="Productos MGA"/>
      <sheetName val="Actividades"/>
      <sheetName val="Tareas"/>
      <sheetName val="Soportes"/>
      <sheetName val="Territorialización y Población"/>
      <sheetName val="Directorio UndOpe"/>
      <sheetName val="Hoja1"/>
      <sheetName val="Hoja3"/>
      <sheetName val="Glosario"/>
      <sheetName val="Instrucciones"/>
      <sheetName val="Hoja2"/>
      <sheetName val="7744 SPI ENERO A NOVIEMBRE 2023"/>
    </sheetNames>
    <sheetDataSet>
      <sheetData sheetId="0"/>
      <sheetData sheetId="1"/>
      <sheetData sheetId="2"/>
      <sheetData sheetId="3"/>
      <sheetData sheetId="4"/>
      <sheetData sheetId="5"/>
      <sheetData sheetId="6"/>
      <sheetData sheetId="7"/>
      <sheetData sheetId="8"/>
      <sheetData sheetId="9">
        <row r="97">
          <cell r="F97">
            <v>1</v>
          </cell>
        </row>
        <row r="98">
          <cell r="F98">
            <v>2</v>
          </cell>
        </row>
        <row r="99">
          <cell r="F99">
            <v>3</v>
          </cell>
        </row>
        <row r="100">
          <cell r="F100">
            <v>4</v>
          </cell>
        </row>
        <row r="101">
          <cell r="F101">
            <v>5</v>
          </cell>
        </row>
        <row r="102">
          <cell r="F102">
            <v>6</v>
          </cell>
        </row>
        <row r="103">
          <cell r="F103">
            <v>7</v>
          </cell>
        </row>
        <row r="104">
          <cell r="F104">
            <v>8</v>
          </cell>
        </row>
        <row r="105">
          <cell r="F105">
            <v>9</v>
          </cell>
        </row>
        <row r="106">
          <cell r="F106">
            <v>10</v>
          </cell>
        </row>
        <row r="107">
          <cell r="F107">
            <v>11</v>
          </cell>
        </row>
        <row r="108">
          <cell r="F108">
            <v>12</v>
          </cell>
        </row>
        <row r="109">
          <cell r="F109">
            <v>13</v>
          </cell>
        </row>
        <row r="110">
          <cell r="F110">
            <v>14</v>
          </cell>
        </row>
        <row r="111">
          <cell r="F111">
            <v>15</v>
          </cell>
        </row>
        <row r="112">
          <cell r="F112">
            <v>16</v>
          </cell>
        </row>
        <row r="113">
          <cell r="F113">
            <v>17</v>
          </cell>
        </row>
        <row r="114">
          <cell r="F114">
            <v>18</v>
          </cell>
        </row>
        <row r="115">
          <cell r="F115">
            <v>19</v>
          </cell>
        </row>
        <row r="116">
          <cell r="F116">
            <v>20</v>
          </cell>
        </row>
        <row r="117">
          <cell r="F117">
            <v>77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 SEGUIMIENTO CUATRIENIO"/>
      <sheetName val="2. SEGUIMIENTO PRESUPUESTAL"/>
      <sheetName val="3. EJEC CONCEPTO DE GASTO "/>
      <sheetName val="4. RESUMEN EJECUTIVO"/>
      <sheetName val="5. TERRITORIALIZACIÓN"/>
      <sheetName val="5A. Unidades Operativas"/>
      <sheetName val="6. METAS, ACTIVIDADES Y TAREAS"/>
      <sheetName val="7. INDICADORES GESTION"/>
      <sheetName val="8. METAS PDD"/>
      <sheetName val="9. RECURSO HUMANO"/>
      <sheetName val="Listas"/>
      <sheetName val="GLOSARIO"/>
      <sheetName val="INSTRUCCIÓN DE DILIGENCIAMIEN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t="str">
            <v>Enero</v>
          </cell>
          <cell r="I2" t="str">
            <v>1086 - Una ciudad para las familias</v>
          </cell>
          <cell r="N2" t="str">
            <v>Eficacia</v>
          </cell>
          <cell r="P2" t="str">
            <v>Mensual</v>
          </cell>
        </row>
        <row r="3">
          <cell r="I3" t="str">
            <v>1091 - Integración eficiente y transparente para todos</v>
          </cell>
          <cell r="N3" t="str">
            <v>Eficiencia</v>
          </cell>
          <cell r="P3" t="str">
            <v>Trimestral</v>
          </cell>
        </row>
        <row r="4">
          <cell r="I4" t="str">
            <v>1092 - Viviendo el territorio</v>
          </cell>
          <cell r="N4" t="str">
            <v>Efectividad</v>
          </cell>
          <cell r="P4" t="str">
            <v>Semestral</v>
          </cell>
        </row>
        <row r="5">
          <cell r="I5" t="str">
            <v>1093 - Prevención y atención integral de la paternidad y la maternidad temprana</v>
          </cell>
          <cell r="P5" t="str">
            <v>Anual</v>
          </cell>
        </row>
        <row r="6">
          <cell r="I6" t="str">
            <v>1096 - Desarrollo integral desde la gestación hasta la adolescencia</v>
          </cell>
        </row>
        <row r="7">
          <cell r="I7" t="str">
            <v>1098 - Bogotá te nutre</v>
          </cell>
        </row>
        <row r="8">
          <cell r="I8" t="str">
            <v>1099 - Envejecimiento digno, activo y feliz</v>
          </cell>
        </row>
        <row r="9">
          <cell r="I9" t="str">
            <v>1101 - Distrito diverso</v>
          </cell>
        </row>
        <row r="10">
          <cell r="I10" t="str">
            <v>1103 - Espacios de integración social</v>
          </cell>
        </row>
        <row r="11">
          <cell r="I11" t="str">
            <v>1108 - Prevención y atención integral del fenómeno de habitabilidad en calle</v>
          </cell>
        </row>
        <row r="12">
          <cell r="I12" t="str">
            <v>1113 - Por una ciudad incluyente y sin barreras</v>
          </cell>
        </row>
        <row r="13">
          <cell r="I13" t="str">
            <v>1116 - Distrito joven</v>
          </cell>
        </row>
        <row r="14">
          <cell r="I14" t="str">
            <v>1118 - Gestión Institucional y fortalecimiento del talento humano</v>
          </cell>
        </row>
        <row r="15">
          <cell r="I15" t="str">
            <v>1168 - Integración digital y de conocimiento para la inclusión social</v>
          </cell>
        </row>
        <row r="16">
          <cell r="I16" t="str">
            <v>No Aplica</v>
          </cell>
        </row>
      </sheetData>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person displayName="Omar Torrijos" id="{1D1F3B2F-FDFA-4E78-B294-01A1F9EEF587}" userId="1aae91f9563eab09"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esuvigencias" displayName="presuvigencias" ref="A1:I470" totalsRowShown="0" headerRowDxfId="654" headerRowCellStyle="Normal 8" dataCellStyle="Normal 8">
  <autoFilter ref="A1:I470" xr:uid="{00000000-0009-0000-0100-000001000000}"/>
  <tableColumns count="9">
    <tableColumn id="9" xr3:uid="{00000000-0010-0000-0000-000009000000}" name="LLAVEPDD" dataCellStyle="Normal 8">
      <calculatedColumnFormula>presuvigencias[[#This Row],[PROYECTO]]&amp;presuvigencias[[#This Row],[METAPDD]]</calculatedColumnFormula>
    </tableColumn>
    <tableColumn id="1" xr3:uid="{00000000-0010-0000-0000-000001000000}" name="LLAVE" dataCellStyle="Normal 8">
      <calculatedColumnFormula>presuvigencias[[#This Row],[PROYECTO]]&amp;presuvigencias[[#This Row],[META]]</calculatedColumnFormula>
    </tableColumn>
    <tableColumn id="2" xr3:uid="{00000000-0010-0000-0000-000002000000}" name="PROYECTO" dataDxfId="653" dataCellStyle="Normal 8"/>
    <tableColumn id="3" xr3:uid="{00000000-0010-0000-0000-000003000000}" name="META" dataCellStyle="Normal 8"/>
    <tableColumn id="8" xr3:uid="{00000000-0010-0000-0000-000008000000}" name="METAPDD" dataCellStyle="Normal 8">
      <calculatedColumnFormula>VLOOKUP(presuvigencias[[#This Row],[LLAVE]],ESTRATÉGICO!$C$3:$R$110,16,0)</calculatedColumnFormula>
    </tableColumn>
    <tableColumn id="4" xr3:uid="{00000000-0010-0000-0000-000004000000}" name="Suma de APROPIACION" dataCellStyle="Normal 8"/>
    <tableColumn id="5" xr3:uid="{00000000-0010-0000-0000-000005000000}" name="Suma de CRP" dataCellStyle="Normal 8"/>
    <tableColumn id="6" xr3:uid="{00000000-0010-0000-0000-000006000000}" name="Suma de PAGOS_ACUM" dataCellStyle="Normal 8"/>
    <tableColumn id="7" xr3:uid="{00000000-0010-0000-0000-000007000000}" name="vigencia" dataCellStyle="Normal 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servas" displayName="Reservas" ref="K1:R274" totalsRowShown="0" headerRowDxfId="652" headerRowCellStyle="Normal 8" dataCellStyle="Normal 8">
  <autoFilter ref="K1:R274" xr:uid="{00000000-0009-0000-0100-000002000000}"/>
  <tableColumns count="8">
    <tableColumn id="1" xr3:uid="{00000000-0010-0000-0100-000001000000}" name="LLAVE" dataDxfId="651" dataCellStyle="Normal 8"/>
    <tableColumn id="2" xr3:uid="{00000000-0010-0000-0100-000002000000}" name="SUCURSAL" dataDxfId="650" dataCellStyle="Normal 8"/>
    <tableColumn id="3" xr3:uid="{00000000-0010-0000-0100-000003000000}" name="META PROYECTO" dataCellStyle="Normal 8"/>
    <tableColumn id="4" xr3:uid="{00000000-0010-0000-0100-000004000000}" name="Suma de VALOR_INICIAL" dataCellStyle="Normal 8"/>
    <tableColumn id="5" xr3:uid="{00000000-0010-0000-0100-000005000000}" name="Suma de TOTAL LIBERACIONES" dataCellStyle="Normal 8"/>
    <tableColumn id="6" xr3:uid="{00000000-0010-0000-0100-000006000000}" name="RESERVAS DEFINITIVAS" dataCellStyle="Normal 8"/>
    <tableColumn id="7" xr3:uid="{00000000-0010-0000-0100-000007000000}" name="GIROS RESERVAS" dataCellStyle="Normal 8"/>
    <tableColumn id="8" xr3:uid="{00000000-0010-0000-0100-000008000000}" name="VIGENCIA" dataCellStyle="Normal 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ControlPA" displayName="ControlPA" ref="B20:E44" totalsRowShown="0" headerRowDxfId="649" dataDxfId="647" headerRowBorderDxfId="648" tableBorderDxfId="646" totalsRowBorderDxfId="645">
  <tableColumns count="4">
    <tableColumn id="1" xr3:uid="{00000000-0010-0000-0200-000001000000}" name="ACCIÓN" dataDxfId="644"/>
    <tableColumn id="6" xr3:uid="{00000000-0010-0000-0200-000006000000}" name="FECHA ACCIÓN" dataDxfId="643"/>
    <tableColumn id="5" xr3:uid="{00000000-0010-0000-0200-000005000000}" name="RADICADO / MEMORANDO" dataDxfId="642">
      <calculatedColumnFormula>IFERROR(VLOOKUP(ControlPA[[#This Row],[FECHA ACCIÓN]],#REF!,3,0),"...")</calculatedColumnFormula>
    </tableColumn>
    <tableColumn id="2" xr3:uid="{00000000-0010-0000-0200-000002000000}" name="DESCRIPCIÓN DE LA SOLICITUD" dataDxfId="641"/>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Proyecto" displayName="Proyecto" ref="B18:AL19" totalsRowShown="0" headerRowDxfId="639" dataDxfId="638">
  <tableColumns count="37">
    <tableColumn id="1" xr3:uid="{00000000-0010-0000-0300-000001000000}" name="Código proyecto (ID Proyecto)" dataDxfId="637">
      <calculatedColumnFormula>'Cuadro Control'!C17</calculatedColumnFormula>
    </tableColumn>
    <tableColumn id="41" xr3:uid="{00000000-0010-0000-0300-000029000000}" name="Código BPIN" dataDxfId="636">
      <calculatedColumnFormula>VLOOKUP(Proyecto[[#This Row],[Código proyecto (ID Proyecto)]],ESTRATÉGICO!$D$3:$AA$110,2,0)</calculatedColumnFormula>
    </tableColumn>
    <tableColumn id="2" xr3:uid="{00000000-0010-0000-0300-000002000000}" name="Nombre proyecto de inversión" dataDxfId="635">
      <calculatedColumnFormula>VLOOKUP(Proyecto[[#This Row],[Código proyecto (ID Proyecto)]],ESTRATÉGICO!$D$3:$AA$110,3,0)</calculatedColumnFormula>
    </tableColumn>
    <tableColumn id="3" xr3:uid="{00000000-0010-0000-0300-000003000000}" name="Propósito" dataDxfId="634">
      <calculatedColumnFormula>VLOOKUP(Proyecto[[#This Row],[Código proyecto (ID Proyecto)]],ESTRATÉGICO!$D$3:$AA$110,4,0)</calculatedColumnFormula>
    </tableColumn>
    <tableColumn id="4" xr3:uid="{00000000-0010-0000-0300-000004000000}" name="Logro de ciudad" dataDxfId="633">
      <calculatedColumnFormula>VLOOKUP(Proyecto[[#This Row],[Código proyecto (ID Proyecto)]],ESTRATÉGICO!$D$3:$AA$110,5,0)</calculatedColumnFormula>
    </tableColumn>
    <tableColumn id="5" xr3:uid="{00000000-0010-0000-0300-000005000000}" name="Programa Estratégico" dataDxfId="632">
      <calculatedColumnFormula>VLOOKUP(Proyecto[[#This Row],[Código proyecto (ID Proyecto)]],ESTRATÉGICO!$D$3:$AA$110,6,0)</calculatedColumnFormula>
    </tableColumn>
    <tableColumn id="6" xr3:uid="{00000000-0010-0000-0300-000006000000}" name="Programa" dataDxfId="631">
      <calculatedColumnFormula>VLOOKUP(Proyecto[[#This Row],[Código proyecto (ID Proyecto)]],ESTRATÉGICO!$D$3:$AA$110,7,0)</calculatedColumnFormula>
    </tableColumn>
    <tableColumn id="7" xr3:uid="{00000000-0010-0000-0300-000007000000}" name="Objetivo General" dataDxfId="630">
      <calculatedColumnFormula>VLOOKUP(Proyecto[[#This Row],[Código proyecto (ID Proyecto)]],ESTRATÉGICO!$D$3:$AA$110,8,0)</calculatedColumnFormula>
    </tableColumn>
    <tableColumn id="8" xr3:uid="{00000000-0010-0000-0300-000008000000}" name="Dependencia" dataDxfId="629">
      <calculatedColumnFormula>VLOOKUP(Proyecto[[#This Row],[Código proyecto (ID Proyecto)]],ESTRATÉGICO!$D$3:$AA$110,11,0)</calculatedColumnFormula>
    </tableColumn>
    <tableColumn id="9" xr3:uid="{00000000-0010-0000-0300-000009000000}" name="Gerente del proyecto de inversión" dataDxfId="628"/>
    <tableColumn id="10" xr3:uid="{00000000-0010-0000-0300-00000A000000}" name="Presupuesto programado 2020" dataDxfId="627">
      <calculatedColumnFormula>'Metas proyecto'!$Z$24</calculatedColumnFormula>
    </tableColumn>
    <tableColumn id="11" xr3:uid="{00000000-0010-0000-0300-00000B000000}" name="Presupuesto programado 2021" dataDxfId="626">
      <calculatedColumnFormula>'Metas proyecto'!$AA$24</calculatedColumnFormula>
    </tableColumn>
    <tableColumn id="12" xr3:uid="{00000000-0010-0000-0300-00000C000000}" name="Presupuesto programado 2022" dataDxfId="625">
      <calculatedColumnFormula>'Metas proyecto'!$AB$24</calculatedColumnFormula>
    </tableColumn>
    <tableColumn id="13" xr3:uid="{00000000-0010-0000-0300-00000D000000}" name="Presupuesto programado 2023" dataDxfId="624">
      <calculatedColumnFormula>'Metas proyecto'!$AC$24</calculatedColumnFormula>
    </tableColumn>
    <tableColumn id="14" xr3:uid="{00000000-0010-0000-0300-00000E000000}" name="Presupuesto programado 2024" dataDxfId="623">
      <calculatedColumnFormula>'Metas proyecto'!$AD$24</calculatedColumnFormula>
    </tableColumn>
    <tableColumn id="15" xr3:uid="{00000000-0010-0000-0300-00000F000000}" name="Total presupuesto programado cuatrienio" dataDxfId="622">
      <calculatedColumnFormula>SUM(Proyecto[[Presupuesto programado 2020]:[Presupuesto programado 2024]])</calculatedColumnFormula>
    </tableColumn>
    <tableColumn id="16" xr3:uid="{00000000-0010-0000-0300-000010000000}" name="Reservas definitivas 2020" dataDxfId="621">
      <calculatedColumnFormula>'Metas proyecto'!$AF$24</calculatedColumnFormula>
    </tableColumn>
    <tableColumn id="17" xr3:uid="{00000000-0010-0000-0300-000011000000}" name="Reservas definitivas 2021" dataDxfId="620">
      <calculatedColumnFormula>'Metas proyecto'!$AG$24</calculatedColumnFormula>
    </tableColumn>
    <tableColumn id="18" xr3:uid="{00000000-0010-0000-0300-000012000000}" name="Reservas definitivas 2022" dataDxfId="619">
      <calculatedColumnFormula>'Metas proyecto'!$AH$24</calculatedColumnFormula>
    </tableColumn>
    <tableColumn id="19" xr3:uid="{00000000-0010-0000-0300-000013000000}" name="Reservas definitivas 2023" dataDxfId="618">
      <calculatedColumnFormula>EJECUCIÓN!X24</calculatedColumnFormula>
    </tableColumn>
    <tableColumn id="20" xr3:uid="{00000000-0010-0000-0300-000014000000}" name="Reservas definitivas 2024" dataDxfId="617"/>
    <tableColumn id="31" xr3:uid="{00000000-0010-0000-0300-00001F000000}" name="Presupuesto comprometido 2020" dataDxfId="616">
      <calculatedColumnFormula>'Metas proyecto'!$AQ$24</calculatedColumnFormula>
    </tableColumn>
    <tableColumn id="30" xr3:uid="{00000000-0010-0000-0300-00001E000000}" name="Presupuesto comprometido 2021" dataDxfId="615">
      <calculatedColumnFormula>'Metas proyecto'!$AR$24</calculatedColumnFormula>
    </tableColumn>
    <tableColumn id="29" xr3:uid="{00000000-0010-0000-0300-00001D000000}" name="Presupuesto comprometido 2022" dataDxfId="614">
      <calculatedColumnFormula>'Metas proyecto'!$AS$24</calculatedColumnFormula>
    </tableColumn>
    <tableColumn id="28" xr3:uid="{00000000-0010-0000-0300-00001C000000}" name="Presupuesto comprometido 2023" dataDxfId="613">
      <calculatedColumnFormula>'Metas proyecto'!$AT$24</calculatedColumnFormula>
    </tableColumn>
    <tableColumn id="27" xr3:uid="{00000000-0010-0000-0300-00001B000000}" name="Presupuesto comprometido 2024" dataDxfId="612">
      <calculatedColumnFormula>EJECUCIÓN!G24</calculatedColumnFormula>
    </tableColumn>
    <tableColumn id="26" xr3:uid="{00000000-0010-0000-0300-00001A000000}" name="Total presupuesto comprometido cuatrienio" dataDxfId="611">
      <calculatedColumnFormula>+SUM(Proyecto[[#This Row],[Presupuesto comprometido 2020]:[Presupuesto comprometido 2024]])</calculatedColumnFormula>
    </tableColumn>
    <tableColumn id="25" xr3:uid="{00000000-0010-0000-0300-000019000000}" name="Giros de la vigencia 2020" dataDxfId="610">
      <calculatedColumnFormula>'Metas proyecto'!$AW$24</calculatedColumnFormula>
    </tableColumn>
    <tableColumn id="32" xr3:uid="{00000000-0010-0000-0300-000020000000}" name="Giros de la vigencia 2021" dataDxfId="609">
      <calculatedColumnFormula>'Metas proyecto'!$AX$24</calculatedColumnFormula>
    </tableColumn>
    <tableColumn id="38" xr3:uid="{00000000-0010-0000-0300-000026000000}" name="Giros de la vigencia 2022" dataDxfId="608">
      <calculatedColumnFormula>'Metas proyecto'!$AY$24</calculatedColumnFormula>
    </tableColumn>
    <tableColumn id="39" xr3:uid="{00000000-0010-0000-0300-000027000000}" name="Giros de la vigencia 2023" dataDxfId="607">
      <calculatedColumnFormula>'Metas proyecto'!$AZ$24</calculatedColumnFormula>
    </tableColumn>
    <tableColumn id="40" xr3:uid="{00000000-0010-0000-0300-000028000000}" name="Giros de la vigencia 2024" dataDxfId="606">
      <calculatedColumnFormula>EJECUCIÓN!K24</calculatedColumnFormula>
    </tableColumn>
    <tableColumn id="37" xr3:uid="{00000000-0010-0000-0300-000025000000}" name="Giros de las reservas 2020" dataDxfId="605">
      <calculatedColumnFormula>'Metas proyecto'!$BB$24</calculatedColumnFormula>
    </tableColumn>
    <tableColumn id="36" xr3:uid="{00000000-0010-0000-0300-000024000000}" name="Giros de las reservas 2021" dataDxfId="604">
      <calculatedColumnFormula>'Metas proyecto'!$BC$24</calculatedColumnFormula>
    </tableColumn>
    <tableColumn id="35" xr3:uid="{00000000-0010-0000-0300-000023000000}" name="Giros de las reservas 2022" dataDxfId="603">
      <calculatedColumnFormula>'Metas proyecto'!$BD$24</calculatedColumnFormula>
    </tableColumn>
    <tableColumn id="34" xr3:uid="{00000000-0010-0000-0300-000022000000}" name="Giros de las reservas 2023" dataDxfId="602">
      <calculatedColumnFormula>'Metas proyecto'!$BE$24</calculatedColumnFormula>
    </tableColumn>
    <tableColumn id="33" xr3:uid="{00000000-0010-0000-0300-000021000000}" name="Giros de las reservas 2024" dataDxfId="601">
      <calculatedColumnFormula>EJECUCIÓN!AA24</calculatedColumnFormula>
    </tableColumn>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metas_actividades" displayName="metas_actividades" ref="BG17:CF23" totalsRowShown="0" headerRowDxfId="600" dataDxfId="599" tableBorderDxfId="598" dataCellStyle="Porcentaje">
  <autoFilter ref="BG17:CF23" xr:uid="{00000000-0009-0000-0100-000010000000}"/>
  <tableColumns count="26">
    <tableColumn id="1" xr3:uid="{00000000-0010-0000-0400-000001000000}" name="Programación Plan de actividades_x000a_Enero" dataDxfId="597" dataCellStyle="Porcentaje">
      <calculatedColumnFormula>(SUMIF(Actividades!$E$18:$E$35,'Metas proyecto'!$B18:$BF23,Actividades!$AO$18:$AO$27)
*'Metas proyecto'!$B18:$BF23)/
'Metas proyecto'!$B18:$BF23</calculatedColumnFormula>
    </tableColumn>
    <tableColumn id="2" xr3:uid="{00000000-0010-0000-0400-000002000000}" name="Programación Plan de actividades_x000a_Febrero" dataDxfId="596" dataCellStyle="Porcentaje">
      <calculatedColumnFormula>(SUMIF(Actividades!$E$18:$E$35,'Metas proyecto'!$B18:$BF23,Actividades!$AP$18:$AP$27)
*'Metas proyecto'!$B18:$BF23)/
'Metas proyecto'!$B18:$BF23</calculatedColumnFormula>
    </tableColumn>
    <tableColumn id="3" xr3:uid="{00000000-0010-0000-0400-000003000000}" name="Programación Plan de actividades_x000a_Marzo" dataDxfId="595" dataCellStyle="Porcentaje">
      <calculatedColumnFormula>(SUMIF(Actividades!$E$18:$E$35,'Metas proyecto'!$B18:$BF23,Actividades!$AQ$18:$AQ$27)
*'Metas proyecto'!$B18:$BF23)/
'Metas proyecto'!$B18:$BF23</calculatedColumnFormula>
    </tableColumn>
    <tableColumn id="4" xr3:uid="{00000000-0010-0000-0400-000004000000}" name="Programación Plan de actividades_x000a_Abril" dataDxfId="594" dataCellStyle="Porcentaje">
      <calculatedColumnFormula>(SUMIF(Actividades!$E$18:$E$35,'Metas proyecto'!$B18:$BF23,Actividades!$AR$18:$AR$27)
*'Metas proyecto'!$B18:$BF23)/
'Metas proyecto'!$B18:$BF23</calculatedColumnFormula>
    </tableColumn>
    <tableColumn id="5" xr3:uid="{00000000-0010-0000-0400-000005000000}" name="Programación Plan de actividades_x000a_Mayo" dataDxfId="593" dataCellStyle="Porcentaje">
      <calculatedColumnFormula>(SUMIF(Actividades!$E$18:$E$35,'Metas proyecto'!$B18:$BF23,Actividades!$AS$18:$AS$27)
*'Metas proyecto'!$B18:$BF23)/
'Metas proyecto'!$B18:$BF23</calculatedColumnFormula>
    </tableColumn>
    <tableColumn id="6" xr3:uid="{00000000-0010-0000-0400-000006000000}" name="Programación Plan de actividades_x000a_Junio" dataDxfId="592" dataCellStyle="Porcentaje">
      <calculatedColumnFormula>(SUMIF(Actividades!$E$18:$E$35,'Metas proyecto'!$B18:$BF23,Actividades!$AT$18:$AT$27)
*'Metas proyecto'!$B18:$BF23)/
'Metas proyecto'!$B18:$BF23</calculatedColumnFormula>
    </tableColumn>
    <tableColumn id="7" xr3:uid="{00000000-0010-0000-0400-000007000000}" name="Programación Plan de actividades_x000a_Julio" dataDxfId="591" dataCellStyle="Porcentaje">
      <calculatedColumnFormula>(SUMIF(Actividades!$E$18:$E$35,'Metas proyecto'!$B18:$BF23,Actividades!$AU$18:$AU$27)
*'Metas proyecto'!$B18:$BF23)/
'Metas proyecto'!$B18:$BF23</calculatedColumnFormula>
    </tableColumn>
    <tableColumn id="8" xr3:uid="{00000000-0010-0000-0400-000008000000}" name="Programación Plan de actividades_x000a_Agosto" dataDxfId="590" dataCellStyle="Porcentaje">
      <calculatedColumnFormula>(SUMIF(Actividades!$E$18:$E$35,'Metas proyecto'!$B18:$BF23,Actividades!$AV$18:$AV$27)
*'Metas proyecto'!$B18:$BF23)/
'Metas proyecto'!$B18:$BF23</calculatedColumnFormula>
    </tableColumn>
    <tableColumn id="9" xr3:uid="{00000000-0010-0000-0400-000009000000}" name="Programación Plan de actividades_x000a_Septiembre" dataDxfId="589" dataCellStyle="Porcentaje">
      <calculatedColumnFormula>(SUMIF(Actividades!$E$18:$E$35,'Metas proyecto'!$B18:$BF23,Actividades!$AW$18:$AW$27)
*'Metas proyecto'!$B18:$BF23)/
'Metas proyecto'!$B18:$BF23</calculatedColumnFormula>
    </tableColumn>
    <tableColumn id="10" xr3:uid="{00000000-0010-0000-0400-00000A000000}" name="Programación Plan de actividades_x000a_Octubre" dataDxfId="588" dataCellStyle="Porcentaje">
      <calculatedColumnFormula>(SUMIF(Actividades!$E$18:$E$35,'Metas proyecto'!$B18:$BF23,Actividades!$AX$18:$AX$27)
*'Metas proyecto'!$B18:$BF23)/
'Metas proyecto'!$B18:$BF23</calculatedColumnFormula>
    </tableColumn>
    <tableColumn id="11" xr3:uid="{00000000-0010-0000-0400-00000B000000}" name="Programación Plan de actividades_x000a_Noviembre" dataDxfId="587" dataCellStyle="Porcentaje">
      <calculatedColumnFormula>(SUMIF(Actividades!$E$18:$E$35,'Metas proyecto'!$B18:$BF23,Actividades!$AY$18:$AY$27)
*'Metas proyecto'!$B18:$BF23)/
'Metas proyecto'!$B18:$BF23</calculatedColumnFormula>
    </tableColumn>
    <tableColumn id="12" xr3:uid="{00000000-0010-0000-0400-00000C000000}" name="Programación Plan de actividades_x000a_Diciembre" dataDxfId="586" dataCellStyle="Porcentaje">
      <calculatedColumnFormula>(SUMIF(Actividades!$E$18:$E$35,'Metas proyecto'!$B18:$BF23,Actividades!$AZ$18:$AZ$27)
*'Metas proyecto'!$B18:$BF23)/
'Metas proyecto'!$B18:$BF23</calculatedColumnFormula>
    </tableColumn>
    <tableColumn id="13" xr3:uid="{00000000-0010-0000-0400-00000D000000}" name="Total programado plan de actividades Vigencia (Valor esperado vigencia)" dataDxfId="585" dataCellStyle="Porcentaje">
      <calculatedColumnFormula>SUM(BG18:BR18)</calculatedColumnFormula>
    </tableColumn>
    <tableColumn id="14" xr3:uid="{00000000-0010-0000-0400-00000E000000}" name="Ejecución Plan de actividades_x000a_Enero" dataDxfId="584" dataCellStyle="Porcentaje">
      <calculatedColumnFormula>(SUMIF( Actividades!$E$18:$E$35, 'Metas proyecto'!$I18,Actividades!$BA$18:$BA$27)* 'Metas proyecto'!$Y18/ 'Metas proyecto'!$N18)</calculatedColumnFormula>
    </tableColumn>
    <tableColumn id="15" xr3:uid="{00000000-0010-0000-0400-00000F000000}" name="Ejecución Plan de actividades_x000a_Febrero" dataDxfId="583" dataCellStyle="Porcentaje">
      <calculatedColumnFormula>(SUMIF( Actividades!$E$18:$E$35, 'Metas proyecto'!$I18,Actividades!$BB$18:$BB$27)* 'Metas proyecto'!$Y18/ 'Metas proyecto'!$N18)</calculatedColumnFormula>
    </tableColumn>
    <tableColumn id="16" xr3:uid="{00000000-0010-0000-0400-000010000000}" name="Ejecución Plan de actividades_x000a_Marzo" dataDxfId="582" dataCellStyle="Porcentaje">
      <calculatedColumnFormula>(SUMIF( Actividades!$E$18:$E$35, 'Metas proyecto'!$I18,Actividades!$BC$18:$BC$27)* 'Metas proyecto'!$Y18/ 'Metas proyecto'!$N18)</calculatedColumnFormula>
    </tableColumn>
    <tableColumn id="17" xr3:uid="{00000000-0010-0000-0400-000011000000}" name="Ejecución Plan de actividades_x000a_Abril" dataDxfId="581" dataCellStyle="Porcentaje">
      <calculatedColumnFormula>(SUMIF( Actividades!$E$18:$E$35, 'Metas proyecto'!$I18,Actividades!$BD$18:$BD$27)* 'Metas proyecto'!$Y18/ 'Metas proyecto'!$N18)</calculatedColumnFormula>
    </tableColumn>
    <tableColumn id="18" xr3:uid="{00000000-0010-0000-0400-000012000000}" name="Ejecución Plan de actividades_x000a_Mayo" dataDxfId="580" dataCellStyle="Porcentaje">
      <calculatedColumnFormula>(SUMIF( Actividades!$E$18:$E$35, 'Metas proyecto'!$I18,Actividades!$BE$18:$BE$27)* 'Metas proyecto'!$Y18/ 'Metas proyecto'!$N18)</calculatedColumnFormula>
    </tableColumn>
    <tableColumn id="19" xr3:uid="{00000000-0010-0000-0400-000013000000}" name="Ejecución Plan de actividades_x000a_Junio" dataDxfId="579" dataCellStyle="Porcentaje">
      <calculatedColumnFormula>(SUMIF( Actividades!$E$18:$E$35, 'Metas proyecto'!$I18,Actividades!$BF$18:$BF$27)* 'Metas proyecto'!$Y18/ 'Metas proyecto'!$N18)</calculatedColumnFormula>
    </tableColumn>
    <tableColumn id="20" xr3:uid="{00000000-0010-0000-0400-000014000000}" name="Ejecución Plan de actividades_x000a_Julio" dataDxfId="578" dataCellStyle="Porcentaje">
      <calculatedColumnFormula>(SUMIF( Actividades!$E$18:$E$35, 'Metas proyecto'!$I18,Actividades!$BG$18:$BG$27)* 'Metas proyecto'!$Y18/ 'Metas proyecto'!$N18)</calculatedColumnFormula>
    </tableColumn>
    <tableColumn id="21" xr3:uid="{00000000-0010-0000-0400-000015000000}" name="Ejecución Plan de actividades_x000a_Agosto" dataDxfId="577" dataCellStyle="Porcentaje">
      <calculatedColumnFormula>(SUMIF( Actividades!$E$18:$E$35, 'Metas proyecto'!$I18,Actividades!$BH$18:$BH$27)* 'Metas proyecto'!$Y18/ 'Metas proyecto'!$N18)</calculatedColumnFormula>
    </tableColumn>
    <tableColumn id="22" xr3:uid="{00000000-0010-0000-0400-000016000000}" name="Ejecución Plan de actividades_x000a_Septiembre" dataDxfId="576" dataCellStyle="Porcentaje">
      <calculatedColumnFormula>(SUMIF( Actividades!$E$18:$E$35, 'Metas proyecto'!$I18,Actividades!$BI$18:$BI$27)* 'Metas proyecto'!$Y18/ 'Metas proyecto'!$N18)</calculatedColumnFormula>
    </tableColumn>
    <tableColumn id="23" xr3:uid="{00000000-0010-0000-0400-000017000000}" name="Ejecución Plan de actividades_x000a_Octubre" dataDxfId="575" dataCellStyle="Porcentaje">
      <calculatedColumnFormula>(SUMIF( Actividades!$E$18:$E$35, 'Metas proyecto'!$I18,Actividades!$BJ$18:$BJ$27)* 'Metas proyecto'!$Y18/ 'Metas proyecto'!$N18)</calculatedColumnFormula>
    </tableColumn>
    <tableColumn id="24" xr3:uid="{00000000-0010-0000-0400-000018000000}" name="Ejecución Plan de actividades_x000a_Noviembre" dataDxfId="574" dataCellStyle="Porcentaje">
      <calculatedColumnFormula>(SUMIF( Actividades!$E$18:$E$35, 'Metas proyecto'!$I18,Actividades!$BK$18:$BK$27)* 'Metas proyecto'!$Y18/ 'Metas proyecto'!$N18)</calculatedColumnFormula>
    </tableColumn>
    <tableColumn id="25" xr3:uid="{00000000-0010-0000-0400-000019000000}" name="Ejecución Plan de actividades_x000a_Diciembre" dataDxfId="573" dataCellStyle="Porcentaje">
      <calculatedColumnFormula>(SUMIF( Actividades!$E$18:$E$35, 'Metas proyecto'!$I18,Actividades!$BL$18:$BL$27)* 'Metas proyecto'!$Y18/ 'Metas proyecto'!$N18)</calculatedColumnFormula>
    </tableColumn>
    <tableColumn id="26" xr3:uid="{00000000-0010-0000-0400-00001A000000}" name="Total ejecutado plan de actividades Vigencia" dataDxfId="572" dataCellStyle="Porcentaje">
      <calculatedColumnFormula>SUM(BT18:CE18)</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MetasPDD" displayName="MetasPDD" ref="B18:AK25" totalsRowCount="1" headerRowDxfId="571" dataDxfId="570" totalsRowDxfId="569">
  <tableColumns count="36">
    <tableColumn id="1" xr3:uid="{00000000-0010-0000-0500-000001000000}" name="ID meta PDD" totalsRowLabel="Total" dataDxfId="568" totalsRowDxfId="567">
      <calculatedColumnFormula>C19&amp;E19</calculatedColumnFormula>
    </tableColumn>
    <tableColumn id="2" xr3:uid="{00000000-0010-0000-0500-000002000000}" name="Código proyecto" dataDxfId="566" totalsRowDxfId="565">
      <calculatedColumnFormula>Proyecto!$B$19</calculatedColumnFormula>
    </tableColumn>
    <tableColumn id="3" xr3:uid="{00000000-0010-0000-0500-000003000000}" name="Nombre proyecto de inversión" dataDxfId="564" totalsRowDxfId="563">
      <calculatedColumnFormula>Proyecto!$D$19</calculatedColumnFormula>
    </tableColumn>
    <tableColumn id="4" xr3:uid="{00000000-0010-0000-0500-000004000000}" name="No. Meta sectorial" totalsRowFunction="countNums" dataDxfId="562" totalsRowDxfId="561"/>
    <tableColumn id="5" xr3:uid="{00000000-0010-0000-0500-000005000000}" name="Meta Sectorial" dataDxfId="560" totalsRowDxfId="559">
      <calculatedColumnFormula>(VLOOKUP(MetasPDD[[#This Row],[ID meta PDD]],ESTRATÉGICO!B3:AA110,18,0))</calculatedColumnFormula>
    </tableColumn>
    <tableColumn id="36" xr3:uid="{00000000-0010-0000-0500-000024000000}" name="No. Indicador" dataDxfId="558" totalsRowDxfId="557"/>
    <tableColumn id="6" xr3:uid="{00000000-0010-0000-0500-000006000000}" name="Nombre indicador propósito" dataDxfId="556" totalsRowDxfId="555"/>
    <tableColumn id="7" xr3:uid="{00000000-0010-0000-0500-000007000000}" name="Tipo de meta" dataDxfId="554" totalsRowDxfId="553">
      <calculatedColumnFormula>VLOOKUP(MetasPDD[[#This Row],[ID meta PDD]],ESTRATÉGICO!B3:AA110,20,0)</calculatedColumnFormula>
    </tableColumn>
    <tableColumn id="8" xr3:uid="{00000000-0010-0000-0500-000008000000}" name="Línea base " dataDxfId="552" totalsRowDxfId="551"/>
    <tableColumn id="9" xr3:uid="{00000000-0010-0000-0500-000009000000}" name="Fuente" dataDxfId="550" totalsRowDxfId="549"/>
    <tableColumn id="10" xr3:uid="{00000000-0010-0000-0500-00000A000000}" name="Meta Sectorial 2024" dataDxfId="548" totalsRowDxfId="547"/>
    <tableColumn id="11" xr3:uid="{00000000-0010-0000-0500-00000B000000}" name="Magnitud" dataDxfId="546" totalsRowDxfId="545"/>
    <tableColumn id="12" xr3:uid="{00000000-0010-0000-0500-00000C000000}" name="Magnitud programada indicador propósito 2020" dataDxfId="544" totalsRowDxfId="543"/>
    <tableColumn id="13" xr3:uid="{00000000-0010-0000-0500-00000D000000}" name="Magnitud programada indicador propósito 2021" dataDxfId="542" totalsRowDxfId="541"/>
    <tableColumn id="14" xr3:uid="{00000000-0010-0000-0500-00000E000000}" name="Magnitud programada indicador propósito 2022" dataDxfId="540" totalsRowDxfId="539"/>
    <tableColumn id="15" xr3:uid="{00000000-0010-0000-0500-00000F000000}" name="Magnitud programada indicador propósito 2023" dataDxfId="538" totalsRowDxfId="537"/>
    <tableColumn id="16" xr3:uid="{00000000-0010-0000-0500-000010000000}" name="Magnitud programada indicador propósito 2024" dataDxfId="536" totalsRowDxfId="535"/>
    <tableColumn id="17" xr3:uid="{00000000-0010-0000-0500-000011000000}" name="Total programación cuatrienio indicador propósito 2020-2024" dataDxfId="534" totalsRowDxfId="533"/>
    <tableColumn id="18" xr3:uid="{00000000-0010-0000-0500-000012000000}" name="Presupuesto programado 2020" totalsRowFunction="sum" dataDxfId="532" totalsRowDxfId="531">
      <calculatedColumnFormula>SUMIFS(presuvigencias[Suma de APROPIACION],presuvigencias[LLAVEPDD],MetasPDD[[#This Row],[ID meta PDD]],presuvigencias[vigencia],"2020")</calculatedColumnFormula>
    </tableColumn>
    <tableColumn id="19" xr3:uid="{00000000-0010-0000-0500-000013000000}" name="Presupuesto programado 2021" totalsRowFunction="sum" dataDxfId="530" totalsRowDxfId="529">
      <calculatedColumnFormula>SUMIFS(presuvigencias[Suma de APROPIACION],presuvigencias[LLAVEPDD],MetasPDD[[#This Row],[ID meta PDD]],presuvigencias[vigencia],"2021")</calculatedColumnFormula>
    </tableColumn>
    <tableColumn id="20" xr3:uid="{00000000-0010-0000-0500-000014000000}" name="Presupuesto programado 2022" totalsRowFunction="sum" dataDxfId="528" totalsRowDxfId="527">
      <calculatedColumnFormula>SUMIFS(presuvigencias[Suma de APROPIACION],presuvigencias[LLAVEPDD],MetasPDD[[#This Row],[ID meta PDD]],presuvigencias[vigencia],"2022")</calculatedColumnFormula>
    </tableColumn>
    <tableColumn id="21" xr3:uid="{00000000-0010-0000-0500-000015000000}" name="Presupuesto programado 2023" totalsRowFunction="sum" dataDxfId="526" totalsRowDxfId="525">
      <calculatedColumnFormula>SUMIFS(presuvigencias[Suma de APROPIACION],presuvigencias[LLAVEPDD],MetasPDD[[#This Row],[ID meta PDD]],presuvigencias[vigencia],"2023")</calculatedColumnFormula>
    </tableColumn>
    <tableColumn id="22" xr3:uid="{00000000-0010-0000-0500-000016000000}" name="Presupuesto programado 2024" totalsRowFunction="sum" dataDxfId="524" totalsRowDxfId="523">
      <calculatedColumnFormula>VLOOKUP(MetasPDD[[#This Row],[ID meta PDD]],EJECUCIÓN!$AE$13:$AM$18,4,0)</calculatedColumnFormula>
    </tableColumn>
    <tableColumn id="23" xr3:uid="{00000000-0010-0000-0500-000017000000}" name="Total presupuesto programado cuatrienio" totalsRowFunction="sum" dataDxfId="522" totalsRowDxfId="521">
      <calculatedColumnFormula>+SUM(MetasPDD[[#This Row],[Presupuesto programado 2020]:[Presupuesto programado 2024]])</calculatedColumnFormula>
    </tableColumn>
    <tableColumn id="34" xr3:uid="{00000000-0010-0000-0500-000022000000}" name="Magnitud ejecutada indicador propósito 2020" dataDxfId="520" totalsRowDxfId="519"/>
    <tableColumn id="33" xr3:uid="{00000000-0010-0000-0500-000021000000}" name="Magnitud ejecutada indicador propósito 2021" dataDxfId="518" totalsRowDxfId="517"/>
    <tableColumn id="32" xr3:uid="{00000000-0010-0000-0500-000020000000}" name="Magnitud ejecutada indicador propósito 2022" dataDxfId="516" totalsRowDxfId="515"/>
    <tableColumn id="31" xr3:uid="{00000000-0010-0000-0500-00001F000000}" name="Magnitud ejecutada indicador propósito 2023" dataDxfId="514" totalsRowDxfId="513"/>
    <tableColumn id="35" xr3:uid="{00000000-0010-0000-0500-000023000000}" name="Magnitud ejecutada indicador propósito 2024" dataDxfId="512" totalsRowDxfId="511">
      <calculatedColumnFormula>VLOOKUP(A19,EJECUCIÓN!$K$32:$R$378,7,0)</calculatedColumnFormula>
    </tableColumn>
    <tableColumn id="30" xr3:uid="{00000000-0010-0000-0500-00001E000000}" name="Total ejecución cuatrienio indicador propósito 2020-2024" dataDxfId="510" totalsRowDxfId="509">
      <calculatedColumnFormula>IFERROR(IF(MetasPDD[[#This Row],[Tipo de meta]]="SUMA",SUM(MetasPDD[[#This Row],[Magnitud ejecutada indicador propósito 2020]:[Magnitud ejecutada indicador propósito 2024]]),
IF(MetasPDD[[#This Row],[Tipo de meta]]="Creciente",MAX(MetasPDD[[#This Row],[Magnitud ejecutada indicador propósito 2020]:[Magnitud ejecutada indicador propósito 2024]]),
AVERAGE(MetasPDD[[#This Row],[Magnitud ejecutada indicador propósito 2020]:[Magnitud ejecutada indicador propósito 2024]]))),"...")</calculatedColumnFormula>
    </tableColumn>
    <tableColumn id="24" xr3:uid="{00000000-0010-0000-0500-000018000000}" name="Presupuesto comprometido 2020" totalsRowFunction="sum" dataDxfId="508" totalsRowDxfId="507">
      <calculatedColumnFormula>SUMIFS(presuvigencias[Suma de CRP],presuvigencias[LLAVEPDD],MetasPDD[[#This Row],[ID meta PDD]],presuvigencias[vigencia],"2020")</calculatedColumnFormula>
    </tableColumn>
    <tableColumn id="25" xr3:uid="{00000000-0010-0000-0500-000019000000}" name="Presupuesto comprometido 2021" totalsRowFunction="sum" dataDxfId="506" totalsRowDxfId="505">
      <calculatedColumnFormula>SUMIFS(presuvigencias[Suma de CRP],presuvigencias[LLAVEPDD],MetasPDD[[#This Row],[ID meta PDD]],presuvigencias[vigencia],"2021")</calculatedColumnFormula>
    </tableColumn>
    <tableColumn id="26" xr3:uid="{00000000-0010-0000-0500-00001A000000}" name="Presupuesto comprometido 2022" totalsRowFunction="sum" dataDxfId="504" totalsRowDxfId="503">
      <calculatedColumnFormula>SUMIFS(presuvigencias[Suma de CRP],presuvigencias[LLAVEPDD],MetasPDD[[#This Row],[ID meta PDD]],presuvigencias[vigencia],"2022")</calculatedColumnFormula>
    </tableColumn>
    <tableColumn id="27" xr3:uid="{00000000-0010-0000-0500-00001B000000}" name="Presupuesto comprometido 2023" totalsRowFunction="sum" dataDxfId="502" totalsRowDxfId="501">
      <calculatedColumnFormula>SUMIFS(presuvigencias[Suma de CRP],presuvigencias[LLAVEPDD],MetasPDD[[#This Row],[ID meta PDD]],presuvigencias[vigencia],"2023")</calculatedColumnFormula>
    </tableColumn>
    <tableColumn id="28" xr3:uid="{00000000-0010-0000-0500-00001C000000}" name="Presupuesto comprometido 2024" totalsRowFunction="sum" dataDxfId="500" totalsRowDxfId="499">
      <calculatedColumnFormula>VLOOKUP(MetasPDD[[#This Row],[ID meta PDD]],EJECUCIÓN!$AE$13:$AM$18,7,0)</calculatedColumnFormula>
    </tableColumn>
    <tableColumn id="29" xr3:uid="{00000000-0010-0000-0500-00001D000000}" name="Total presupuesto comprometido cuatrienio" totalsRowFunction="sum" dataDxfId="498" totalsRowDxfId="497">
      <calculatedColumnFormula>+SUM(MetasPDD[[#This Row],[Presupuesto comprometido 2020]:[Presupuesto comprometido 2024]])</calculatedColumnFormula>
    </tableColumn>
  </tableColumns>
  <tableStyleInfo name="TableStyleLight1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ProductosMGA" displayName="ProductosMGA" ref="B17:W25" totalsRowCount="1" headerRowDxfId="496" dataDxfId="495" totalsRowDxfId="494">
  <autoFilter ref="B17:W24" xr:uid="{00000000-0009-0000-0100-000006000000}"/>
  <tableColumns count="22">
    <tableColumn id="1" xr3:uid="{00000000-0010-0000-0600-000001000000}" name="ID Producto" totalsRowLabel="Total" dataDxfId="493" totalsRowDxfId="492">
      <calculatedColumnFormula>ProductosMGA[[#This Row],[Código proyecto]]&amp;ProductosMGA[[#This Row],[Código producto MGA]]</calculatedColumnFormula>
    </tableColumn>
    <tableColumn id="2" xr3:uid="{00000000-0010-0000-0600-000002000000}" name="Código proyecto" dataDxfId="491" totalsRowDxfId="490">
      <calculatedColumnFormula>Proyecto!$B$19</calculatedColumnFormula>
    </tableColumn>
    <tableColumn id="3" xr3:uid="{00000000-0010-0000-0600-000003000000}" name="Nombre proyecto de inversión" dataDxfId="489" totalsRowDxfId="488">
      <calculatedColumnFormula>Proyecto!$D$19</calculatedColumnFormula>
    </tableColumn>
    <tableColumn id="4" xr3:uid="{00000000-0010-0000-0600-000004000000}" name="Código Objetivo específico" dataDxfId="487" totalsRowDxfId="486">
      <calculatedColumnFormula>VLOOKUP(ProductosMGA[[#This Row],[ID Producto]],ESTRATÉGICO!A3:AA110,12,0)</calculatedColumnFormula>
    </tableColumn>
    <tableColumn id="5" xr3:uid="{00000000-0010-0000-0600-000005000000}" name="Objetivo específicos" dataDxfId="485" totalsRowDxfId="484">
      <calculatedColumnFormula>VLOOKUP(ProductosMGA[[#This Row],[ID Producto]],ESTRATÉGICO!A3:AA110,13,0)</calculatedColumnFormula>
    </tableColumn>
    <tableColumn id="6" xr3:uid="{00000000-0010-0000-0600-000006000000}" name="Código producto MGA" dataDxfId="483" totalsRowDxfId="482"/>
    <tableColumn id="7" xr3:uid="{00000000-0010-0000-0600-000007000000}" name="Nombre Producto MGA" dataDxfId="481" totalsRowDxfId="480">
      <calculatedColumnFormula>VLOOKUP(ProductosMGA[[#This Row],[ID Producto]],ESTRATÉGICO!A3:AA110,23,0)</calculatedColumnFormula>
    </tableColumn>
    <tableColumn id="8" xr3:uid="{00000000-0010-0000-0600-000008000000}" name="Indicador de producto" dataDxfId="479" totalsRowDxfId="478">
      <calculatedColumnFormula>VLOOKUP(ProductosMGA[[#This Row],[ID Producto]],ESTRATÉGICO!A3:AA110,24,0)</calculatedColumnFormula>
    </tableColumn>
    <tableColumn id="9" xr3:uid="{00000000-0010-0000-0600-000009000000}" name="Unidad de medida del producto" dataDxfId="477" totalsRowDxfId="476">
      <calculatedColumnFormula>VLOOKUP(ProductosMGA[[#This Row],[ID Producto]],ESTRATÉGICO!A3:AA110,25,0)</calculatedColumnFormula>
    </tableColumn>
    <tableColumn id="10" xr3:uid="{00000000-0010-0000-0600-00000A000000}" name="¿Es acumulativo?" dataDxfId="475" totalsRowDxfId="474"/>
    <tableColumn id="11" xr3:uid="{00000000-0010-0000-0600-00000B000000}" name="Magnitud programada indicador de producto 2020" dataDxfId="473" totalsRowDxfId="472"/>
    <tableColumn id="12" xr3:uid="{00000000-0010-0000-0600-00000C000000}" name="Magnitud programada indicador de producto 2021" dataDxfId="471" totalsRowDxfId="470"/>
    <tableColumn id="13" xr3:uid="{00000000-0010-0000-0600-00000D000000}" name="Magnitud programada indicador de producto 2022" dataDxfId="469" totalsRowDxfId="468"/>
    <tableColumn id="14" xr3:uid="{00000000-0010-0000-0600-00000E000000}" name="Magnitud programada indicador de producto 2023" dataDxfId="467" totalsRowDxfId="466"/>
    <tableColumn id="15" xr3:uid="{00000000-0010-0000-0600-00000F000000}" name="Magnitud programada indicador de producto 2024" dataDxfId="465" totalsRowDxfId="464"/>
    <tableColumn id="16" xr3:uid="{00000000-0010-0000-0600-000010000000}" name="Total programación cuatrienio indicador de producto 2020-2024" dataDxfId="463" totalsRowDxfId="462">
      <calculatedColumnFormula>IF(ProductosMGA[[#This Row],[¿Es acumulativo?]]="SI",SUM(ProductosMGA[[#This Row],[Magnitud programada indicador de producto 2020]:[Magnitud programada indicador de producto 2024]]),MAX(ProductosMGA[[#This Row],[Magnitud programada indicador de producto 2020]:[Magnitud programada indicador de producto 2024]]))</calculatedColumnFormula>
    </tableColumn>
    <tableColumn id="23" xr3:uid="{00000000-0010-0000-0600-000017000000}" name="Magnitud ejecutada indicador de producto 2020" dataDxfId="461" totalsRowDxfId="460"/>
    <tableColumn id="24" xr3:uid="{00000000-0010-0000-0600-000018000000}" name="Magnitud ejecutada indicador de producto 2021" dataDxfId="459" totalsRowDxfId="458"/>
    <tableColumn id="25" xr3:uid="{00000000-0010-0000-0600-000019000000}" name="Magnitud ejecutada indicador de producto 2022" dataDxfId="457" totalsRowDxfId="456"/>
    <tableColumn id="26" xr3:uid="{00000000-0010-0000-0600-00001A000000}" name="Magnitud ejecutada indicador de producto 2023" dataDxfId="455" totalsRowDxfId="454"/>
    <tableColumn id="27" xr3:uid="{00000000-0010-0000-0600-00001B000000}" name="Magnitud ejecutada indicador de producto 2024" dataDxfId="453" totalsRowDxfId="452">
      <calculatedColumnFormula>VLOOKUP(ProductosMGA[[#This Row],[Código producto MGA]],EJECUCIÓN!$B$47:$K$53,10,0)</calculatedColumnFormula>
    </tableColumn>
    <tableColumn id="28" xr3:uid="{00000000-0010-0000-0600-00001C000000}" name="Total ejecución cuatrienio indicador de producto 2020-2024" totalsRowFunction="sum" dataDxfId="451" totalsRowDxfId="450">
      <calculatedColumnFormula>IF(ProductosMGA[[#This Row],[¿Es acumulativo?]]="SI",SUM(ProductosMGA[[#This Row],[Magnitud ejecutada indicador de producto 2020]:[Magnitud ejecutada indicador de producto 2024]]),MAX(ProductosMGA[[#This Row],[Magnitud ejecutada indicador de producto 2020]:[Magnitud ejecutada indicador de producto 2024]]))</calculatedColumnFormula>
    </tableColumn>
  </tableColumns>
  <tableStyleInfo name="TableStyleLight1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actividades_pond" displayName="actividades_pond" ref="AO17:BL36" totalsRowShown="0" headerRowDxfId="449" dataDxfId="448" tableBorderDxfId="447" dataCellStyle="Porcentaje">
  <autoFilter ref="AO17:BL36" xr:uid="{00000000-0009-0000-0100-00000F000000}"/>
  <tableColumns count="24">
    <tableColumn id="1" xr3:uid="{00000000-0010-0000-0700-000001000000}" name="EneroPONDPROG" dataDxfId="446" dataCellStyle="Porcentaje">
      <calculatedColumnFormula>+Actividades!$B18:$AN35*Actividades!$B18:$AN35</calculatedColumnFormula>
    </tableColumn>
    <tableColumn id="2" xr3:uid="{00000000-0010-0000-0700-000002000000}" name="FebreroPONDPROG" dataDxfId="445" dataCellStyle="Porcentaje">
      <calculatedColumnFormula>+Actividades!$B18:$AN35*Actividades!$B18:$AN35</calculatedColumnFormula>
    </tableColumn>
    <tableColumn id="3" xr3:uid="{00000000-0010-0000-0700-000003000000}" name="MarzoPONDPROG" dataDxfId="444" dataCellStyle="Porcentaje">
      <calculatedColumnFormula>+Actividades!$B18:$AN35*Actividades!$B18:$AN35</calculatedColumnFormula>
    </tableColumn>
    <tableColumn id="4" xr3:uid="{00000000-0010-0000-0700-000004000000}" name="AbrilPONDPROG" dataDxfId="443" dataCellStyle="Porcentaje">
      <calculatedColumnFormula>+Actividades!$B18:$AN35*Actividades!$B18:$AN35</calculatedColumnFormula>
    </tableColumn>
    <tableColumn id="5" xr3:uid="{00000000-0010-0000-0700-000005000000}" name="MayoPONDPROG" dataDxfId="442" dataCellStyle="Porcentaje">
      <calculatedColumnFormula>+Actividades!$B18:$AN35*Actividades!$B18:$AN35</calculatedColumnFormula>
    </tableColumn>
    <tableColumn id="6" xr3:uid="{00000000-0010-0000-0700-000006000000}" name="JunioPONDPROG" dataDxfId="441" dataCellStyle="Porcentaje">
      <calculatedColumnFormula>+Actividades!$B18:$AN35*Actividades!$B18:$AN35</calculatedColumnFormula>
    </tableColumn>
    <tableColumn id="7" xr3:uid="{00000000-0010-0000-0700-000007000000}" name="JulioPONDPROG" dataDxfId="440" dataCellStyle="Porcentaje">
      <calculatedColumnFormula>+Actividades!$B18:$AN35*Actividades!$B18:$AN35</calculatedColumnFormula>
    </tableColumn>
    <tableColumn id="8" xr3:uid="{00000000-0010-0000-0700-000008000000}" name="AgostoPONDPROG" dataDxfId="439" dataCellStyle="Porcentaje">
      <calculatedColumnFormula>+Actividades!$B18:$AN35*Actividades!$B18:$AN35</calculatedColumnFormula>
    </tableColumn>
    <tableColumn id="9" xr3:uid="{00000000-0010-0000-0700-000009000000}" name="SeptiembrePONDPROG" dataDxfId="438" dataCellStyle="Porcentaje">
      <calculatedColumnFormula>+Actividades!$B18:$AN35*Actividades!$B18:$AN35</calculatedColumnFormula>
    </tableColumn>
    <tableColumn id="10" xr3:uid="{00000000-0010-0000-0700-00000A000000}" name="OctubrePONDPROG" dataDxfId="437" dataCellStyle="Porcentaje">
      <calculatedColumnFormula>+Actividades!$B18:$AN35*Actividades!$B18:$AN35</calculatedColumnFormula>
    </tableColumn>
    <tableColumn id="11" xr3:uid="{00000000-0010-0000-0700-00000B000000}" name="NoviembrePONDPROG" dataDxfId="436" dataCellStyle="Porcentaje">
      <calculatedColumnFormula>+Actividades!$B18:$AN35*Actividades!$B18:$AN35</calculatedColumnFormula>
    </tableColumn>
    <tableColumn id="12" xr3:uid="{00000000-0010-0000-0700-00000C000000}" name="DiciembrePONDPROG" dataDxfId="435" dataCellStyle="Porcentaje">
      <calculatedColumnFormula>+Actividades!$B18:$AN35*Actividades!$B18:$AN35</calculatedColumnFormula>
    </tableColumn>
    <tableColumn id="13" xr3:uid="{00000000-0010-0000-0700-00000D000000}" name="EneroPONDEJEC" dataDxfId="434" dataCellStyle="Porcentaje">
      <calculatedColumnFormula>Actividades!$B18:$AN35*Actividades!$B18:$AN35</calculatedColumnFormula>
    </tableColumn>
    <tableColumn id="14" xr3:uid="{00000000-0010-0000-0700-00000E000000}" name="FebreroPONDEJEC" dataDxfId="433" dataCellStyle="Porcentaje">
      <calculatedColumnFormula>Actividades!$B18:$AN35*Actividades!$B18:$AN35</calculatedColumnFormula>
    </tableColumn>
    <tableColumn id="15" xr3:uid="{00000000-0010-0000-0700-00000F000000}" name="MarzoPONDEJEC" dataDxfId="432" dataCellStyle="Porcentaje">
      <calculatedColumnFormula>Actividades!$B18:$AN35*Actividades!$B18:$AN35</calculatedColumnFormula>
    </tableColumn>
    <tableColumn id="16" xr3:uid="{00000000-0010-0000-0700-000010000000}" name="AbrilPONDEJEC" dataDxfId="431" dataCellStyle="Porcentaje">
      <calculatedColumnFormula>Actividades!$B18:$AN35*Actividades!$B18:$AN35</calculatedColumnFormula>
    </tableColumn>
    <tableColumn id="17" xr3:uid="{00000000-0010-0000-0700-000011000000}" name="MayoPONDEJEC" dataDxfId="430" dataCellStyle="Porcentaje">
      <calculatedColumnFormula>Actividades!$B18:$AN35*Actividades!$B18:$AN35</calculatedColumnFormula>
    </tableColumn>
    <tableColumn id="18" xr3:uid="{00000000-0010-0000-0700-000012000000}" name="JunioPONDEJEC" dataDxfId="429" dataCellStyle="Porcentaje">
      <calculatedColumnFormula>Actividades!$B18:$AN35*Actividades!$B18:$AN35</calculatedColumnFormula>
    </tableColumn>
    <tableColumn id="19" xr3:uid="{00000000-0010-0000-0700-000013000000}" name="JulioPONDEJEC" dataDxfId="428" dataCellStyle="Porcentaje">
      <calculatedColumnFormula>Actividades!$B18:$AN35*Actividades!$B18:$AN35</calculatedColumnFormula>
    </tableColumn>
    <tableColumn id="20" xr3:uid="{00000000-0010-0000-0700-000014000000}" name="AgostoPONDEJEC" dataDxfId="427" dataCellStyle="Porcentaje">
      <calculatedColumnFormula>Actividades!$B18:$AN35*Actividades!$B18:$AN35</calculatedColumnFormula>
    </tableColumn>
    <tableColumn id="21" xr3:uid="{00000000-0010-0000-0700-000015000000}" name="SeptiembrePONDEJEC" dataDxfId="426" dataCellStyle="Porcentaje">
      <calculatedColumnFormula>Actividades!$B18:$AN35*Actividades!$B18:$AN35</calculatedColumnFormula>
    </tableColumn>
    <tableColumn id="22" xr3:uid="{00000000-0010-0000-0700-000016000000}" name="OctubrePONDEJEC" dataDxfId="425" dataCellStyle="Porcentaje">
      <calculatedColumnFormula>Actividades!$B18:$AN35*Actividades!$B18:$AN35</calculatedColumnFormula>
    </tableColumn>
    <tableColumn id="23" xr3:uid="{00000000-0010-0000-0700-000017000000}" name="NoviembrePONDEJEC" dataDxfId="424" dataCellStyle="Porcentaje">
      <calculatedColumnFormula>Actividades!$B18:$AN35*Actividades!$B18:$AN35</calculatedColumnFormula>
    </tableColumn>
    <tableColumn id="24" xr3:uid="{00000000-0010-0000-0700-000018000000}" name="DiciembrePONDEJEC" dataDxfId="423" dataCellStyle="Porcentaje">
      <calculatedColumnFormula>Actividades!$B18:$AN35*Actividades!$B18:$AN35</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reas" displayName="Tareas" ref="C17:BS59" totalsRowCount="1" headerRowDxfId="422" dataDxfId="421" totalsRowDxfId="420">
  <autoFilter ref="C17:BS58" xr:uid="{00000000-0009-0000-0100-000009000000}"/>
  <tableColumns count="69">
    <tableColumn id="1" xr3:uid="{00000000-0010-0000-0800-000001000000}" name="ID Tarea" totalsRowLabel="Total" dataDxfId="419" totalsRowDxfId="418">
      <calculatedColumnFormula>Tareas[[#This Row],[Código proyecto]]&amp;Tareas[[#This Row],[No Meta proyecto]]&amp;Tareas[[#This Row],[N° de Actividad
(Consecutivo por meta)]]&amp;Tareas[[#This Row],[N° de tarea]]</calculatedColumnFormula>
    </tableColumn>
    <tableColumn id="2" xr3:uid="{00000000-0010-0000-0800-000002000000}" name="Código proyecto" dataDxfId="417" totalsRowDxfId="416">
      <calculatedColumnFormula>Proyecto!$B$19</calculatedColumnFormula>
    </tableColumn>
    <tableColumn id="3" xr3:uid="{00000000-0010-0000-0800-000003000000}" name="Nombre proyecto de inversión" dataDxfId="415" totalsRowDxfId="414">
      <calculatedColumnFormula>Proyecto!$D$19</calculatedColumnFormula>
    </tableColumn>
    <tableColumn id="8" xr3:uid="{00000000-0010-0000-0800-000008000000}" name="No Meta proyecto" dataDxfId="413" totalsRowDxfId="412"/>
    <tableColumn id="9" xr3:uid="{00000000-0010-0000-0800-000009000000}" name="Descripción meta proyecto de inversión" dataDxfId="411" totalsRowDxfId="410">
      <calculatedColumnFormula>VLOOKUP(A18,ESTRATÉGICO!$C$3:$AA$110,14,0)</calculatedColumnFormula>
    </tableColumn>
    <tableColumn id="10" xr3:uid="{00000000-0010-0000-0800-00000A000000}" name="N° de Actividad_x000a_(Consecutivo por meta)" dataDxfId="409" totalsRowDxfId="408"/>
    <tableColumn id="11" xr3:uid="{00000000-0010-0000-0800-00000B000000}" name="Descripción de la Actividad" dataDxfId="407" totalsRowDxfId="406">
      <calculatedColumnFormula>VLOOKUP(B18,Actividades!$B$18:$I$35,8,0)</calculatedColumnFormula>
    </tableColumn>
    <tableColumn id="12" xr3:uid="{00000000-0010-0000-0800-00000C000000}" name="N° de tarea" totalsRowFunction="count" dataDxfId="405" totalsRowDxfId="404"/>
    <tableColumn id="13" xr3:uid="{00000000-0010-0000-0800-00000D000000}" name="Descripción de la tarea" totalsRowFunction="count" dataDxfId="403" totalsRowDxfId="402"/>
    <tableColumn id="14" xr3:uid="{00000000-0010-0000-0800-00000E000000}" name="Responsable de la tarea" dataDxfId="401" totalsRowDxfId="400" dataCellStyle="Normal 2"/>
    <tableColumn id="15" xr3:uid="{00000000-0010-0000-0800-00000F000000}" name="Fecha de inicio de la tarea DD/MM/AAAA" dataDxfId="399" totalsRowDxfId="398"/>
    <tableColumn id="16" xr3:uid="{00000000-0010-0000-0800-000010000000}" name="Fecha de finalización de la tarea DD/MM/AAAA" dataDxfId="397" totalsRowDxfId="396"/>
    <tableColumn id="17" xr3:uid="{00000000-0010-0000-0800-000011000000}" name="¿Responde a una meta SIRBE? _x000a_SI/NO" dataDxfId="395" totalsRowDxfId="394"/>
    <tableColumn id="23" xr3:uid="{00000000-0010-0000-0800-000017000000}" name="Ponderación de la tarea (Deben sumar el 100% de la actividad) " totalsRowFunction="sum" dataDxfId="393" totalsRowDxfId="392"/>
    <tableColumn id="24" xr3:uid="{00000000-0010-0000-0800-000018000000}" name="Programación Plan de actividades_x000a_Enero" totalsRowFunction="sum" dataDxfId="391" totalsRowDxfId="390">
      <calculatedColumnFormula>+SUMIFS(Soportes[Programación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25" xr3:uid="{00000000-0010-0000-0800-000019000000}" name="Programación Plan de actividades_x000a_Febrero" totalsRowFunction="sum" dataDxfId="389" totalsRowDxfId="388">
      <calculatedColumnFormula>+SUMIFS(Soportes[Programación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26" xr3:uid="{00000000-0010-0000-0800-00001A000000}" name="Programación Plan de actividades_x000a_Marzo" totalsRowFunction="sum" dataDxfId="387" totalsRowDxfId="386">
      <calculatedColumnFormula>+SUMIFS(Soportes[Programación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27" xr3:uid="{00000000-0010-0000-0800-00001B000000}" name="Programación Plan de actividades_x000a_Abril" totalsRowFunction="sum" dataDxfId="385" totalsRowDxfId="384">
      <calculatedColumnFormula>+SUMIFS(Soportes[Programación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28" xr3:uid="{00000000-0010-0000-0800-00001C000000}" name="Programación Plan de actividades_x000a_Mayo" totalsRowFunction="sum" dataDxfId="383" totalsRowDxfId="382">
      <calculatedColumnFormula>+SUMIFS(Soportes[Programación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29" xr3:uid="{00000000-0010-0000-0800-00001D000000}" name="Programación Plan de actividades_x000a_Junio" totalsRowFunction="sum" dataDxfId="381" totalsRowDxfId="380">
      <calculatedColumnFormula>+SUMIFS(Soportes[Programación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30" xr3:uid="{00000000-0010-0000-0800-00001E000000}" name="Programación Plan de actividades_x000a_Julio" totalsRowFunction="sum" dataDxfId="379" totalsRowDxfId="378">
      <calculatedColumnFormula>+SUMIFS(Soportes[Programación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31" xr3:uid="{00000000-0010-0000-0800-00001F000000}" name="Programación Plan de actividades_x000a_Agosto" totalsRowFunction="sum" dataDxfId="377" totalsRowDxfId="376">
      <calculatedColumnFormula>+SUMIFS(Soportes[Programación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32" xr3:uid="{00000000-0010-0000-0800-000020000000}" name="Programación Plan de actividades_x000a_Septiembre" totalsRowFunction="sum" dataDxfId="375" totalsRowDxfId="374">
      <calculatedColumnFormula>+SUMIFS(Soportes[Programación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33" xr3:uid="{00000000-0010-0000-0800-000021000000}" name="Programación Plan de actividades_x000a_Octubre" totalsRowFunction="sum" dataDxfId="373" totalsRowDxfId="372">
      <calculatedColumnFormula>+SUMIFS(Soportes[Programación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34" xr3:uid="{00000000-0010-0000-0800-000022000000}" name="Programación Plan de actividades_x000a_Noviembre" totalsRowFunction="sum" dataDxfId="371" totalsRowDxfId="370">
      <calculatedColumnFormula>+SUMIFS(Soportes[Programación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35" xr3:uid="{00000000-0010-0000-0800-000023000000}" name="Programación Plan de actividades_x000a_Diciembre" totalsRowFunction="sum" dataDxfId="369" totalsRowDxfId="368">
      <calculatedColumnFormula>+SUMIFS(Soportes[Programación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51" xr3:uid="{00000000-0010-0000-0800-000033000000}" name="Total programado plan de actividades" totalsRowFunction="sum" dataDxfId="367" totalsRowDxfId="366">
      <calculatedColumnFormula>+SUM(Tareas[[#This Row],[Programación Plan de actividades
Enero]:[Programación Plan de actividades
Diciembre]])</calculatedColumnFormula>
    </tableColumn>
    <tableColumn id="36" xr3:uid="{00000000-0010-0000-0800-000024000000}" name="Población programada enero" totalsRowFunction="sum" dataDxfId="365" totalsRowDxfId="364"/>
    <tableColumn id="37" xr3:uid="{00000000-0010-0000-0800-000025000000}" name="Población programada febrero" totalsRowFunction="sum" dataDxfId="363" totalsRowDxfId="362"/>
    <tableColumn id="38" xr3:uid="{00000000-0010-0000-0800-000026000000}" name="Población programada marzo" totalsRowFunction="sum" dataDxfId="361" totalsRowDxfId="360"/>
    <tableColumn id="39" xr3:uid="{00000000-0010-0000-0800-000027000000}" name="Población programada abril" totalsRowFunction="sum" dataDxfId="359" totalsRowDxfId="358"/>
    <tableColumn id="40" xr3:uid="{00000000-0010-0000-0800-000028000000}" name="Población programada mayo" totalsRowFunction="sum" dataDxfId="357" totalsRowDxfId="356"/>
    <tableColumn id="41" xr3:uid="{00000000-0010-0000-0800-000029000000}" name="Población programada junio" totalsRowFunction="sum" dataDxfId="355" totalsRowDxfId="354"/>
    <tableColumn id="42" xr3:uid="{00000000-0010-0000-0800-00002A000000}" name="Población programada julio" totalsRowFunction="sum" dataDxfId="353" totalsRowDxfId="352"/>
    <tableColumn id="43" xr3:uid="{00000000-0010-0000-0800-00002B000000}" name="Población programada agosto" totalsRowFunction="sum" dataDxfId="351" totalsRowDxfId="350"/>
    <tableColumn id="44" xr3:uid="{00000000-0010-0000-0800-00002C000000}" name="Población programada septiembre" totalsRowFunction="sum" dataDxfId="349" totalsRowDxfId="348"/>
    <tableColumn id="45" xr3:uid="{00000000-0010-0000-0800-00002D000000}" name="Población programada octubre" totalsRowFunction="sum" dataDxfId="347" totalsRowDxfId="346"/>
    <tableColumn id="46" xr3:uid="{00000000-0010-0000-0800-00002E000000}" name="Población programada noviembre" totalsRowFunction="sum" dataDxfId="345" totalsRowDxfId="344"/>
    <tableColumn id="47" xr3:uid="{00000000-0010-0000-0800-00002F000000}" name="Población programada diciembre" totalsRowFunction="sum" dataDxfId="343" totalsRowDxfId="342"/>
    <tableColumn id="48" xr3:uid="{00000000-0010-0000-0800-000030000000}" name="Total  de Población programada" dataDxfId="341" totalsRowDxfId="340">
      <calculatedColumnFormula>SUM(Tareas[[#This Row],[Población programada enero]:[Población programada diciembre]])</calculatedColumnFormula>
    </tableColumn>
    <tableColumn id="49" xr3:uid="{00000000-0010-0000-0800-000031000000}" name="Ejecución Plan de actividades_x000a_Enero" dataDxfId="339" totalsRowDxfId="338">
      <calculatedColumnFormula>+SUMIFS(Soportes[Soportes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50" xr3:uid="{00000000-0010-0000-0800-000032000000}" name="Ejecución Plan de actividades_x000a_Febrero" dataDxfId="337" totalsRowDxfId="336">
      <calculatedColumnFormula>+SUMIFS(Soportes[Soportes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52" xr3:uid="{00000000-0010-0000-0800-000034000000}" name="Ejecución Plan de actividades_x000a_Marzo" dataDxfId="335" totalsRowDxfId="334">
      <calculatedColumnFormula>+SUMIFS(Soportes[Soportes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53" xr3:uid="{00000000-0010-0000-0800-000035000000}" name="Ejecución Plan de actividades_x000a_Abril" dataDxfId="333" totalsRowDxfId="332">
      <calculatedColumnFormula>+SUMIFS(Soportes[Soportes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54" xr3:uid="{00000000-0010-0000-0800-000036000000}" name="Ejecución Plan de actividades_x000a_Mayo" dataDxfId="331" totalsRowDxfId="330">
      <calculatedColumnFormula>+SUMIFS(Soportes[Soportes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55" xr3:uid="{00000000-0010-0000-0800-000037000000}" name="Ejecución Plan de actividades_x000a_Junio" dataDxfId="329" totalsRowDxfId="328">
      <calculatedColumnFormula>+SUMIFS(Soportes[Soportes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56" xr3:uid="{00000000-0010-0000-0800-000038000000}" name="Ejecución Plan de actividades_x000a_Julio" dataDxfId="327" totalsRowDxfId="326">
      <calculatedColumnFormula>+SUMIFS(Soportes[Soportes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57" xr3:uid="{00000000-0010-0000-0800-000039000000}" name="Ejecución Plan de actividades_x000a_Agosto" dataDxfId="325" totalsRowDxfId="324">
      <calculatedColumnFormula>+SUMIFS(Soportes[Soportes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58" xr3:uid="{00000000-0010-0000-0800-00003A000000}" name="Ejecución Plan de actividades_x000a_Septiembre" dataDxfId="323" totalsRowDxfId="322">
      <calculatedColumnFormula>+SUMIFS(Soportes[Soportes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59" xr3:uid="{00000000-0010-0000-0800-00003B000000}" name="Ejecución Plan de actividades_x000a_Octubre" dataDxfId="321" totalsRowDxfId="320">
      <calculatedColumnFormula>+SUMIFS(Soportes[Soportes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60" xr3:uid="{00000000-0010-0000-0800-00003C000000}" name="Ejecución Plan de actividades_x000a_Noviembre" dataDxfId="319" totalsRowDxfId="318">
      <calculatedColumnFormula>+SUMIFS(Soportes[Soportes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61" xr3:uid="{00000000-0010-0000-0800-00003D000000}" name="Ejecución Plan de actividades_x000a_Diciembre" dataDxfId="317" totalsRowDxfId="316">
      <calculatedColumnFormula>+SUMIFS(Soportes[Soportes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calculatedColumnFormula>
    </tableColumn>
    <tableColumn id="62" xr3:uid="{00000000-0010-0000-0800-00003E000000}" name="Total Ejecutado plan de actividades" dataDxfId="315" totalsRowDxfId="314">
      <calculatedColumnFormula>+SUM(Tareas[[#This Row],[Ejecución Plan de actividades
Enero]:[Ejecución Plan de actividades
Diciembre]])</calculatedColumnFormula>
    </tableColumn>
    <tableColumn id="63" xr3:uid="{00000000-0010-0000-0800-00003F000000}" name="Población atendida enero" totalsRowFunction="sum" dataDxfId="313" totalsRowDxfId="312"/>
    <tableColumn id="64" xr3:uid="{00000000-0010-0000-0800-000040000000}" name="Población atendida febrero" totalsRowFunction="sum" dataDxfId="311" totalsRowDxfId="310"/>
    <tableColumn id="65" xr3:uid="{00000000-0010-0000-0800-000041000000}" name="Población atendida marzo" totalsRowFunction="sum" dataDxfId="309" totalsRowDxfId="308"/>
    <tableColumn id="66" xr3:uid="{00000000-0010-0000-0800-000042000000}" name="Población atendida abril" totalsRowFunction="sum" dataDxfId="307" totalsRowDxfId="306"/>
    <tableColumn id="67" xr3:uid="{00000000-0010-0000-0800-000043000000}" name="Población atendida mayo" totalsRowFunction="sum" dataDxfId="305" totalsRowDxfId="304"/>
    <tableColumn id="68" xr3:uid="{00000000-0010-0000-0800-000044000000}" name="Población atendida junio" totalsRowFunction="sum" dataDxfId="303" totalsRowDxfId="302"/>
    <tableColumn id="69" xr3:uid="{00000000-0010-0000-0800-000045000000}" name="Población atendida julio" totalsRowFunction="sum" dataDxfId="301" totalsRowDxfId="300"/>
    <tableColumn id="70" xr3:uid="{00000000-0010-0000-0800-000046000000}" name="Población atendida agosto" totalsRowFunction="sum" dataDxfId="299" totalsRowDxfId="298"/>
    <tableColumn id="71" xr3:uid="{00000000-0010-0000-0800-000047000000}" name="Población atendida septiembre" totalsRowFunction="sum" dataDxfId="297" totalsRowDxfId="296"/>
    <tableColumn id="72" xr3:uid="{00000000-0010-0000-0800-000048000000}" name="Población atendida octubre" totalsRowFunction="sum" dataDxfId="295" totalsRowDxfId="294"/>
    <tableColumn id="73" xr3:uid="{00000000-0010-0000-0800-000049000000}" name="Población atendida noviembre" totalsRowFunction="sum" dataDxfId="293" totalsRowDxfId="292"/>
    <tableColumn id="74" xr3:uid="{00000000-0010-0000-0800-00004A000000}" name="Población atendida diciembre" totalsRowFunction="sum" dataDxfId="291" totalsRowDxfId="290"/>
    <tableColumn id="75" xr3:uid="{00000000-0010-0000-0800-00004B000000}" name="Total  de Población atendida" totalsRowFunction="sum" dataDxfId="289" totalsRowDxfId="288">
      <calculatedColumnFormula>SUM(Tareas[[#This Row],[Población atendida enero]:[Población atendida diciembre]])</calculatedColumnFormula>
    </tableColumn>
    <tableColumn id="77" xr3:uid="{00000000-0010-0000-0800-00004D000000}" name="Porcentaje de avance Tarea vigencia" dataDxfId="287" totalsRowDxfId="286">
      <calculatedColumnFormula>IFERROR(Tareas[[#This Row],[Total Ejecutado plan de actividades]]/Tareas[[#This Row],[Total programado plan de actividades]],"No Programado")</calculatedColumnFormula>
    </tableColumn>
    <tableColumn id="78" xr3:uid="{00000000-0010-0000-0800-00004E000000}" name="Porcentaje de avance Población Vigencia" dataDxfId="285" totalsRowDxfId="284">
      <calculatedColumnFormula>IFERROR(Tareas[[#This Row],[Total  de Población atendida]]/Tareas[[#This Row],[Total  de Población programada]],"No Aplica")</calculatedColumnFormula>
    </tableColumn>
    <tableColumn id="4" xr3:uid="{00000000-0010-0000-0800-000004000000}" name="OBSERVACIONES" dataDxfId="283" totalsRowDxfId="282"/>
  </tableColumns>
  <tableStyleInfo name="TableStyleLight1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Soportes" displayName="Soportes" ref="D17:AU61" totalsRowCount="1" headerRowDxfId="281" dataDxfId="280" totalsRowDxfId="279">
  <autoFilter ref="D17:AU60" xr:uid="{00000000-0009-0000-0100-00000A000000}"/>
  <tableColumns count="44">
    <tableColumn id="1" xr3:uid="{00000000-0010-0000-0900-000001000000}" name="ID Soportes" totalsRowLabel="Total" dataDxfId="278" totalsRowDxfId="277">
      <calculatedColumnFormula>Soportes[[#This Row],[Código proyecto]]&amp;Soportes[[#This Row],[No Meta proyecto]]&amp;Soportes[[#This Row],[N° de Actividad
(Consecutivo por meta)]]&amp;Soportes[[#This Row],[N° de tarea]]&amp;Soportes[[#This Row],[N° de Soporte]]</calculatedColumnFormula>
    </tableColumn>
    <tableColumn id="2" xr3:uid="{00000000-0010-0000-0900-000002000000}" name="Código proyecto" dataDxfId="276" totalsRowDxfId="275">
      <calculatedColumnFormula>Proyecto!$B$19</calculatedColumnFormula>
    </tableColumn>
    <tableColumn id="3" xr3:uid="{00000000-0010-0000-0900-000003000000}" name="Nombre proyecto de inversión" dataDxfId="274" totalsRowDxfId="273">
      <calculatedColumnFormula>Proyecto!$D$19</calculatedColumnFormula>
    </tableColumn>
    <tableColumn id="6" xr3:uid="{00000000-0010-0000-0900-000006000000}" name="Código producto MGA" dataDxfId="272" totalsRowDxfId="271"/>
    <tableColumn id="7" xr3:uid="{00000000-0010-0000-0900-000007000000}" name="Nombre Producto MGA" dataDxfId="270" totalsRowDxfId="269"/>
    <tableColumn id="8" xr3:uid="{00000000-0010-0000-0900-000008000000}" name="No Meta proyecto" dataDxfId="268" totalsRowDxfId="267"/>
    <tableColumn id="9" xr3:uid="{00000000-0010-0000-0900-000009000000}" name="Descripción meta proyecto de inversión" dataDxfId="266" totalsRowDxfId="265">
      <calculatedColumnFormula>VLOOKUP(A18,ESTRATÉGICO!$C$3:$AA$110,14,0)</calculatedColumnFormula>
    </tableColumn>
    <tableColumn id="10" xr3:uid="{00000000-0010-0000-0900-00000A000000}" name="N° de Actividad_x000a_(Consecutivo por meta)" dataDxfId="264" totalsRowDxfId="263"/>
    <tableColumn id="11" xr3:uid="{00000000-0010-0000-0900-00000B000000}" name="Descripción de la Actividad" dataDxfId="262" totalsRowDxfId="261">
      <calculatedColumnFormula>VLOOKUP(B18,Actividades!$B$18:$I$35,8,0)</calculatedColumnFormula>
    </tableColumn>
    <tableColumn id="12" xr3:uid="{00000000-0010-0000-0900-00000C000000}" name="N° de tarea" dataDxfId="260" totalsRowDxfId="259"/>
    <tableColumn id="13" xr3:uid="{00000000-0010-0000-0900-00000D000000}" name="Descripción de la tarea" dataDxfId="258" totalsRowDxfId="257">
      <calculatedColumnFormula>VLOOKUP(C18,Tareas!$C$18:$K$58,9,0)</calculatedColumnFormula>
    </tableColumn>
    <tableColumn id="14" xr3:uid="{00000000-0010-0000-0900-00000E000000}" name="N° de Soporte" dataDxfId="256" totalsRowDxfId="255"/>
    <tableColumn id="15" xr3:uid="{00000000-0010-0000-0900-00000F000000}" name="Nombre del soporte" dataDxfId="254" totalsRowDxfId="253"/>
    <tableColumn id="47" xr3:uid="{00000000-0010-0000-0900-00002F000000}" name="¿El soporte contribuye a un producto MGA? _x000a_SI/NO" dataDxfId="252" totalsRowDxfId="251"/>
    <tableColumn id="16" xr3:uid="{00000000-0010-0000-0900-000010000000}" name="Contenido del soporte" dataDxfId="250" totalsRowDxfId="249"/>
    <tableColumn id="17" xr3:uid="{00000000-0010-0000-0900-000011000000}" name="Ponderación del soporte para la tarea ( la suma de los % debe dar 100% para la tarea))" totalsRowFunction="sum" dataDxfId="248" totalsRowDxfId="247"/>
    <tableColumn id="18" xr3:uid="{00000000-0010-0000-0900-000012000000}" name="Programación Plan de actividades_x000a_Enero" dataDxfId="246" totalsRowDxfId="245"/>
    <tableColumn id="19" xr3:uid="{00000000-0010-0000-0900-000013000000}" name="Programación Plan de actividades_x000a_Febrero" dataDxfId="244" totalsRowDxfId="243"/>
    <tableColumn id="20" xr3:uid="{00000000-0010-0000-0900-000014000000}" name="Programación Plan de actividades_x000a_Marzo" dataDxfId="242" totalsRowDxfId="241"/>
    <tableColumn id="21" xr3:uid="{00000000-0010-0000-0900-000015000000}" name="Programación Plan de actividades_x000a_Abril" dataDxfId="240" totalsRowDxfId="239"/>
    <tableColumn id="22" xr3:uid="{00000000-0010-0000-0900-000016000000}" name="Programación Plan de actividades_x000a_Mayo" dataDxfId="238" totalsRowDxfId="237"/>
    <tableColumn id="23" xr3:uid="{00000000-0010-0000-0900-000017000000}" name="Programación Plan de actividades_x000a_Junio" dataDxfId="236" totalsRowDxfId="235"/>
    <tableColumn id="24" xr3:uid="{00000000-0010-0000-0900-000018000000}" name="Programación Plan de actividades_x000a_Julio" dataDxfId="234" totalsRowDxfId="233"/>
    <tableColumn id="25" xr3:uid="{00000000-0010-0000-0900-000019000000}" name="Programación Plan de actividades_x000a_Agosto" dataDxfId="232" totalsRowDxfId="231"/>
    <tableColumn id="26" xr3:uid="{00000000-0010-0000-0900-00001A000000}" name="Programación Plan de actividades_x000a_Septiembre" dataDxfId="230" totalsRowDxfId="229"/>
    <tableColumn id="27" xr3:uid="{00000000-0010-0000-0900-00001B000000}" name="Programación Plan de actividades_x000a_Octubre" dataDxfId="228" totalsRowDxfId="227"/>
    <tableColumn id="28" xr3:uid="{00000000-0010-0000-0900-00001C000000}" name="Programación Plan de actividades_x000a_Noviembre" dataDxfId="226" totalsRowDxfId="225"/>
    <tableColumn id="29" xr3:uid="{00000000-0010-0000-0900-00001D000000}" name="Programación Plan de actividades_x000a_Diciembre" dataDxfId="224" totalsRowDxfId="223"/>
    <tableColumn id="30" xr3:uid="{00000000-0010-0000-0900-00001E000000}" name="Total programado plan de actividades" totalsRowFunction="sum" dataDxfId="222" totalsRowDxfId="221">
      <calculatedColumnFormula>SUM(Soportes[[#This Row],[Programación Plan de actividades
Enero]:[Programación Plan de actividades
Diciembre]])</calculatedColumnFormula>
    </tableColumn>
    <tableColumn id="31" xr3:uid="{00000000-0010-0000-0900-00001F000000}" name="Validación (El total de la programación vigencia, debe ser igual al valor ponderado para la tarea)" totalsRowFunction="count" dataDxfId="220" totalsRowDxfId="219">
      <calculatedColumnFormula>IF(AF18=S18,"Programación correcta","Revisar programación")</calculatedColumnFormula>
    </tableColumn>
    <tableColumn id="32" xr3:uid="{00000000-0010-0000-0900-000020000000}" name="Soportes entregados Plan de actividades_x000a_Enero" dataDxfId="218" totalsRowDxfId="217">
      <calculatedColumnFormula>EJECUCIÓN!O61</calculatedColumnFormula>
    </tableColumn>
    <tableColumn id="33" xr3:uid="{00000000-0010-0000-0900-000021000000}" name="Soportes entregados Plan de actividades_x000a_Febrero" dataDxfId="216" totalsRowDxfId="215">
      <calculatedColumnFormula>EJECUCIÓN!Q61</calculatedColumnFormula>
    </tableColumn>
    <tableColumn id="34" xr3:uid="{00000000-0010-0000-0900-000022000000}" name="Soportes entregados Plan de actividades_x000a_Marzo" dataDxfId="214" totalsRowDxfId="213">
      <calculatedColumnFormula>EJECUCIÓN!S61</calculatedColumnFormula>
    </tableColumn>
    <tableColumn id="35" xr3:uid="{00000000-0010-0000-0900-000023000000}" name="Soportes entregados Plan de actividades_x000a_Abril" dataDxfId="212" totalsRowDxfId="211">
      <calculatedColumnFormula>EJECUCIÓN!U61</calculatedColumnFormula>
    </tableColumn>
    <tableColumn id="36" xr3:uid="{00000000-0010-0000-0900-000024000000}" name="Soportes entregados Plan de actividades_x000a_Mayo" dataDxfId="210" totalsRowDxfId="209">
      <calculatedColumnFormula>EJECUCIÓN!W61</calculatedColumnFormula>
    </tableColumn>
    <tableColumn id="37" xr3:uid="{00000000-0010-0000-0900-000025000000}" name="Soportes entregados Plan de actividades_x000a_Junio" dataDxfId="208" totalsRowDxfId="207">
      <calculatedColumnFormula>EJECUCIÓN!Y61</calculatedColumnFormula>
    </tableColumn>
    <tableColumn id="38" xr3:uid="{00000000-0010-0000-0900-000026000000}" name="Soportes entregados Plan de actividades_x000a_Julio" dataDxfId="206" totalsRowDxfId="205">
      <calculatedColumnFormula>EJECUCIÓN!AA61</calculatedColumnFormula>
    </tableColumn>
    <tableColumn id="39" xr3:uid="{00000000-0010-0000-0900-000027000000}" name="Soportes entregados Plan de actividades_x000a_Agosto" dataDxfId="204" totalsRowDxfId="203">
      <calculatedColumnFormula>EJECUCIÓN!AC61</calculatedColumnFormula>
    </tableColumn>
    <tableColumn id="40" xr3:uid="{00000000-0010-0000-0900-000028000000}" name="Soportes entregados Plan de actividades_x000a_Septiembre" dataDxfId="202" totalsRowDxfId="201">
      <calculatedColumnFormula>EJECUCIÓN!AE61</calculatedColumnFormula>
    </tableColumn>
    <tableColumn id="41" xr3:uid="{00000000-0010-0000-0900-000029000000}" name="Soportes entregados Plan de actividades_x000a_Octubre" dataDxfId="200" totalsRowDxfId="199">
      <calculatedColumnFormula>EJECUCIÓN!AG61</calculatedColumnFormula>
    </tableColumn>
    <tableColumn id="42" xr3:uid="{00000000-0010-0000-0900-00002A000000}" name="Soportes entregados Plan de actividades_x000a_Noviembre" dataDxfId="198" totalsRowDxfId="197">
      <calculatedColumnFormula>EJECUCIÓN!AI61</calculatedColumnFormula>
    </tableColumn>
    <tableColumn id="43" xr3:uid="{00000000-0010-0000-0900-00002B000000}" name="Soportes entregados Plan de actividades_x000a_Diciembre" dataDxfId="196" totalsRowDxfId="195">
      <calculatedColumnFormula>EJECUCIÓN!AK61</calculatedColumnFormula>
    </tableColumn>
    <tableColumn id="44" xr3:uid="{00000000-0010-0000-0900-00002C000000}" name="Total Ejecutado plan de actividades" totalsRowFunction="sum" dataDxfId="194" totalsRowDxfId="193">
      <calculatedColumnFormula>SUM(Soportes[[#This Row],[Soportes entregados Plan de actividades
Enero]:[Soportes entregados Plan de actividades
Diciembre]])</calculatedColumnFormula>
    </tableColumn>
    <tableColumn id="45" xr3:uid="{00000000-0010-0000-0900-00002D000000}" name="Porcentaje de cumplimiento entrega de soporte" dataDxfId="192" totalsRowDxfId="191">
      <calculatedColumnFormula>+Soportes[[#This Row],[Total Ejecutado plan de actividades]]/Soportes[[#This Row],[Total programado plan de actividades]]</calculatedColumnFormula>
    </tableColumn>
  </tableColumns>
  <tableStyleInfo name="TableStyleLight1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erritorialización" displayName="Territorialización" ref="B18:BQ61" totalsRowCount="1" headerRowDxfId="190" dataDxfId="189" totalsRowDxfId="188">
  <autoFilter ref="B18:BQ60" xr:uid="{00000000-0009-0000-0100-00000C000000}">
    <filterColumn colId="3">
      <filters>
        <filter val="6"/>
      </filters>
    </filterColumn>
  </autoFilter>
  <tableColumns count="68">
    <tableColumn id="1" xr3:uid="{00000000-0010-0000-0A00-000001000000}" name="ID Meta Proyecto localidad" totalsRowLabel="Total" dataDxfId="187" totalsRowDxfId="186">
      <calculatedColumnFormula>C19&amp;E19&amp;"-"&amp;G19</calculatedColumnFormula>
    </tableColumn>
    <tableColumn id="2" xr3:uid="{00000000-0010-0000-0A00-000002000000}" name="Código proyecto" dataDxfId="185" totalsRowDxfId="184">
      <calculatedColumnFormula>Proyecto!$B$19</calculatedColumnFormula>
    </tableColumn>
    <tableColumn id="3" xr3:uid="{00000000-0010-0000-0A00-000003000000}" name="Nombre proyecto de inversión" dataDxfId="183" totalsRowDxfId="182">
      <calculatedColumnFormula>Proyecto!$D$19</calculatedColumnFormula>
    </tableColumn>
    <tableColumn id="8" xr3:uid="{00000000-0010-0000-0A00-000008000000}" name="No Meta proyecto" dataDxfId="181" totalsRowDxfId="180"/>
    <tableColumn id="9" xr3:uid="{00000000-0010-0000-0A00-000009000000}" name="Descripción meta proyecto de inversión" dataDxfId="179" totalsRowDxfId="178">
      <calculatedColumnFormula>VLOOKUP(A19,ESTRATÉGICO!$C$3:$AA$110,14,0)</calculatedColumnFormula>
    </tableColumn>
    <tableColumn id="10" xr3:uid="{00000000-0010-0000-0A00-00000A000000}" name="No. Localidad" dataDxfId="177" totalsRowDxfId="176"/>
    <tableColumn id="11" xr3:uid="{00000000-0010-0000-0A00-00000B000000}" name="Localidad" dataDxfId="175" totalsRowDxfId="174">
      <calculatedColumnFormula>VLOOKUP(Territorialización[[#This Row],[No. Localidad]],LISTAS!$F$1:$G$22,2,0)</calculatedColumnFormula>
    </tableColumn>
    <tableColumn id="12" xr3:uid="{00000000-0010-0000-0A00-00000C000000}" name="Código SIRBE" dataDxfId="173" totalsRowDxfId="172">
      <calculatedColumnFormula>IFERROR(VLOOKUP([2]!Territorialización[[#This Row],[No. Localidad]],[2]Listas!$F$96:$H$117,3,0),"...")</calculatedColumnFormula>
    </tableColumn>
    <tableColumn id="13" xr3:uid="{00000000-0010-0000-0A00-00000D000000}" name="Código Shape File" dataDxfId="171" totalsRowDxfId="170"/>
    <tableColumn id="14" xr3:uid="{00000000-0010-0000-0A00-00000E000000}" name="Código SEVEN" dataDxfId="169" totalsRowDxfId="168"/>
    <tableColumn id="15" xr3:uid="{00000000-0010-0000-0A00-00000F000000}" name="Nombre punto de inversión (Unidades operativas)" dataDxfId="167" totalsRowDxfId="166"/>
    <tableColumn id="16" xr3:uid="{00000000-0010-0000-0A00-000010000000}" name="Código servicio SEVEN" dataDxfId="165" totalsRowDxfId="164"/>
    <tableColumn id="17" xr3:uid="{00000000-0010-0000-0A00-000011000000}" name="Servicio" dataDxfId="163" totalsRowDxfId="162"/>
    <tableColumn id="18" xr3:uid="{00000000-0010-0000-0A00-000012000000}" name="Modalidad de servicio" dataDxfId="161" totalsRowDxfId="160"/>
    <tableColumn id="19" xr3:uid="{00000000-0010-0000-0A00-000013000000}" name="Magnitud vigencia (Programación)" totalsRowFunction="sum" dataDxfId="159" totalsRowDxfId="158"/>
    <tableColumn id="20" xr3:uid="{00000000-0010-0000-0A00-000014000000}" name="Recursos vigencia (Programación)" totalsRowFunction="sum" dataDxfId="157" totalsRowDxfId="156" dataCellStyle="Moneda"/>
    <tableColumn id="21" xr3:uid="{00000000-0010-0000-0A00-000015000000}" name="Recursos Reservas (Programación)" totalsRowFunction="sum" dataDxfId="155" totalsRowDxfId="154" dataCellStyle="Moneda"/>
    <tableColumn id="49" xr3:uid="{00000000-0010-0000-0A00-000031000000}" name="Magnitud vigencia (Ejecución)" totalsRowFunction="sum" dataDxfId="153" totalsRowDxfId="152"/>
    <tableColumn id="48" xr3:uid="{00000000-0010-0000-0A00-000030000000}" name="Recursos vigencia (Ejecución)" totalsRowFunction="sum" dataDxfId="151" totalsRowDxfId="150"/>
    <tableColumn id="47" xr3:uid="{00000000-0010-0000-0A00-00002F000000}" name="Recursos Reservas (Ejecución)" totalsRowFunction="sum" dataDxfId="149" totalsRowDxfId="148" dataCellStyle="Moneda"/>
    <tableColumn id="22" xr3:uid="{00000000-0010-0000-0A00-000016000000}" name="HOMBRES 0-5 Programación" totalsRowFunction="sum" dataDxfId="147" totalsRowDxfId="146"/>
    <tableColumn id="23" xr3:uid="{00000000-0010-0000-0A00-000017000000}" name="MUJERES 0-5 Programación" totalsRowFunction="sum" dataDxfId="145" totalsRowDxfId="144"/>
    <tableColumn id="24" xr3:uid="{00000000-0010-0000-0A00-000018000000}" name="INTERSEXUAL 0-5 Programación" totalsRowFunction="sum" dataDxfId="143" totalsRowDxfId="142"/>
    <tableColumn id="25" xr3:uid="{00000000-0010-0000-0A00-000019000000}" name="HOMBRES 6-12 Programación" totalsRowFunction="sum" dataDxfId="141" totalsRowDxfId="140"/>
    <tableColumn id="26" xr3:uid="{00000000-0010-0000-0A00-00001A000000}" name="MUJERES 6-12 Programación" totalsRowFunction="sum" dataDxfId="139" totalsRowDxfId="138"/>
    <tableColumn id="27" xr3:uid="{00000000-0010-0000-0A00-00001B000000}" name="INTERSEXUAL 6-12 Programación" totalsRowFunction="sum" dataDxfId="137" totalsRowDxfId="136"/>
    <tableColumn id="28" xr3:uid="{00000000-0010-0000-0A00-00001C000000}" name="HOMBRES 13-17 Programación" totalsRowFunction="sum" dataDxfId="135" totalsRowDxfId="134"/>
    <tableColumn id="29" xr3:uid="{00000000-0010-0000-0A00-00001D000000}" name="MUJERES 13-17 Programación" totalsRowFunction="sum" dataDxfId="133" totalsRowDxfId="132"/>
    <tableColumn id="30" xr3:uid="{00000000-0010-0000-0A00-00001E000000}" name="INTERSEXUAL 13-17 Programación" totalsRowFunction="sum" dataDxfId="131" totalsRowDxfId="130"/>
    <tableColumn id="31" xr3:uid="{00000000-0010-0000-0A00-00001F000000}" name="HOMBRES 18-26 Programación" totalsRowFunction="sum" dataDxfId="129" totalsRowDxfId="128"/>
    <tableColumn id="32" xr3:uid="{00000000-0010-0000-0A00-000020000000}" name="MUJERES 18-26 Programación" totalsRowFunction="sum" dataDxfId="127" totalsRowDxfId="126"/>
    <tableColumn id="33" xr3:uid="{00000000-0010-0000-0A00-000021000000}" name="INTERSEXUAL 18-26 Programación" dataDxfId="125" totalsRowDxfId="124"/>
    <tableColumn id="34" xr3:uid="{00000000-0010-0000-0A00-000022000000}" name="HOMBRES 27-59 Programación" dataDxfId="123" totalsRowDxfId="122"/>
    <tableColumn id="35" xr3:uid="{00000000-0010-0000-0A00-000023000000}" name="MUJERES 27-59 Programación" dataDxfId="121" totalsRowDxfId="120"/>
    <tableColumn id="36" xr3:uid="{00000000-0010-0000-0A00-000024000000}" name="INTERSEXUAL 27-59 Programación" dataDxfId="119" totalsRowDxfId="118"/>
    <tableColumn id="37" xr3:uid="{00000000-0010-0000-0A00-000025000000}" name="HOMBRES +60 Programación" dataDxfId="117" totalsRowDxfId="116"/>
    <tableColumn id="38" xr3:uid="{00000000-0010-0000-0A00-000026000000}" name="MUJERES +60 Programación" dataDxfId="115" totalsRowDxfId="114"/>
    <tableColumn id="39" xr3:uid="{00000000-0010-0000-0A00-000027000000}" name="INTERSEXUAL +60 Programación" dataDxfId="113" totalsRowDxfId="112"/>
    <tableColumn id="40" xr3:uid="{00000000-0010-0000-0A00-000028000000}" name="HOMBRES SD Programación" dataDxfId="111" totalsRowDxfId="110"/>
    <tableColumn id="41" xr3:uid="{00000000-0010-0000-0A00-000029000000}" name="MUJERES SD Programación" dataDxfId="109" totalsRowDxfId="108"/>
    <tableColumn id="42" xr3:uid="{00000000-0010-0000-0A00-00002A000000}" name="INTERSEXUAL SD Programación" dataDxfId="107" totalsRowDxfId="106"/>
    <tableColumn id="43" xr3:uid="{00000000-0010-0000-0A00-00002B000000}" name="HOMBRES Total Programación" totalsRowFunction="sum" dataDxfId="105" totalsRowDxfId="104">
      <calculatedColumnFormula>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calculatedColumnFormula>
    </tableColumn>
    <tableColumn id="44" xr3:uid="{00000000-0010-0000-0A00-00002C000000}" name="MUJERES Total Programación" totalsRowFunction="sum" dataDxfId="103" totalsRowDxfId="102">
      <calculatedColumnFormula>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calculatedColumnFormula>
    </tableColumn>
    <tableColumn id="45" xr3:uid="{00000000-0010-0000-0A00-00002D000000}" name="INTERSEXUAL Total Programación" totalsRowFunction="sum" dataDxfId="101" totalsRowDxfId="100">
      <calculatedColumnFormula>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calculatedColumnFormula>
    </tableColumn>
    <tableColumn id="50" xr3:uid="{00000000-0010-0000-0A00-000032000000}" name="HOMBRES 0-5 Ejecución" totalsRowFunction="sum" dataDxfId="99" totalsRowDxfId="98"/>
    <tableColumn id="51" xr3:uid="{00000000-0010-0000-0A00-000033000000}" name="MUJERES 0-5 Ejecución" totalsRowFunction="sum" dataDxfId="97" totalsRowDxfId="96"/>
    <tableColumn id="52" xr3:uid="{00000000-0010-0000-0A00-000034000000}" name="INTERSEXUAL 0-5  Ejecución" totalsRowFunction="sum" dataDxfId="95" totalsRowDxfId="94"/>
    <tableColumn id="53" xr3:uid="{00000000-0010-0000-0A00-000035000000}" name="HOMBRES 6-12  Ejecución" totalsRowFunction="sum" dataDxfId="93" totalsRowDxfId="92"/>
    <tableColumn id="54" xr3:uid="{00000000-0010-0000-0A00-000036000000}" name="MUJERES 6-12  Ejecución" totalsRowFunction="sum" dataDxfId="91" totalsRowDxfId="90"/>
    <tableColumn id="55" xr3:uid="{00000000-0010-0000-0A00-000037000000}" name="INTERSEXUAL 6-12  Ejecución" totalsRowFunction="sum" dataDxfId="89" totalsRowDxfId="88"/>
    <tableColumn id="56" xr3:uid="{00000000-0010-0000-0A00-000038000000}" name="HOMBRES 13-17  Ejecución" totalsRowFunction="sum" dataDxfId="87" totalsRowDxfId="86"/>
    <tableColumn id="57" xr3:uid="{00000000-0010-0000-0A00-000039000000}" name="MUJERES 13-17  Ejecución" totalsRowFunction="sum" dataDxfId="85" totalsRowDxfId="84"/>
    <tableColumn id="58" xr3:uid="{00000000-0010-0000-0A00-00003A000000}" name="INTERSEXUAL 13-17  Ejecución" totalsRowFunction="sum" dataDxfId="83" totalsRowDxfId="82"/>
    <tableColumn id="59" xr3:uid="{00000000-0010-0000-0A00-00003B000000}" name="HOMBRES 18-26  Ejecución" totalsRowFunction="sum" dataDxfId="81" totalsRowDxfId="80"/>
    <tableColumn id="60" xr3:uid="{00000000-0010-0000-0A00-00003C000000}" name="MUJERES 18-26  Ejecución" totalsRowFunction="sum" dataDxfId="79" totalsRowDxfId="78"/>
    <tableColumn id="61" xr3:uid="{00000000-0010-0000-0A00-00003D000000}" name="INTERSEXUAL 18-26  Ejecución" totalsRowFunction="sum" dataDxfId="77" totalsRowDxfId="76"/>
    <tableColumn id="62" xr3:uid="{00000000-0010-0000-0A00-00003E000000}" name="HOMBRES 27-59  Ejecución" totalsRowFunction="sum" dataDxfId="75" totalsRowDxfId="74"/>
    <tableColumn id="63" xr3:uid="{00000000-0010-0000-0A00-00003F000000}" name="MUJERES 27-59  Ejecución" totalsRowFunction="sum" dataDxfId="73" totalsRowDxfId="72"/>
    <tableColumn id="64" xr3:uid="{00000000-0010-0000-0A00-000040000000}" name="INTERSEXUAL 27-59  Ejecución" totalsRowFunction="sum" dataDxfId="71" totalsRowDxfId="70"/>
    <tableColumn id="65" xr3:uid="{00000000-0010-0000-0A00-000041000000}" name="HOMBRES +60  Ejecución" totalsRowFunction="sum" dataDxfId="69" totalsRowDxfId="68"/>
    <tableColumn id="66" xr3:uid="{00000000-0010-0000-0A00-000042000000}" name="MUJERES +60  Ejecución" totalsRowFunction="sum" dataDxfId="67" totalsRowDxfId="66"/>
    <tableColumn id="67" xr3:uid="{00000000-0010-0000-0A00-000043000000}" name="INTERSEXUAL +60  Ejecución" totalsRowFunction="sum" dataDxfId="65" totalsRowDxfId="64"/>
    <tableColumn id="68" xr3:uid="{00000000-0010-0000-0A00-000044000000}" name="HOMBRES SD   Ejecución" totalsRowFunction="sum" dataDxfId="63" totalsRowDxfId="62"/>
    <tableColumn id="69" xr3:uid="{00000000-0010-0000-0A00-000045000000}" name="MUJERES SD  Ejecución" totalsRowFunction="sum" dataDxfId="61" totalsRowDxfId="60"/>
    <tableColumn id="70" xr3:uid="{00000000-0010-0000-0A00-000046000000}" name="INTERSEXUAL SD  Ejecución" totalsRowFunction="sum" dataDxfId="59" totalsRowDxfId="58"/>
    <tableColumn id="71" xr3:uid="{00000000-0010-0000-0A00-000047000000}" name="HOMBRES Total  Ejecución" totalsRowFunction="sum" dataDxfId="57" totalsRowDxfId="56">
      <calculatedColumnFormula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calculatedColumnFormula>
    </tableColumn>
    <tableColumn id="72" xr3:uid="{00000000-0010-0000-0A00-000048000000}" name="MUJERES Total  Ejecución" totalsRowFunction="sum" dataDxfId="55" totalsRowDxfId="54">
      <calculatedColumnFormula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calculatedColumnFormula>
    </tableColumn>
    <tableColumn id="73" xr3:uid="{00000000-0010-0000-0A00-000049000000}" name="INTERSEXUAL Total  Ejecución" totalsRowFunction="sum" dataDxfId="53" totalsRowDxfId="52">
      <calculatedColumnFormula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calculatedColumnFormula>
    </tableColumn>
  </tableColumns>
  <tableStyleInfo name="TableStyleLight1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B000000}" name="Directorio" displayName="Directorio" ref="B17:Z674" totalsRowCount="1" headerRowDxfId="51" totalsRowDxfId="50" headerRowCellStyle="Normal 3">
  <autoFilter ref="B17:Z673" xr:uid="{00000000-0009-0000-0100-000011000000}"/>
  <tableColumns count="25">
    <tableColumn id="1" xr3:uid="{00000000-0010-0000-0B00-000001000000}" name="Proyecto" totalsRowLabel="Total" dataDxfId="49" totalsRowDxfId="48" dataCellStyle="Normal 3"/>
    <tableColumn id="2" xr3:uid="{00000000-0010-0000-0B00-000002000000}" name="Código SIRBE" totalsRowFunction="count" dataDxfId="47" totalsRowDxfId="46" dataCellStyle="Normal 3"/>
    <tableColumn id="35" xr3:uid="{00000000-0010-0000-0B00-000023000000}" name="Unidad Operativa" dataDxfId="45" totalsRowDxfId="44" dataCellStyle="Normal 3"/>
    <tableColumn id="3" xr3:uid="{00000000-0010-0000-0B00-000003000000}" name="Dependencia" dataDxfId="43" totalsRowDxfId="42" dataCellStyle="Normal 3"/>
    <tableColumn id="4" xr3:uid="{00000000-0010-0000-0B00-000004000000}" name="Servicio" dataDxfId="41" totalsRowDxfId="40" dataCellStyle="Normal 3"/>
    <tableColumn id="5" xr3:uid="{00000000-0010-0000-0B00-000005000000}" name="Estado" dataDxfId="39" totalsRowDxfId="38"/>
    <tableColumn id="9" xr3:uid="{00000000-0010-0000-0B00-000009000000}" name="Tipo de Operación" dataDxfId="37" totalsRowDxfId="36" dataCellStyle="Normal 3"/>
    <tableColumn id="10" xr3:uid="{00000000-0010-0000-0B00-00000A000000}" name="Tipo de Tenencia" dataDxfId="35" totalsRowDxfId="34" dataCellStyle="Normal 3"/>
    <tableColumn id="11" xr3:uid="{00000000-0010-0000-0B00-00000B000000}" name="Población beneficiaria" dataDxfId="33" totalsRowDxfId="32" dataCellStyle="Normal 3"/>
    <tableColumn id="12" xr3:uid="{00000000-0010-0000-0B00-00000C000000}" name="Estado Según procedimiento" dataDxfId="31" totalsRowDxfId="30"/>
    <tableColumn id="13" xr3:uid="{00000000-0010-0000-0B00-00000D000000}" name="Cupos" dataDxfId="29" totalsRowDxfId="28" dataCellStyle="Normal 3"/>
    <tableColumn id="14" xr3:uid="{00000000-0010-0000-0B00-00000E000000}" name="Dirección SPI" totalsRowFunction="sum" dataDxfId="27" totalsRowDxfId="26" dataCellStyle="Normal 3"/>
    <tableColumn id="15" xr3:uid="{00000000-0010-0000-0B00-00000F000000}" name="Teléfono" dataDxfId="25" totalsRowDxfId="24" dataCellStyle="Normal 3"/>
    <tableColumn id="16" xr3:uid="{00000000-0010-0000-0B00-000010000000}" name="Horario de Atención" dataDxfId="23" totalsRowDxfId="22" dataCellStyle="Normal 3"/>
    <tableColumn id="19" xr3:uid="{00000000-0010-0000-0B00-000013000000}" name="Tipo de unidad" dataDxfId="21" totalsRowDxfId="20" dataCellStyle="Normal 3"/>
    <tableColumn id="18" xr3:uid="{00000000-0010-0000-0B00-000012000000}" name="Observaciones" dataDxfId="19" totalsRowDxfId="18" dataCellStyle="Normal 3"/>
    <tableColumn id="27" xr3:uid="{00000000-0010-0000-0B00-00001B000000}" name="Código Localidad" dataDxfId="17" totalsRowDxfId="16" dataCellStyle="Normal 3"/>
    <tableColumn id="28" xr3:uid="{00000000-0010-0000-0B00-00001C000000}" name="Localidad" dataDxfId="15" totalsRowDxfId="14" dataCellStyle="Normal 3"/>
    <tableColumn id="30" xr3:uid="{00000000-0010-0000-0B00-00001E000000}" name="Código UPZ" dataDxfId="13" totalsRowDxfId="12" dataCellStyle="Normal 3"/>
    <tableColumn id="6" xr3:uid="{00000000-0010-0000-0B00-000006000000}" name="UPZ" dataDxfId="11" totalsRowDxfId="10" dataCellStyle="Normal 3"/>
    <tableColumn id="7" xr3:uid="{00000000-0010-0000-0B00-000007000000}" name="Código séctor Catastral" dataDxfId="9" totalsRowDxfId="8" dataCellStyle="Normal 3"/>
    <tableColumn id="8" xr3:uid="{00000000-0010-0000-0B00-000008000000}" name="Sector Catastral" dataDxfId="7" totalsRowDxfId="6" dataCellStyle="Normal 3"/>
    <tableColumn id="26" xr3:uid="{00000000-0010-0000-0B00-00001A000000}" name="Código Barrio común" dataDxfId="5" totalsRowDxfId="4" dataCellStyle="Normal 3"/>
    <tableColumn id="29" xr3:uid="{00000000-0010-0000-0B00-00001D000000}" name="Barrio común" dataDxfId="3" totalsRowDxfId="2" dataCellStyle="Normal 3"/>
    <tableColumn id="31" xr3:uid="{00000000-0010-0000-0B00-00001F000000}" name="CHIP" dataDxfId="1" totalsRowDxfId="0" dataCellStyle="Normal 3"/>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6" dT="2024-01-12T16:04:55.21" personId="{1D1F3B2F-FDFA-4E78-B294-01A1F9EEF587}" id="{B6D490A0-6418-415A-9E6D-82C4333E178B}">
    <text>MODIFICAR TAREA</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table" Target="../tables/table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theme="7" tint="0.79998168889431442"/>
  </sheetPr>
  <dimension ref="A1:Z470"/>
  <sheetViews>
    <sheetView topLeftCell="I1" workbookViewId="0">
      <selection activeCell="R1" sqref="R1"/>
    </sheetView>
  </sheetViews>
  <sheetFormatPr baseColWidth="10" defaultColWidth="10.90625" defaultRowHeight="14.4" x14ac:dyDescent="0.3"/>
  <cols>
    <col min="1" max="5" width="10.90625" style="165"/>
    <col min="6" max="6" width="18.54296875" style="165" customWidth="1"/>
    <col min="7" max="7" width="11.453125" style="165" customWidth="1"/>
    <col min="8" max="8" width="18.81640625" style="165" customWidth="1"/>
    <col min="9" max="12" width="10.90625" style="165"/>
    <col min="13" max="13" width="14.1796875" style="165" customWidth="1"/>
    <col min="14" max="14" width="19.36328125" style="165" customWidth="1"/>
    <col min="15" max="15" width="23.54296875" style="165" customWidth="1"/>
    <col min="16" max="16" width="18.453125" style="165" customWidth="1"/>
    <col min="17" max="17" width="14.08984375" style="165" customWidth="1"/>
    <col min="18" max="16384" width="10.90625" style="165"/>
  </cols>
  <sheetData>
    <row r="1" spans="1:26" s="181" customFormat="1" x14ac:dyDescent="0.3">
      <c r="A1" s="180" t="s">
        <v>0</v>
      </c>
      <c r="B1" s="179" t="s">
        <v>1</v>
      </c>
      <c r="C1" s="179" t="s">
        <v>2</v>
      </c>
      <c r="D1" s="179" t="s">
        <v>3</v>
      </c>
      <c r="E1" s="179" t="s">
        <v>4</v>
      </c>
      <c r="F1" s="179" t="s">
        <v>5</v>
      </c>
      <c r="G1" s="179" t="s">
        <v>6</v>
      </c>
      <c r="H1" s="179" t="s">
        <v>7</v>
      </c>
      <c r="I1" s="180" t="s">
        <v>8</v>
      </c>
      <c r="K1" s="179" t="s">
        <v>1</v>
      </c>
      <c r="L1" s="179" t="s">
        <v>9</v>
      </c>
      <c r="M1" s="179" t="s">
        <v>10</v>
      </c>
      <c r="N1" s="179" t="s">
        <v>11</v>
      </c>
      <c r="O1" s="179" t="s">
        <v>12</v>
      </c>
      <c r="P1" s="179" t="s">
        <v>13</v>
      </c>
      <c r="Q1" s="179" t="s">
        <v>14</v>
      </c>
      <c r="R1" s="180" t="s">
        <v>15</v>
      </c>
      <c r="T1" s="179"/>
      <c r="U1" s="179"/>
      <c r="V1" s="179"/>
      <c r="W1" s="179"/>
      <c r="X1" s="179"/>
      <c r="Y1" s="179"/>
      <c r="Z1" s="179"/>
    </row>
    <row r="2" spans="1:26" x14ac:dyDescent="0.3">
      <c r="A2" s="165" t="str">
        <f>presuvigencias[[#This Row],[PROYECTO]]&amp;presuvigencias[[#This Row],[METAPDD]]</f>
        <v>7564364</v>
      </c>
      <c r="B2" s="165" t="str">
        <f>presuvigencias[[#This Row],[PROYECTO]]&amp;presuvigencias[[#This Row],[META]]</f>
        <v>75641</v>
      </c>
      <c r="C2" s="166">
        <v>7564</v>
      </c>
      <c r="D2" s="165">
        <v>1</v>
      </c>
      <c r="E2" s="165">
        <f>VLOOKUP(presuvigencias[[#This Row],[LLAVE]],ESTRATÉGICO!$C$3:$R$110,16,0)</f>
        <v>364</v>
      </c>
      <c r="F2" s="165">
        <v>336260668</v>
      </c>
      <c r="G2" s="165">
        <v>214782736.53</v>
      </c>
      <c r="H2" s="165">
        <v>98459767</v>
      </c>
      <c r="I2" s="165">
        <v>2020</v>
      </c>
      <c r="K2" s="165">
        <v>75641</v>
      </c>
      <c r="L2" s="166">
        <v>7564</v>
      </c>
      <c r="M2" s="165">
        <v>1</v>
      </c>
      <c r="N2" s="165">
        <v>116322969.53</v>
      </c>
      <c r="O2" s="165">
        <v>0</v>
      </c>
      <c r="P2" s="165">
        <v>116322969.53</v>
      </c>
      <c r="Q2" s="165">
        <v>114865776.59999999</v>
      </c>
      <c r="R2" s="165">
        <v>2021</v>
      </c>
    </row>
    <row r="3" spans="1:26" x14ac:dyDescent="0.3">
      <c r="A3" s="165" t="str">
        <f>presuvigencias[[#This Row],[PROYECTO]]&amp;presuvigencias[[#This Row],[METAPDD]]</f>
        <v>7564364</v>
      </c>
      <c r="B3" s="165" t="str">
        <f>presuvigencias[[#This Row],[PROYECTO]]&amp;presuvigencias[[#This Row],[META]]</f>
        <v>75642</v>
      </c>
      <c r="C3" s="167">
        <v>7564</v>
      </c>
      <c r="D3" s="165">
        <v>2</v>
      </c>
      <c r="E3" s="165">
        <f>VLOOKUP(presuvigencias[[#This Row],[LLAVE]],ESTRATÉGICO!$C$3:$R$110,16,0)</f>
        <v>364</v>
      </c>
      <c r="F3" s="165">
        <v>4923568789</v>
      </c>
      <c r="G3" s="165">
        <v>3826439761.4699998</v>
      </c>
      <c r="H3" s="165">
        <v>1378284681</v>
      </c>
      <c r="I3" s="165">
        <v>2020</v>
      </c>
      <c r="K3" s="165">
        <v>75642</v>
      </c>
      <c r="L3" s="167">
        <v>7564</v>
      </c>
      <c r="M3" s="165">
        <v>2</v>
      </c>
      <c r="N3" s="165">
        <v>2448155080.4700003</v>
      </c>
      <c r="O3" s="165">
        <v>32352212</v>
      </c>
      <c r="P3" s="165">
        <v>2415802868.4700003</v>
      </c>
      <c r="Q3" s="165">
        <v>2414541876.4000001</v>
      </c>
      <c r="R3" s="165">
        <v>2021</v>
      </c>
    </row>
    <row r="4" spans="1:26" x14ac:dyDescent="0.3">
      <c r="A4" s="165" t="str">
        <f>presuvigencias[[#This Row],[PROYECTO]]&amp;presuvigencias[[#This Row],[METAPDD]]</f>
        <v>756562</v>
      </c>
      <c r="B4" s="165" t="str">
        <f>presuvigencias[[#This Row],[PROYECTO]]&amp;presuvigencias[[#This Row],[META]]</f>
        <v>75651</v>
      </c>
      <c r="C4" s="166">
        <v>7565</v>
      </c>
      <c r="D4" s="165">
        <v>1</v>
      </c>
      <c r="E4" s="165">
        <f>VLOOKUP(presuvigencias[[#This Row],[LLAVE]],ESTRATÉGICO!$C$3:$R$110,16,0)</f>
        <v>62</v>
      </c>
      <c r="F4" s="165">
        <v>11934063098</v>
      </c>
      <c r="G4" s="165">
        <v>11542392613</v>
      </c>
      <c r="H4" s="165">
        <v>994998208</v>
      </c>
      <c r="I4" s="165">
        <v>2020</v>
      </c>
      <c r="K4" s="165">
        <v>75651</v>
      </c>
      <c r="L4" s="166">
        <v>7565</v>
      </c>
      <c r="M4" s="165">
        <v>1</v>
      </c>
      <c r="N4" s="165">
        <v>10547394405</v>
      </c>
      <c r="O4" s="165">
        <v>0</v>
      </c>
      <c r="P4" s="165">
        <v>10547394405</v>
      </c>
      <c r="Q4" s="165">
        <v>9374055038</v>
      </c>
      <c r="R4" s="165">
        <v>2021</v>
      </c>
    </row>
    <row r="5" spans="1:26" x14ac:dyDescent="0.3">
      <c r="A5" s="165" t="str">
        <f>presuvigencias[[#This Row],[PROYECTO]]&amp;presuvigencias[[#This Row],[METAPDD]]</f>
        <v>756562</v>
      </c>
      <c r="B5" s="165" t="str">
        <f>presuvigencias[[#This Row],[PROYECTO]]&amp;presuvigencias[[#This Row],[META]]</f>
        <v>75653</v>
      </c>
      <c r="C5" s="166">
        <v>7565</v>
      </c>
      <c r="D5" s="165">
        <v>3</v>
      </c>
      <c r="E5" s="165">
        <f>VLOOKUP(presuvigencias[[#This Row],[LLAVE]],ESTRATÉGICO!$C$3:$R$110,16,0)</f>
        <v>62</v>
      </c>
      <c r="F5" s="165">
        <v>2018520860</v>
      </c>
      <c r="G5" s="165">
        <v>1916983357</v>
      </c>
      <c r="H5" s="165">
        <v>1444540435</v>
      </c>
      <c r="I5" s="165">
        <v>2020</v>
      </c>
      <c r="K5" s="165">
        <v>75653</v>
      </c>
      <c r="L5" s="166">
        <v>7565</v>
      </c>
      <c r="M5" s="165">
        <v>3</v>
      </c>
      <c r="N5" s="165">
        <v>472442922</v>
      </c>
      <c r="O5" s="165">
        <v>1</v>
      </c>
      <c r="P5" s="165">
        <v>472442921</v>
      </c>
      <c r="Q5" s="165">
        <v>242322337</v>
      </c>
      <c r="R5" s="165">
        <v>2021</v>
      </c>
    </row>
    <row r="6" spans="1:26" x14ac:dyDescent="0.3">
      <c r="A6" s="165" t="str">
        <f>presuvigencias[[#This Row],[PROYECTO]]&amp;presuvigencias[[#This Row],[METAPDD]]</f>
        <v>756562</v>
      </c>
      <c r="B6" s="165" t="str">
        <f>presuvigencias[[#This Row],[PROYECTO]]&amp;presuvigencias[[#This Row],[META]]</f>
        <v>75655</v>
      </c>
      <c r="C6" s="166">
        <v>7565</v>
      </c>
      <c r="D6" s="165">
        <v>5</v>
      </c>
      <c r="E6" s="165">
        <f>VLOOKUP(presuvigencias[[#This Row],[LLAVE]],ESTRATÉGICO!$C$3:$R$110,16,0)</f>
        <v>62</v>
      </c>
      <c r="F6" s="165">
        <v>44214232</v>
      </c>
      <c r="G6" s="165">
        <v>42012000</v>
      </c>
      <c r="H6" s="165">
        <v>25907400</v>
      </c>
      <c r="I6" s="165">
        <v>2020</v>
      </c>
      <c r="K6" s="165">
        <v>75655</v>
      </c>
      <c r="L6" s="166">
        <v>7565</v>
      </c>
      <c r="M6" s="165">
        <v>5</v>
      </c>
      <c r="N6" s="165">
        <v>16104600</v>
      </c>
      <c r="O6" s="165">
        <v>0</v>
      </c>
      <c r="P6" s="165">
        <v>16104600</v>
      </c>
      <c r="Q6" s="165">
        <v>16104600</v>
      </c>
      <c r="R6" s="165">
        <v>2021</v>
      </c>
    </row>
    <row r="7" spans="1:26" x14ac:dyDescent="0.3">
      <c r="A7" s="165" t="str">
        <f>presuvigencias[[#This Row],[PROYECTO]]&amp;presuvigencias[[#This Row],[METAPDD]]</f>
        <v>756562</v>
      </c>
      <c r="B7" s="165" t="str">
        <f>presuvigencias[[#This Row],[PROYECTO]]&amp;presuvigencias[[#This Row],[META]]</f>
        <v>75657</v>
      </c>
      <c r="C7" s="166">
        <v>7565</v>
      </c>
      <c r="D7" s="165">
        <v>7</v>
      </c>
      <c r="E7" s="165">
        <f>VLOOKUP(presuvigencias[[#This Row],[LLAVE]],ESTRATÉGICO!$C$3:$R$110,16,0)</f>
        <v>62</v>
      </c>
      <c r="F7" s="165">
        <v>6949261980</v>
      </c>
      <c r="G7" s="165">
        <v>6401757626</v>
      </c>
      <c r="H7" s="165">
        <v>1966701728</v>
      </c>
      <c r="I7" s="165">
        <v>2020</v>
      </c>
      <c r="K7" s="165">
        <v>75657</v>
      </c>
      <c r="L7" s="166">
        <v>7565</v>
      </c>
      <c r="M7" s="165">
        <v>7</v>
      </c>
      <c r="N7" s="165">
        <v>4435055898</v>
      </c>
      <c r="O7" s="165">
        <v>41359200</v>
      </c>
      <c r="P7" s="165">
        <v>4393696698</v>
      </c>
      <c r="Q7" s="165">
        <v>4384378465</v>
      </c>
      <c r="R7" s="165">
        <v>2021</v>
      </c>
    </row>
    <row r="8" spans="1:26" x14ac:dyDescent="0.3">
      <c r="A8" s="165" t="str">
        <f>presuvigencias[[#This Row],[PROYECTO]]&amp;presuvigencias[[#This Row],[METAPDD]]</f>
        <v>756562</v>
      </c>
      <c r="B8" s="165" t="str">
        <f>presuvigencias[[#This Row],[PROYECTO]]&amp;presuvigencias[[#This Row],[META]]</f>
        <v>75658</v>
      </c>
      <c r="C8" s="166">
        <v>7565</v>
      </c>
      <c r="D8" s="165">
        <v>8</v>
      </c>
      <c r="E8" s="165">
        <f>VLOOKUP(presuvigencias[[#This Row],[LLAVE]],ESTRATÉGICO!$C$3:$R$110,16,0)</f>
        <v>62</v>
      </c>
      <c r="F8" s="165">
        <v>1378442997</v>
      </c>
      <c r="G8" s="165">
        <v>1119678410</v>
      </c>
      <c r="H8" s="165">
        <v>449686982</v>
      </c>
      <c r="I8" s="165">
        <v>2020</v>
      </c>
      <c r="K8" s="165">
        <v>75658</v>
      </c>
      <c r="L8" s="166">
        <v>7565</v>
      </c>
      <c r="M8" s="165">
        <v>8</v>
      </c>
      <c r="N8" s="165">
        <v>669991428</v>
      </c>
      <c r="O8" s="165">
        <v>0</v>
      </c>
      <c r="P8" s="165">
        <v>669991428</v>
      </c>
      <c r="Q8" s="165">
        <v>664537134</v>
      </c>
      <c r="R8" s="165">
        <v>2021</v>
      </c>
    </row>
    <row r="9" spans="1:26" x14ac:dyDescent="0.3">
      <c r="A9" s="165" t="str">
        <f>presuvigencias[[#This Row],[PROYECTO]]&amp;presuvigencias[[#This Row],[METAPDD]]</f>
        <v>756562</v>
      </c>
      <c r="B9" s="165" t="str">
        <f>presuvigencias[[#This Row],[PROYECTO]]&amp;presuvigencias[[#This Row],[META]]</f>
        <v>75659</v>
      </c>
      <c r="C9" s="166">
        <v>7565</v>
      </c>
      <c r="D9" s="165">
        <v>9</v>
      </c>
      <c r="E9" s="165">
        <f>VLOOKUP(presuvigencias[[#This Row],[LLAVE]],ESTRATÉGICO!$C$3:$R$110,16,0)</f>
        <v>62</v>
      </c>
      <c r="F9" s="165">
        <v>50000000</v>
      </c>
      <c r="G9" s="165">
        <v>50000000</v>
      </c>
      <c r="H9" s="165">
        <v>0</v>
      </c>
      <c r="I9" s="165">
        <v>2020</v>
      </c>
      <c r="K9" s="165">
        <v>75659</v>
      </c>
      <c r="L9" s="166">
        <v>7565</v>
      </c>
      <c r="M9" s="165">
        <v>9</v>
      </c>
      <c r="N9" s="165">
        <v>50000000</v>
      </c>
      <c r="O9" s="165">
        <v>0</v>
      </c>
      <c r="P9" s="165">
        <v>50000000</v>
      </c>
      <c r="Q9" s="165">
        <v>49422915</v>
      </c>
      <c r="R9" s="165">
        <v>2021</v>
      </c>
    </row>
    <row r="10" spans="1:26" x14ac:dyDescent="0.3">
      <c r="A10" s="165" t="str">
        <f>presuvigencias[[#This Row],[PROYECTO]]&amp;presuvigencias[[#This Row],[METAPDD]]</f>
        <v>756562</v>
      </c>
      <c r="B10" s="165" t="str">
        <f>presuvigencias[[#This Row],[PROYECTO]]&amp;presuvigencias[[#This Row],[META]]</f>
        <v>756511</v>
      </c>
      <c r="C10" s="166">
        <v>7565</v>
      </c>
      <c r="D10" s="165">
        <v>11</v>
      </c>
      <c r="E10" s="165">
        <f>VLOOKUP(presuvigencias[[#This Row],[LLAVE]],ESTRATÉGICO!$C$3:$R$110,16,0)</f>
        <v>62</v>
      </c>
      <c r="F10" s="165">
        <v>141211053</v>
      </c>
      <c r="G10" s="165">
        <v>114404186</v>
      </c>
      <c r="H10" s="165">
        <v>89211053</v>
      </c>
      <c r="I10" s="165">
        <v>2020</v>
      </c>
      <c r="K10" s="165">
        <v>756511</v>
      </c>
      <c r="L10" s="167">
        <v>7565</v>
      </c>
      <c r="M10" s="165">
        <v>11</v>
      </c>
      <c r="N10" s="165">
        <v>25193133</v>
      </c>
      <c r="O10" s="165">
        <v>0</v>
      </c>
      <c r="P10" s="165">
        <v>25193133</v>
      </c>
      <c r="Q10" s="165">
        <v>15115880</v>
      </c>
      <c r="R10" s="165">
        <v>2021</v>
      </c>
    </row>
    <row r="11" spans="1:26" x14ac:dyDescent="0.3">
      <c r="A11" s="165" t="str">
        <f>presuvigencias[[#This Row],[PROYECTO]]&amp;presuvigencias[[#This Row],[METAPDD]]</f>
        <v>756562</v>
      </c>
      <c r="B11" s="165" t="str">
        <f>presuvigencias[[#This Row],[PROYECTO]]&amp;presuvigencias[[#This Row],[META]]</f>
        <v>756512</v>
      </c>
      <c r="C11" s="167">
        <v>7565</v>
      </c>
      <c r="D11" s="165">
        <v>12</v>
      </c>
      <c r="E11" s="165">
        <f>VLOOKUP(presuvigencias[[#This Row],[LLAVE]],ESTRATÉGICO!$C$3:$R$110,16,0)</f>
        <v>62</v>
      </c>
      <c r="F11" s="165">
        <v>318218027</v>
      </c>
      <c r="G11" s="165">
        <v>318218027</v>
      </c>
      <c r="H11" s="165">
        <v>318218027</v>
      </c>
      <c r="I11" s="165">
        <v>2020</v>
      </c>
      <c r="K11" s="165">
        <v>77301</v>
      </c>
      <c r="L11" s="166">
        <v>7730</v>
      </c>
      <c r="M11" s="165">
        <v>1</v>
      </c>
      <c r="N11" s="165">
        <v>119813074</v>
      </c>
      <c r="O11" s="165">
        <v>0</v>
      </c>
      <c r="P11" s="165">
        <v>119813074</v>
      </c>
      <c r="Q11" s="165">
        <v>115222174</v>
      </c>
      <c r="R11" s="165">
        <v>2021</v>
      </c>
    </row>
    <row r="12" spans="1:26" x14ac:dyDescent="0.3">
      <c r="A12" s="165" t="str">
        <f>presuvigencias[[#This Row],[PROYECTO]]&amp;presuvigencias[[#This Row],[METAPDD]]</f>
        <v>773021</v>
      </c>
      <c r="B12" s="165" t="str">
        <f>presuvigencias[[#This Row],[PROYECTO]]&amp;presuvigencias[[#This Row],[META]]</f>
        <v>77301</v>
      </c>
      <c r="C12" s="166">
        <v>7730</v>
      </c>
      <c r="D12" s="165">
        <v>1</v>
      </c>
      <c r="E12" s="165">
        <f>VLOOKUP(presuvigencias[[#This Row],[LLAVE]],ESTRATÉGICO!$C$3:$R$110,16,0)</f>
        <v>21</v>
      </c>
      <c r="F12" s="165">
        <v>187252000</v>
      </c>
      <c r="G12" s="165">
        <v>171386740</v>
      </c>
      <c r="H12" s="165">
        <v>51573666</v>
      </c>
      <c r="I12" s="165">
        <v>2020</v>
      </c>
      <c r="K12" s="165">
        <v>77303</v>
      </c>
      <c r="L12" s="167">
        <v>7730</v>
      </c>
      <c r="M12" s="165">
        <v>3</v>
      </c>
      <c r="N12" s="165">
        <v>837981017</v>
      </c>
      <c r="O12" s="165">
        <v>4833600</v>
      </c>
      <c r="P12" s="165">
        <v>833147417</v>
      </c>
      <c r="Q12" s="165">
        <v>788935546</v>
      </c>
      <c r="R12" s="165">
        <v>2021</v>
      </c>
    </row>
    <row r="13" spans="1:26" x14ac:dyDescent="0.3">
      <c r="A13" s="165" t="str">
        <f>presuvigencias[[#This Row],[PROYECTO]]&amp;presuvigencias[[#This Row],[METAPDD]]</f>
        <v>773021</v>
      </c>
      <c r="B13" s="165" t="str">
        <f>presuvigencias[[#This Row],[PROYECTO]]&amp;presuvigencias[[#This Row],[META]]</f>
        <v>77303</v>
      </c>
      <c r="C13" s="167">
        <v>7730</v>
      </c>
      <c r="D13" s="165">
        <v>3</v>
      </c>
      <c r="E13" s="165">
        <f>VLOOKUP(presuvigencias[[#This Row],[LLAVE]],ESTRATÉGICO!$C$3:$R$110,16,0)</f>
        <v>21</v>
      </c>
      <c r="F13" s="165">
        <v>1327022913</v>
      </c>
      <c r="G13" s="165">
        <v>1243651108</v>
      </c>
      <c r="H13" s="165">
        <v>405670091</v>
      </c>
      <c r="I13" s="165">
        <v>2020</v>
      </c>
      <c r="K13" s="165">
        <v>77331</v>
      </c>
      <c r="L13" s="166">
        <v>7733</v>
      </c>
      <c r="M13" s="165">
        <v>1</v>
      </c>
      <c r="N13" s="165">
        <v>578326847</v>
      </c>
      <c r="O13" s="165">
        <v>0</v>
      </c>
      <c r="P13" s="165">
        <v>578326847</v>
      </c>
      <c r="Q13" s="165">
        <v>578322455</v>
      </c>
      <c r="R13" s="165">
        <v>2021</v>
      </c>
    </row>
    <row r="14" spans="1:26" x14ac:dyDescent="0.3">
      <c r="A14" s="165" t="str">
        <f>presuvigencias[[#This Row],[PROYECTO]]&amp;presuvigencias[[#This Row],[METAPDD]]</f>
        <v>7733484</v>
      </c>
      <c r="B14" s="165" t="str">
        <f>presuvigencias[[#This Row],[PROYECTO]]&amp;presuvigencias[[#This Row],[META]]</f>
        <v>77331</v>
      </c>
      <c r="C14" s="166">
        <v>7733</v>
      </c>
      <c r="D14" s="165">
        <v>1</v>
      </c>
      <c r="E14" s="165">
        <f>VLOOKUP(presuvigencias[[#This Row],[LLAVE]],ESTRATÉGICO!$C$3:$R$110,16,0)</f>
        <v>484</v>
      </c>
      <c r="F14" s="165">
        <v>1273596775</v>
      </c>
      <c r="G14" s="165">
        <v>1273533049</v>
      </c>
      <c r="H14" s="165">
        <v>695206202</v>
      </c>
      <c r="I14" s="165">
        <v>2020</v>
      </c>
      <c r="K14" s="165">
        <v>77332</v>
      </c>
      <c r="L14" s="166">
        <v>7733</v>
      </c>
      <c r="M14" s="165">
        <v>2</v>
      </c>
      <c r="N14" s="165">
        <v>499480612</v>
      </c>
      <c r="O14" s="165">
        <v>0</v>
      </c>
      <c r="P14" s="165">
        <v>499480612</v>
      </c>
      <c r="Q14" s="165">
        <v>499478004</v>
      </c>
      <c r="R14" s="165">
        <v>2021</v>
      </c>
    </row>
    <row r="15" spans="1:26" x14ac:dyDescent="0.3">
      <c r="A15" s="165" t="str">
        <f>presuvigencias[[#This Row],[PROYECTO]]&amp;presuvigencias[[#This Row],[METAPDD]]</f>
        <v>7733481</v>
      </c>
      <c r="B15" s="165" t="str">
        <f>presuvigencias[[#This Row],[PROYECTO]]&amp;presuvigencias[[#This Row],[META]]</f>
        <v>77332</v>
      </c>
      <c r="C15" s="166">
        <v>7733</v>
      </c>
      <c r="D15" s="165">
        <v>2</v>
      </c>
      <c r="E15" s="165">
        <f>VLOOKUP(presuvigencias[[#This Row],[LLAVE]],ESTRATÉGICO!$C$3:$R$110,16,0)</f>
        <v>481</v>
      </c>
      <c r="F15" s="165">
        <v>925595565</v>
      </c>
      <c r="G15" s="165">
        <v>924316312</v>
      </c>
      <c r="H15" s="165">
        <v>424835700</v>
      </c>
      <c r="I15" s="165">
        <v>2020</v>
      </c>
      <c r="K15" s="165">
        <v>77333</v>
      </c>
      <c r="L15" s="166">
        <v>7733</v>
      </c>
      <c r="M15" s="165">
        <v>3</v>
      </c>
      <c r="N15" s="165">
        <v>182483966</v>
      </c>
      <c r="O15" s="165">
        <v>0</v>
      </c>
      <c r="P15" s="165">
        <v>182483966</v>
      </c>
      <c r="Q15" s="165">
        <v>182483966</v>
      </c>
      <c r="R15" s="165">
        <v>2021</v>
      </c>
    </row>
    <row r="16" spans="1:26" x14ac:dyDescent="0.3">
      <c r="A16" s="165" t="str">
        <f>presuvigencias[[#This Row],[PROYECTO]]&amp;presuvigencias[[#This Row],[METAPDD]]</f>
        <v>7733481</v>
      </c>
      <c r="B16" s="165" t="str">
        <f>presuvigencias[[#This Row],[PROYECTO]]&amp;presuvigencias[[#This Row],[META]]</f>
        <v>77333</v>
      </c>
      <c r="C16" s="166">
        <v>7733</v>
      </c>
      <c r="D16" s="165">
        <v>3</v>
      </c>
      <c r="E16" s="165">
        <f>VLOOKUP(presuvigencias[[#This Row],[LLAVE]],ESTRATÉGICO!$C$3:$R$110,16,0)</f>
        <v>481</v>
      </c>
      <c r="F16" s="165">
        <v>416575340</v>
      </c>
      <c r="G16" s="165">
        <v>416469133</v>
      </c>
      <c r="H16" s="165">
        <v>233985167</v>
      </c>
      <c r="I16" s="165">
        <v>2020</v>
      </c>
      <c r="K16" s="165">
        <v>77334</v>
      </c>
      <c r="L16" s="167">
        <v>7733</v>
      </c>
      <c r="M16" s="165">
        <v>4</v>
      </c>
      <c r="N16" s="165">
        <v>87391467</v>
      </c>
      <c r="O16" s="165">
        <v>0</v>
      </c>
      <c r="P16" s="165">
        <v>87391467</v>
      </c>
      <c r="Q16" s="165">
        <v>87391467</v>
      </c>
      <c r="R16" s="165">
        <v>2021</v>
      </c>
    </row>
    <row r="17" spans="1:18" x14ac:dyDescent="0.3">
      <c r="A17" s="165" t="str">
        <f>presuvigencias[[#This Row],[PROYECTO]]&amp;presuvigencias[[#This Row],[METAPDD]]</f>
        <v>7733481</v>
      </c>
      <c r="B17" s="165" t="str">
        <f>presuvigencias[[#This Row],[PROYECTO]]&amp;presuvigencias[[#This Row],[META]]</f>
        <v>77334</v>
      </c>
      <c r="C17" s="167">
        <v>7733</v>
      </c>
      <c r="D17" s="165">
        <v>4</v>
      </c>
      <c r="E17" s="165">
        <f>VLOOKUP(presuvigencias[[#This Row],[LLAVE]],ESTRATÉGICO!$C$3:$R$110,16,0)</f>
        <v>481</v>
      </c>
      <c r="F17" s="165">
        <v>201818000</v>
      </c>
      <c r="G17" s="165">
        <v>201818000</v>
      </c>
      <c r="H17" s="165">
        <v>114426533</v>
      </c>
      <c r="I17" s="165">
        <v>2020</v>
      </c>
      <c r="K17" s="165">
        <v>77351</v>
      </c>
      <c r="L17" s="166">
        <v>7735</v>
      </c>
      <c r="M17" s="165">
        <v>1</v>
      </c>
      <c r="N17" s="165">
        <v>240683466</v>
      </c>
      <c r="O17" s="165">
        <v>0</v>
      </c>
      <c r="P17" s="165">
        <v>240683466</v>
      </c>
      <c r="Q17" s="165">
        <v>240683466</v>
      </c>
      <c r="R17" s="165">
        <v>2021</v>
      </c>
    </row>
    <row r="18" spans="1:18" x14ac:dyDescent="0.3">
      <c r="A18" s="165" t="str">
        <f>presuvigencias[[#This Row],[PROYECTO]]&amp;presuvigencias[[#This Row],[METAPDD]]</f>
        <v>7735545</v>
      </c>
      <c r="B18" s="165" t="str">
        <f>presuvigencias[[#This Row],[PROYECTO]]&amp;presuvigencias[[#This Row],[META]]</f>
        <v>77351</v>
      </c>
      <c r="C18" s="166">
        <v>7735</v>
      </c>
      <c r="D18" s="165">
        <v>1</v>
      </c>
      <c r="E18" s="165">
        <f>VLOOKUP(presuvigencias[[#This Row],[LLAVE]],ESTRATÉGICO!$C$3:$R$110,16,0)</f>
        <v>545</v>
      </c>
      <c r="F18" s="165">
        <v>405026500</v>
      </c>
      <c r="G18" s="165">
        <v>378493300</v>
      </c>
      <c r="H18" s="165">
        <v>137809834</v>
      </c>
      <c r="I18" s="165">
        <v>2020</v>
      </c>
      <c r="K18" s="165">
        <v>77352</v>
      </c>
      <c r="L18" s="166">
        <v>7735</v>
      </c>
      <c r="M18" s="165">
        <v>2</v>
      </c>
      <c r="N18" s="165">
        <v>407511815</v>
      </c>
      <c r="O18" s="165">
        <v>0</v>
      </c>
      <c r="P18" s="165">
        <v>407511815</v>
      </c>
      <c r="Q18" s="165">
        <v>403056315</v>
      </c>
      <c r="R18" s="165">
        <v>2021</v>
      </c>
    </row>
    <row r="19" spans="1:18" x14ac:dyDescent="0.3">
      <c r="A19" s="165" t="str">
        <f>presuvigencias[[#This Row],[PROYECTO]]&amp;presuvigencias[[#This Row],[METAPDD]]</f>
        <v>7735545</v>
      </c>
      <c r="B19" s="165" t="str">
        <f>presuvigencias[[#This Row],[PROYECTO]]&amp;presuvigencias[[#This Row],[META]]</f>
        <v>77352</v>
      </c>
      <c r="C19" s="166">
        <v>7735</v>
      </c>
      <c r="D19" s="165">
        <v>2</v>
      </c>
      <c r="E19" s="165">
        <f>VLOOKUP(presuvigencias[[#This Row],[LLAVE]],ESTRATÉGICO!$C$3:$R$110,16,0)</f>
        <v>545</v>
      </c>
      <c r="F19" s="165">
        <v>684649740</v>
      </c>
      <c r="G19" s="165">
        <v>612338249</v>
      </c>
      <c r="H19" s="165">
        <v>204826434</v>
      </c>
      <c r="I19" s="165">
        <v>2020</v>
      </c>
      <c r="K19" s="165">
        <v>77353</v>
      </c>
      <c r="L19" s="166">
        <v>7735</v>
      </c>
      <c r="M19" s="165">
        <v>3</v>
      </c>
      <c r="N19" s="165">
        <v>142283029</v>
      </c>
      <c r="O19" s="165">
        <v>0</v>
      </c>
      <c r="P19" s="165">
        <v>142283029</v>
      </c>
      <c r="Q19" s="165">
        <v>142283029</v>
      </c>
      <c r="R19" s="165">
        <v>2021</v>
      </c>
    </row>
    <row r="20" spans="1:18" x14ac:dyDescent="0.3">
      <c r="A20" s="165" t="str">
        <f>presuvigencias[[#This Row],[PROYECTO]]&amp;presuvigencias[[#This Row],[METAPDD]]</f>
        <v>7735546</v>
      </c>
      <c r="B20" s="165" t="str">
        <f>presuvigencias[[#This Row],[PROYECTO]]&amp;presuvigencias[[#This Row],[META]]</f>
        <v>77353</v>
      </c>
      <c r="C20" s="166">
        <v>7735</v>
      </c>
      <c r="D20" s="165">
        <v>3</v>
      </c>
      <c r="E20" s="165">
        <f>VLOOKUP(presuvigencias[[#This Row],[LLAVE]],ESTRATÉGICO!$C$3:$R$110,16,0)</f>
        <v>546</v>
      </c>
      <c r="F20" s="165">
        <v>289900500</v>
      </c>
      <c r="G20" s="165">
        <v>271055500</v>
      </c>
      <c r="H20" s="165">
        <v>128772471</v>
      </c>
      <c r="I20" s="165">
        <v>2020</v>
      </c>
      <c r="K20" s="165">
        <v>77354</v>
      </c>
      <c r="L20" s="166">
        <v>7735</v>
      </c>
      <c r="M20" s="165">
        <v>4</v>
      </c>
      <c r="N20" s="165">
        <v>477219932</v>
      </c>
      <c r="O20" s="165">
        <v>0</v>
      </c>
      <c r="P20" s="165">
        <v>477219932</v>
      </c>
      <c r="Q20" s="165">
        <v>475752885</v>
      </c>
      <c r="R20" s="165">
        <v>2021</v>
      </c>
    </row>
    <row r="21" spans="1:18" x14ac:dyDescent="0.3">
      <c r="A21" s="165" t="str">
        <f>presuvigencias[[#This Row],[PROYECTO]]&amp;presuvigencias[[#This Row],[METAPDD]]</f>
        <v>7735545</v>
      </c>
      <c r="B21" s="165" t="str">
        <f>presuvigencias[[#This Row],[PROYECTO]]&amp;presuvigencias[[#This Row],[META]]</f>
        <v>77354</v>
      </c>
      <c r="C21" s="166">
        <v>7735</v>
      </c>
      <c r="D21" s="165">
        <v>4</v>
      </c>
      <c r="E21" s="165">
        <f>VLOOKUP(presuvigencias[[#This Row],[LLAVE]],ESTRATÉGICO!$C$3:$R$110,16,0)</f>
        <v>545</v>
      </c>
      <c r="F21" s="165">
        <v>716752547</v>
      </c>
      <c r="G21" s="165">
        <v>676027433</v>
      </c>
      <c r="H21" s="165">
        <v>198807501</v>
      </c>
      <c r="I21" s="165">
        <v>2020</v>
      </c>
      <c r="K21" s="165">
        <v>77355</v>
      </c>
      <c r="L21" s="167">
        <v>7735</v>
      </c>
      <c r="M21" s="165">
        <v>5</v>
      </c>
      <c r="N21" s="165">
        <v>277917766</v>
      </c>
      <c r="O21" s="165">
        <v>0</v>
      </c>
      <c r="P21" s="165">
        <v>277917766</v>
      </c>
      <c r="Q21" s="165">
        <v>277573233</v>
      </c>
      <c r="R21" s="165">
        <v>2021</v>
      </c>
    </row>
    <row r="22" spans="1:18" x14ac:dyDescent="0.3">
      <c r="A22" s="165" t="str">
        <f>presuvigencias[[#This Row],[PROYECTO]]&amp;presuvigencias[[#This Row],[METAPDD]]</f>
        <v>7735545</v>
      </c>
      <c r="B22" s="165" t="str">
        <f>presuvigencias[[#This Row],[PROYECTO]]&amp;presuvigencias[[#This Row],[META]]</f>
        <v>77355</v>
      </c>
      <c r="C22" s="167">
        <v>7735</v>
      </c>
      <c r="D22" s="165">
        <v>5</v>
      </c>
      <c r="E22" s="165">
        <f>VLOOKUP(presuvigencias[[#This Row],[LLAVE]],ESTRATÉGICO!$C$3:$R$110,16,0)</f>
        <v>545</v>
      </c>
      <c r="F22" s="165">
        <v>518124000</v>
      </c>
      <c r="G22" s="165">
        <v>483145000</v>
      </c>
      <c r="H22" s="165">
        <v>205227234</v>
      </c>
      <c r="I22" s="165">
        <v>2020</v>
      </c>
      <c r="K22" s="165">
        <v>77401</v>
      </c>
      <c r="L22" s="166">
        <v>7740</v>
      </c>
      <c r="M22" s="165">
        <v>1</v>
      </c>
      <c r="N22" s="165">
        <v>198061234</v>
      </c>
      <c r="O22" s="165">
        <v>0</v>
      </c>
      <c r="P22" s="165">
        <v>198061234</v>
      </c>
      <c r="Q22" s="165">
        <v>186712201</v>
      </c>
      <c r="R22" s="165">
        <v>2021</v>
      </c>
    </row>
    <row r="23" spans="1:18" x14ac:dyDescent="0.3">
      <c r="A23" s="165" t="str">
        <f>presuvigencias[[#This Row],[PROYECTO]]&amp;presuvigencias[[#This Row],[METAPDD]]</f>
        <v>7740114</v>
      </c>
      <c r="B23" s="165" t="str">
        <f>presuvigencias[[#This Row],[PROYECTO]]&amp;presuvigencias[[#This Row],[META]]</f>
        <v>77401</v>
      </c>
      <c r="C23" s="166">
        <v>7740</v>
      </c>
      <c r="D23" s="165">
        <v>1</v>
      </c>
      <c r="E23" s="165">
        <f>VLOOKUP(presuvigencias[[#This Row],[LLAVE]],ESTRATÉGICO!$C$3:$R$110,16,0)</f>
        <v>114</v>
      </c>
      <c r="F23" s="165">
        <v>365591500</v>
      </c>
      <c r="G23" s="165">
        <v>326958500</v>
      </c>
      <c r="H23" s="165">
        <v>128897266</v>
      </c>
      <c r="I23" s="165">
        <v>2020</v>
      </c>
      <c r="K23" s="165">
        <v>77402</v>
      </c>
      <c r="L23" s="166">
        <v>7740</v>
      </c>
      <c r="M23" s="165">
        <v>2</v>
      </c>
      <c r="N23" s="165">
        <v>81897667</v>
      </c>
      <c r="O23" s="165">
        <v>0</v>
      </c>
      <c r="P23" s="165">
        <v>81897667</v>
      </c>
      <c r="Q23" s="165">
        <v>75362200</v>
      </c>
      <c r="R23" s="165">
        <v>2021</v>
      </c>
    </row>
    <row r="24" spans="1:18" x14ac:dyDescent="0.3">
      <c r="A24" s="165" t="str">
        <f>presuvigencias[[#This Row],[PROYECTO]]&amp;presuvigencias[[#This Row],[METAPDD]]</f>
        <v>7740114</v>
      </c>
      <c r="B24" s="165" t="str">
        <f>presuvigencias[[#This Row],[PROYECTO]]&amp;presuvigencias[[#This Row],[META]]</f>
        <v>77402</v>
      </c>
      <c r="C24" s="166">
        <v>7740</v>
      </c>
      <c r="D24" s="165">
        <v>2</v>
      </c>
      <c r="E24" s="165">
        <f>VLOOKUP(presuvigencias[[#This Row],[LLAVE]],ESTRATÉGICO!$C$3:$R$110,16,0)</f>
        <v>114</v>
      </c>
      <c r="F24" s="165">
        <v>106069000</v>
      </c>
      <c r="G24" s="165">
        <v>106069000</v>
      </c>
      <c r="H24" s="165">
        <v>24171333</v>
      </c>
      <c r="I24" s="165">
        <v>2020</v>
      </c>
      <c r="K24" s="165">
        <v>77403</v>
      </c>
      <c r="L24" s="166">
        <v>7740</v>
      </c>
      <c r="M24" s="165">
        <v>3</v>
      </c>
      <c r="N24" s="165">
        <v>41439400</v>
      </c>
      <c r="O24" s="165">
        <v>0</v>
      </c>
      <c r="P24" s="165">
        <v>41439400</v>
      </c>
      <c r="Q24" s="165">
        <v>41439400</v>
      </c>
      <c r="R24" s="165">
        <v>2021</v>
      </c>
    </row>
    <row r="25" spans="1:18" x14ac:dyDescent="0.3">
      <c r="A25" s="165" t="str">
        <f>presuvigencias[[#This Row],[PROYECTO]]&amp;presuvigencias[[#This Row],[METAPDD]]</f>
        <v>7740113</v>
      </c>
      <c r="B25" s="165" t="str">
        <f>presuvigencias[[#This Row],[PROYECTO]]&amp;presuvigencias[[#This Row],[META]]</f>
        <v>77403</v>
      </c>
      <c r="C25" s="166">
        <v>7740</v>
      </c>
      <c r="D25" s="165">
        <v>3</v>
      </c>
      <c r="E25" s="165">
        <f>VLOOKUP(presuvigencias[[#This Row],[LLAVE]],ESTRATÉGICO!$C$3:$R$110,16,0)</f>
        <v>113</v>
      </c>
      <c r="F25" s="165">
        <v>90427500</v>
      </c>
      <c r="G25" s="165">
        <v>90427500</v>
      </c>
      <c r="H25" s="165">
        <v>48988100</v>
      </c>
      <c r="I25" s="165">
        <v>2020</v>
      </c>
      <c r="K25" s="165">
        <v>77404</v>
      </c>
      <c r="L25" s="166">
        <v>7740</v>
      </c>
      <c r="M25" s="165">
        <v>4</v>
      </c>
      <c r="N25" s="165">
        <v>1670574089</v>
      </c>
      <c r="O25" s="165">
        <v>120151232</v>
      </c>
      <c r="P25" s="165">
        <v>1550422857</v>
      </c>
      <c r="Q25" s="165">
        <v>1550291720</v>
      </c>
      <c r="R25" s="165">
        <v>2021</v>
      </c>
    </row>
    <row r="26" spans="1:18" x14ac:dyDescent="0.3">
      <c r="A26" s="165" t="str">
        <f>presuvigencias[[#This Row],[PROYECTO]]&amp;presuvigencias[[#This Row],[METAPDD]]</f>
        <v>7740114</v>
      </c>
      <c r="B26" s="165" t="str">
        <f>presuvigencias[[#This Row],[PROYECTO]]&amp;presuvigencias[[#This Row],[META]]</f>
        <v>77404</v>
      </c>
      <c r="C26" s="166">
        <v>7740</v>
      </c>
      <c r="D26" s="165">
        <v>4</v>
      </c>
      <c r="E26" s="165">
        <f>VLOOKUP(presuvigencias[[#This Row],[LLAVE]],ESTRATÉGICO!$C$3:$R$110,16,0)</f>
        <v>114</v>
      </c>
      <c r="F26" s="165">
        <v>2926964823</v>
      </c>
      <c r="G26" s="165">
        <v>2139413228</v>
      </c>
      <c r="H26" s="165">
        <v>468839139</v>
      </c>
      <c r="I26" s="165">
        <v>2020</v>
      </c>
      <c r="K26" s="165">
        <v>77405</v>
      </c>
      <c r="L26" s="167">
        <v>7740</v>
      </c>
      <c r="M26" s="165">
        <v>5</v>
      </c>
      <c r="N26" s="165">
        <v>761252597</v>
      </c>
      <c r="O26" s="165">
        <v>33062733</v>
      </c>
      <c r="P26" s="165">
        <v>728189864</v>
      </c>
      <c r="Q26" s="165">
        <v>705785521</v>
      </c>
      <c r="R26" s="165">
        <v>2021</v>
      </c>
    </row>
    <row r="27" spans="1:18" x14ac:dyDescent="0.3">
      <c r="A27" s="165" t="str">
        <f>presuvigencias[[#This Row],[PROYECTO]]&amp;presuvigencias[[#This Row],[METAPDD]]</f>
        <v>7740110</v>
      </c>
      <c r="B27" s="165" t="str">
        <f>presuvigencias[[#This Row],[PROYECTO]]&amp;presuvigencias[[#This Row],[META]]</f>
        <v>77405</v>
      </c>
      <c r="C27" s="167">
        <v>7740</v>
      </c>
      <c r="D27" s="165">
        <v>5</v>
      </c>
      <c r="E27" s="165">
        <f>VLOOKUP(presuvigencias[[#This Row],[LLAVE]],ESTRATÉGICO!$C$3:$R$110,16,0)</f>
        <v>110</v>
      </c>
      <c r="F27" s="165">
        <v>1131030000</v>
      </c>
      <c r="G27" s="165">
        <v>1027046097</v>
      </c>
      <c r="H27" s="165">
        <v>265793500</v>
      </c>
      <c r="I27" s="165">
        <v>2020</v>
      </c>
      <c r="K27" s="165">
        <v>77411</v>
      </c>
      <c r="L27" s="166">
        <v>7741</v>
      </c>
      <c r="M27" s="165">
        <v>1</v>
      </c>
      <c r="N27" s="165">
        <v>1638313473</v>
      </c>
      <c r="O27" s="165">
        <v>5162591</v>
      </c>
      <c r="P27" s="165">
        <v>1633150882</v>
      </c>
      <c r="Q27" s="165">
        <v>1630328745</v>
      </c>
      <c r="R27" s="165">
        <v>2021</v>
      </c>
    </row>
    <row r="28" spans="1:18" x14ac:dyDescent="0.3">
      <c r="A28" s="165" t="str">
        <f>presuvigencias[[#This Row],[PROYECTO]]&amp;presuvigencias[[#This Row],[METAPDD]]</f>
        <v>7741412</v>
      </c>
      <c r="B28" s="165" t="str">
        <f>presuvigencias[[#This Row],[PROYECTO]]&amp;presuvigencias[[#This Row],[META]]</f>
        <v>77411</v>
      </c>
      <c r="C28" s="166">
        <v>7741</v>
      </c>
      <c r="D28" s="165">
        <v>1</v>
      </c>
      <c r="E28" s="165">
        <f>VLOOKUP(presuvigencias[[#This Row],[LLAVE]],ESTRATÉGICO!$C$3:$R$110,16,0)</f>
        <v>412</v>
      </c>
      <c r="F28" s="165">
        <v>3693362355</v>
      </c>
      <c r="G28" s="165">
        <v>3473368677</v>
      </c>
      <c r="H28" s="165">
        <v>1835055204</v>
      </c>
      <c r="I28" s="165">
        <v>2020</v>
      </c>
      <c r="K28" s="165">
        <v>77412</v>
      </c>
      <c r="L28" s="166">
        <v>7741</v>
      </c>
      <c r="M28" s="165">
        <v>2</v>
      </c>
      <c r="N28" s="165">
        <v>1222186540</v>
      </c>
      <c r="O28" s="165">
        <v>27337867</v>
      </c>
      <c r="P28" s="165">
        <v>1194848673</v>
      </c>
      <c r="Q28" s="165">
        <v>1194679672</v>
      </c>
      <c r="R28" s="165">
        <v>2021</v>
      </c>
    </row>
    <row r="29" spans="1:18" x14ac:dyDescent="0.3">
      <c r="A29" s="165" t="str">
        <f>presuvigencias[[#This Row],[PROYECTO]]&amp;presuvigencias[[#This Row],[METAPDD]]</f>
        <v>7741412</v>
      </c>
      <c r="B29" s="165" t="str">
        <f>presuvigencias[[#This Row],[PROYECTO]]&amp;presuvigencias[[#This Row],[META]]</f>
        <v>77412</v>
      </c>
      <c r="C29" s="166">
        <v>7741</v>
      </c>
      <c r="D29" s="165">
        <v>2</v>
      </c>
      <c r="E29" s="165">
        <f>VLOOKUP(presuvigencias[[#This Row],[LLAVE]],ESTRATÉGICO!$C$3:$R$110,16,0)</f>
        <v>412</v>
      </c>
      <c r="F29" s="165">
        <v>3296241939</v>
      </c>
      <c r="G29" s="165">
        <v>3124865926</v>
      </c>
      <c r="H29" s="165">
        <v>1902679386</v>
      </c>
      <c r="I29" s="165">
        <v>2020</v>
      </c>
      <c r="K29" s="165">
        <v>77413</v>
      </c>
      <c r="L29" s="166">
        <v>7741</v>
      </c>
      <c r="M29" s="165">
        <v>3</v>
      </c>
      <c r="N29" s="165">
        <v>398426433</v>
      </c>
      <c r="O29" s="165">
        <v>0</v>
      </c>
      <c r="P29" s="165">
        <v>398426433</v>
      </c>
      <c r="Q29" s="165">
        <v>398426433</v>
      </c>
      <c r="R29" s="165">
        <v>2021</v>
      </c>
    </row>
    <row r="30" spans="1:18" x14ac:dyDescent="0.3">
      <c r="A30" s="165" t="str">
        <f>presuvigencias[[#This Row],[PROYECTO]]&amp;presuvigencias[[#This Row],[METAPDD]]</f>
        <v>7741411</v>
      </c>
      <c r="B30" s="165" t="str">
        <f>presuvigencias[[#This Row],[PROYECTO]]&amp;presuvigencias[[#This Row],[META]]</f>
        <v>77413</v>
      </c>
      <c r="C30" s="166">
        <v>7741</v>
      </c>
      <c r="D30" s="165">
        <v>3</v>
      </c>
      <c r="E30" s="165">
        <f>VLOOKUP(presuvigencias[[#This Row],[LLAVE]],ESTRATÉGICO!$C$3:$R$110,16,0)</f>
        <v>411</v>
      </c>
      <c r="F30" s="165">
        <v>758658299</v>
      </c>
      <c r="G30" s="165">
        <v>692285433</v>
      </c>
      <c r="H30" s="165">
        <v>293859000</v>
      </c>
      <c r="I30" s="165">
        <v>2020</v>
      </c>
      <c r="K30" s="165">
        <v>77414</v>
      </c>
      <c r="L30" s="166">
        <v>7741</v>
      </c>
      <c r="M30" s="165">
        <v>4</v>
      </c>
      <c r="N30" s="165">
        <v>130389766</v>
      </c>
      <c r="O30" s="165">
        <v>0</v>
      </c>
      <c r="P30" s="165">
        <v>130389766</v>
      </c>
      <c r="Q30" s="165">
        <v>130389766</v>
      </c>
      <c r="R30" s="165">
        <v>2021</v>
      </c>
    </row>
    <row r="31" spans="1:18" x14ac:dyDescent="0.3">
      <c r="A31" s="165" t="str">
        <f>presuvigencias[[#This Row],[PROYECTO]]&amp;presuvigencias[[#This Row],[METAPDD]]</f>
        <v>7741411</v>
      </c>
      <c r="B31" s="165" t="str">
        <f>presuvigencias[[#This Row],[PROYECTO]]&amp;presuvigencias[[#This Row],[META]]</f>
        <v>77414</v>
      </c>
      <c r="C31" s="166">
        <v>7741</v>
      </c>
      <c r="D31" s="165">
        <v>4</v>
      </c>
      <c r="E31" s="165">
        <f>VLOOKUP(presuvigencias[[#This Row],[LLAVE]],ESTRATÉGICO!$C$3:$R$110,16,0)</f>
        <v>411</v>
      </c>
      <c r="F31" s="165">
        <v>248799667</v>
      </c>
      <c r="G31" s="165">
        <v>238559800</v>
      </c>
      <c r="H31" s="165">
        <v>108170034</v>
      </c>
      <c r="I31" s="165">
        <v>2020</v>
      </c>
      <c r="K31" s="165">
        <v>77415</v>
      </c>
      <c r="L31" s="166">
        <v>7741</v>
      </c>
      <c r="M31" s="165">
        <v>5</v>
      </c>
      <c r="N31" s="165">
        <v>937863533</v>
      </c>
      <c r="O31" s="165">
        <v>21533334</v>
      </c>
      <c r="P31" s="165">
        <v>916330199</v>
      </c>
      <c r="Q31" s="165">
        <v>916330199</v>
      </c>
      <c r="R31" s="165">
        <v>2021</v>
      </c>
    </row>
    <row r="32" spans="1:18" x14ac:dyDescent="0.3">
      <c r="A32" s="165" t="str">
        <f>presuvigencias[[#This Row],[PROYECTO]]&amp;presuvigencias[[#This Row],[METAPDD]]</f>
        <v>7741412</v>
      </c>
      <c r="B32" s="165" t="str">
        <f>presuvigencias[[#This Row],[PROYECTO]]&amp;presuvigencias[[#This Row],[META]]</f>
        <v>77415</v>
      </c>
      <c r="C32" s="166">
        <v>7741</v>
      </c>
      <c r="D32" s="165">
        <v>5</v>
      </c>
      <c r="E32" s="165">
        <f>VLOOKUP(presuvigencias[[#This Row],[LLAVE]],ESTRATÉGICO!$C$3:$R$110,16,0)</f>
        <v>412</v>
      </c>
      <c r="F32" s="165">
        <v>2042215500</v>
      </c>
      <c r="G32" s="165">
        <v>1897600265</v>
      </c>
      <c r="H32" s="165">
        <v>959736732</v>
      </c>
      <c r="I32" s="165">
        <v>2020</v>
      </c>
      <c r="K32" s="165">
        <v>77416</v>
      </c>
      <c r="L32" s="166">
        <v>7741</v>
      </c>
      <c r="M32" s="165">
        <v>6</v>
      </c>
      <c r="N32" s="165">
        <v>239012066</v>
      </c>
      <c r="O32" s="165">
        <v>0</v>
      </c>
      <c r="P32" s="165">
        <v>239012066</v>
      </c>
      <c r="Q32" s="165">
        <v>239012065</v>
      </c>
      <c r="R32" s="165">
        <v>2021</v>
      </c>
    </row>
    <row r="33" spans="1:18" x14ac:dyDescent="0.3">
      <c r="A33" s="165" t="str">
        <f>presuvigencias[[#This Row],[PROYECTO]]&amp;presuvigencias[[#This Row],[METAPDD]]</f>
        <v>7741412</v>
      </c>
      <c r="B33" s="165" t="str">
        <f>presuvigencias[[#This Row],[PROYECTO]]&amp;presuvigencias[[#This Row],[META]]</f>
        <v>77416</v>
      </c>
      <c r="C33" s="166">
        <v>7741</v>
      </c>
      <c r="D33" s="165">
        <v>6</v>
      </c>
      <c r="E33" s="165">
        <f>VLOOKUP(presuvigencias[[#This Row],[LLAVE]],ESTRATÉGICO!$C$3:$R$110,16,0)</f>
        <v>412</v>
      </c>
      <c r="F33" s="165">
        <v>492863000</v>
      </c>
      <c r="G33" s="165">
        <v>454526000</v>
      </c>
      <c r="H33" s="165">
        <v>215513934</v>
      </c>
      <c r="I33" s="165">
        <v>2020</v>
      </c>
      <c r="K33" s="165">
        <v>77417</v>
      </c>
      <c r="L33" s="166">
        <v>7741</v>
      </c>
      <c r="M33" s="165">
        <v>7</v>
      </c>
      <c r="N33" s="165">
        <v>68853000</v>
      </c>
      <c r="O33" s="165">
        <v>0</v>
      </c>
      <c r="P33" s="165">
        <v>68853000</v>
      </c>
      <c r="Q33" s="165">
        <v>68853000</v>
      </c>
      <c r="R33" s="165">
        <v>2021</v>
      </c>
    </row>
    <row r="34" spans="1:18" x14ac:dyDescent="0.3">
      <c r="A34" s="165" t="str">
        <f>presuvigencias[[#This Row],[PROYECTO]]&amp;presuvigencias[[#This Row],[METAPDD]]</f>
        <v>7741412</v>
      </c>
      <c r="B34" s="165" t="str">
        <f>presuvigencias[[#This Row],[PROYECTO]]&amp;presuvigencias[[#This Row],[META]]</f>
        <v>77417</v>
      </c>
      <c r="C34" s="166">
        <v>7741</v>
      </c>
      <c r="D34" s="165">
        <v>7</v>
      </c>
      <c r="E34" s="165">
        <f>VLOOKUP(presuvigencias[[#This Row],[LLAVE]],ESTRATÉGICO!$C$3:$R$110,16,0)</f>
        <v>412</v>
      </c>
      <c r="F34" s="165">
        <v>143541000</v>
      </c>
      <c r="G34" s="165">
        <v>137706000</v>
      </c>
      <c r="H34" s="165">
        <v>68853000</v>
      </c>
      <c r="I34" s="165">
        <v>2020</v>
      </c>
      <c r="K34" s="165">
        <v>77418</v>
      </c>
      <c r="L34" s="167">
        <v>7741</v>
      </c>
      <c r="M34" s="165">
        <v>8</v>
      </c>
      <c r="N34" s="165">
        <v>515370067</v>
      </c>
      <c r="O34" s="165">
        <v>1104231</v>
      </c>
      <c r="P34" s="165">
        <v>514265836</v>
      </c>
      <c r="Q34" s="165">
        <v>497728403</v>
      </c>
      <c r="R34" s="165">
        <v>2021</v>
      </c>
    </row>
    <row r="35" spans="1:18" x14ac:dyDescent="0.3">
      <c r="A35" s="165" t="str">
        <f>presuvigencias[[#This Row],[PROYECTO]]&amp;presuvigencias[[#This Row],[METAPDD]]</f>
        <v>7741412</v>
      </c>
      <c r="B35" s="165" t="str">
        <f>presuvigencias[[#This Row],[PROYECTO]]&amp;presuvigencias[[#This Row],[META]]</f>
        <v>77418</v>
      </c>
      <c r="C35" s="167">
        <v>7741</v>
      </c>
      <c r="D35" s="165">
        <v>8</v>
      </c>
      <c r="E35" s="165">
        <f>VLOOKUP(presuvigencias[[#This Row],[LLAVE]],ESTRATÉGICO!$C$3:$R$110,16,0)</f>
        <v>412</v>
      </c>
      <c r="F35" s="165">
        <v>1079607085</v>
      </c>
      <c r="G35" s="165">
        <v>965625501</v>
      </c>
      <c r="H35" s="165">
        <v>450255434</v>
      </c>
      <c r="I35" s="165">
        <v>2020</v>
      </c>
      <c r="K35" s="165">
        <v>77441</v>
      </c>
      <c r="L35" s="166">
        <v>7744</v>
      </c>
      <c r="M35" s="165">
        <v>1</v>
      </c>
      <c r="N35" s="165">
        <v>484811936</v>
      </c>
      <c r="O35" s="165">
        <v>0</v>
      </c>
      <c r="P35" s="165">
        <v>484811936</v>
      </c>
      <c r="Q35" s="165">
        <v>479716344</v>
      </c>
      <c r="R35" s="165">
        <v>2021</v>
      </c>
    </row>
    <row r="36" spans="1:18" x14ac:dyDescent="0.3">
      <c r="A36" s="165" t="str">
        <f>presuvigencias[[#This Row],[PROYECTO]]&amp;presuvigencias[[#This Row],[METAPDD]]</f>
        <v>774441</v>
      </c>
      <c r="B36" s="165" t="str">
        <f>presuvigencias[[#This Row],[PROYECTO]]&amp;presuvigencias[[#This Row],[META]]</f>
        <v>77441</v>
      </c>
      <c r="C36" s="166">
        <v>7744</v>
      </c>
      <c r="D36" s="165">
        <v>1</v>
      </c>
      <c r="E36" s="165">
        <f>VLOOKUP(presuvigencias[[#This Row],[LLAVE]],ESTRATÉGICO!$C$3:$R$110,16,0)</f>
        <v>41</v>
      </c>
      <c r="F36" s="165">
        <v>1078169886</v>
      </c>
      <c r="G36" s="165">
        <v>851177778</v>
      </c>
      <c r="H36" s="165">
        <v>366365842</v>
      </c>
      <c r="I36" s="165">
        <v>2020</v>
      </c>
      <c r="K36" s="165">
        <v>77442</v>
      </c>
      <c r="L36" s="166">
        <v>7744</v>
      </c>
      <c r="M36" s="165">
        <v>2</v>
      </c>
      <c r="N36" s="165">
        <v>34795529679</v>
      </c>
      <c r="O36" s="165">
        <v>1051994398</v>
      </c>
      <c r="P36" s="165">
        <v>33743535281</v>
      </c>
      <c r="Q36" s="165">
        <v>33623595356</v>
      </c>
      <c r="R36" s="165">
        <v>2021</v>
      </c>
    </row>
    <row r="37" spans="1:18" x14ac:dyDescent="0.3">
      <c r="A37" s="165" t="str">
        <f>presuvigencias[[#This Row],[PROYECTO]]&amp;presuvigencias[[#This Row],[METAPDD]]</f>
        <v>774442</v>
      </c>
      <c r="B37" s="165" t="str">
        <f>presuvigencias[[#This Row],[PROYECTO]]&amp;presuvigencias[[#This Row],[META]]</f>
        <v>77442</v>
      </c>
      <c r="C37" s="166">
        <v>7744</v>
      </c>
      <c r="D37" s="165">
        <v>2</v>
      </c>
      <c r="E37" s="165">
        <f>VLOOKUP(presuvigencias[[#This Row],[LLAVE]],ESTRATÉGICO!$C$3:$R$110,16,0)</f>
        <v>42</v>
      </c>
      <c r="F37" s="165">
        <v>64050879501</v>
      </c>
      <c r="G37" s="165">
        <v>55571036493</v>
      </c>
      <c r="H37" s="165">
        <v>20775506814</v>
      </c>
      <c r="I37" s="165">
        <v>2020</v>
      </c>
      <c r="K37" s="165">
        <v>77443</v>
      </c>
      <c r="L37" s="166">
        <v>7744</v>
      </c>
      <c r="M37" s="165">
        <v>3</v>
      </c>
      <c r="N37" s="165">
        <v>1605362211</v>
      </c>
      <c r="O37" s="165">
        <v>29205935</v>
      </c>
      <c r="P37" s="165">
        <v>1576156276</v>
      </c>
      <c r="Q37" s="165">
        <v>1562009609</v>
      </c>
      <c r="R37" s="165">
        <v>2021</v>
      </c>
    </row>
    <row r="38" spans="1:18" x14ac:dyDescent="0.3">
      <c r="A38" s="165" t="str">
        <f>presuvigencias[[#This Row],[PROYECTO]]&amp;presuvigencias[[#This Row],[METAPDD]]</f>
        <v>774442</v>
      </c>
      <c r="B38" s="165" t="str">
        <f>presuvigencias[[#This Row],[PROYECTO]]&amp;presuvigencias[[#This Row],[META]]</f>
        <v>77443</v>
      </c>
      <c r="C38" s="166">
        <v>7744</v>
      </c>
      <c r="D38" s="165">
        <v>3</v>
      </c>
      <c r="E38" s="165">
        <f>VLOOKUP(presuvigencias[[#This Row],[LLAVE]],ESTRATÉGICO!$C$3:$R$110,16,0)</f>
        <v>42</v>
      </c>
      <c r="F38" s="165">
        <v>3536597003</v>
      </c>
      <c r="G38" s="165">
        <v>2984083801</v>
      </c>
      <c r="H38" s="165">
        <v>1378721590</v>
      </c>
      <c r="I38" s="165">
        <v>2020</v>
      </c>
      <c r="K38" s="165">
        <v>77444</v>
      </c>
      <c r="L38" s="166">
        <v>7744</v>
      </c>
      <c r="M38" s="165">
        <v>4</v>
      </c>
      <c r="N38" s="165">
        <v>95785567</v>
      </c>
      <c r="O38" s="165">
        <v>21965000</v>
      </c>
      <c r="P38" s="165">
        <v>73820567</v>
      </c>
      <c r="Q38" s="165">
        <v>73820567</v>
      </c>
      <c r="R38" s="165">
        <v>2021</v>
      </c>
    </row>
    <row r="39" spans="1:18" x14ac:dyDescent="0.3">
      <c r="A39" s="165" t="str">
        <f>presuvigencias[[#This Row],[PROYECTO]]&amp;presuvigencias[[#This Row],[METAPDD]]</f>
        <v>774442</v>
      </c>
      <c r="B39" s="165" t="str">
        <f>presuvigencias[[#This Row],[PROYECTO]]&amp;presuvigencias[[#This Row],[META]]</f>
        <v>77444</v>
      </c>
      <c r="C39" s="166">
        <v>7744</v>
      </c>
      <c r="D39" s="165">
        <v>4</v>
      </c>
      <c r="E39" s="165">
        <f>VLOOKUP(presuvigencias[[#This Row],[LLAVE]],ESTRATÉGICO!$C$3:$R$110,16,0)</f>
        <v>42</v>
      </c>
      <c r="F39" s="165">
        <v>187618434</v>
      </c>
      <c r="G39" s="165">
        <v>163502334</v>
      </c>
      <c r="H39" s="165">
        <v>67716767</v>
      </c>
      <c r="I39" s="165">
        <v>2020</v>
      </c>
      <c r="K39" s="165">
        <v>77445</v>
      </c>
      <c r="L39" s="166">
        <v>7744</v>
      </c>
      <c r="M39" s="165">
        <v>5</v>
      </c>
      <c r="N39" s="165">
        <v>2888120452</v>
      </c>
      <c r="O39" s="165">
        <v>49690974</v>
      </c>
      <c r="P39" s="165">
        <v>2838429478</v>
      </c>
      <c r="Q39" s="165">
        <v>2837809367</v>
      </c>
      <c r="R39" s="165">
        <v>2021</v>
      </c>
    </row>
    <row r="40" spans="1:18" x14ac:dyDescent="0.3">
      <c r="A40" s="165" t="str">
        <f>presuvigencias[[#This Row],[PROYECTO]]&amp;presuvigencias[[#This Row],[METAPDD]]</f>
        <v>774443</v>
      </c>
      <c r="B40" s="165" t="str">
        <f>presuvigencias[[#This Row],[PROYECTO]]&amp;presuvigencias[[#This Row],[META]]</f>
        <v>77445</v>
      </c>
      <c r="C40" s="166">
        <v>7744</v>
      </c>
      <c r="D40" s="165">
        <v>5</v>
      </c>
      <c r="E40" s="165">
        <f>VLOOKUP(presuvigencias[[#This Row],[LLAVE]],ESTRATÉGICO!$C$3:$R$110,16,0)</f>
        <v>43</v>
      </c>
      <c r="F40" s="165">
        <v>5999030659</v>
      </c>
      <c r="G40" s="165">
        <v>5116936976</v>
      </c>
      <c r="H40" s="165">
        <v>2228816524</v>
      </c>
      <c r="I40" s="165">
        <v>2020</v>
      </c>
      <c r="K40" s="165">
        <v>77446</v>
      </c>
      <c r="L40" s="167">
        <v>7744</v>
      </c>
      <c r="M40" s="165">
        <v>6</v>
      </c>
      <c r="N40" s="165">
        <v>498822600</v>
      </c>
      <c r="O40" s="165">
        <v>18825600</v>
      </c>
      <c r="P40" s="165">
        <v>479997000</v>
      </c>
      <c r="Q40" s="165">
        <v>479997000</v>
      </c>
      <c r="R40" s="165">
        <v>2021</v>
      </c>
    </row>
    <row r="41" spans="1:18" x14ac:dyDescent="0.3">
      <c r="A41" s="165" t="str">
        <f>presuvigencias[[#This Row],[PROYECTO]]&amp;presuvigencias[[#This Row],[METAPDD]]</f>
        <v>774447</v>
      </c>
      <c r="B41" s="165" t="str">
        <f>presuvigencias[[#This Row],[PROYECTO]]&amp;presuvigencias[[#This Row],[META]]</f>
        <v>77446</v>
      </c>
      <c r="C41" s="167">
        <v>7744</v>
      </c>
      <c r="D41" s="165">
        <v>6</v>
      </c>
      <c r="E41" s="165">
        <f>VLOOKUP(presuvigencias[[#This Row],[LLAVE]],ESTRATÉGICO!$C$3:$R$110,16,0)</f>
        <v>47</v>
      </c>
      <c r="F41" s="165">
        <v>1005541600</v>
      </c>
      <c r="G41" s="165">
        <v>897477200</v>
      </c>
      <c r="H41" s="165">
        <v>398654600</v>
      </c>
      <c r="I41" s="165">
        <v>2020</v>
      </c>
      <c r="K41" s="165">
        <v>77452</v>
      </c>
      <c r="L41" s="166">
        <v>7745</v>
      </c>
      <c r="M41" s="165">
        <v>2</v>
      </c>
      <c r="N41" s="165">
        <v>13095667457</v>
      </c>
      <c r="O41" s="165">
        <v>547416731</v>
      </c>
      <c r="P41" s="165">
        <v>12548250726</v>
      </c>
      <c r="Q41" s="165">
        <v>11998443346</v>
      </c>
      <c r="R41" s="165">
        <v>2021</v>
      </c>
    </row>
    <row r="42" spans="1:18" x14ac:dyDescent="0.3">
      <c r="A42" s="165" t="str">
        <f>presuvigencias[[#This Row],[PROYECTO]]&amp;presuvigencias[[#This Row],[METAPDD]]</f>
        <v>774550</v>
      </c>
      <c r="B42" s="165" t="str">
        <f>presuvigencias[[#This Row],[PROYECTO]]&amp;presuvigencias[[#This Row],[META]]</f>
        <v>77452</v>
      </c>
      <c r="C42" s="166">
        <v>7745</v>
      </c>
      <c r="D42" s="165">
        <v>2</v>
      </c>
      <c r="E42" s="165">
        <f>VLOOKUP(presuvigencias[[#This Row],[LLAVE]],ESTRATÉGICO!$C$3:$R$110,16,0)</f>
        <v>50</v>
      </c>
      <c r="F42" s="165">
        <v>43292451279</v>
      </c>
      <c r="G42" s="165">
        <v>42281911131</v>
      </c>
      <c r="H42" s="165">
        <v>29186243674</v>
      </c>
      <c r="I42" s="165">
        <v>2020</v>
      </c>
      <c r="K42" s="165">
        <v>77453</v>
      </c>
      <c r="L42" s="166">
        <v>7745</v>
      </c>
      <c r="M42" s="165">
        <v>3</v>
      </c>
      <c r="N42" s="165">
        <v>10336000</v>
      </c>
      <c r="O42" s="165">
        <v>0</v>
      </c>
      <c r="P42" s="165">
        <v>10336000</v>
      </c>
      <c r="Q42" s="165">
        <v>10336000</v>
      </c>
      <c r="R42" s="165">
        <v>2021</v>
      </c>
    </row>
    <row r="43" spans="1:18" x14ac:dyDescent="0.3">
      <c r="A43" s="165" t="str">
        <f>presuvigencias[[#This Row],[PROYECTO]]&amp;presuvigencias[[#This Row],[METAPDD]]</f>
        <v>774550</v>
      </c>
      <c r="B43" s="165" t="str">
        <f>presuvigencias[[#This Row],[PROYECTO]]&amp;presuvigencias[[#This Row],[META]]</f>
        <v>77453</v>
      </c>
      <c r="C43" s="166">
        <v>7745</v>
      </c>
      <c r="D43" s="165">
        <v>3</v>
      </c>
      <c r="E43" s="165">
        <f>VLOOKUP(presuvigencias[[#This Row],[LLAVE]],ESTRATÉGICO!$C$3:$R$110,16,0)</f>
        <v>50</v>
      </c>
      <c r="F43" s="165">
        <v>25840000</v>
      </c>
      <c r="G43" s="165">
        <v>25840000</v>
      </c>
      <c r="H43" s="165">
        <v>15504000</v>
      </c>
      <c r="I43" s="165">
        <v>2020</v>
      </c>
      <c r="K43" s="165">
        <v>77454</v>
      </c>
      <c r="L43" s="166">
        <v>7745</v>
      </c>
      <c r="M43" s="165">
        <v>4</v>
      </c>
      <c r="N43" s="165">
        <v>34200616469.950027</v>
      </c>
      <c r="O43" s="165">
        <v>0</v>
      </c>
      <c r="P43" s="165">
        <v>34200616469.950027</v>
      </c>
      <c r="Q43" s="165">
        <v>31407221747.340015</v>
      </c>
      <c r="R43" s="165">
        <v>2021</v>
      </c>
    </row>
    <row r="44" spans="1:18" x14ac:dyDescent="0.3">
      <c r="A44" s="165" t="str">
        <f>presuvigencias[[#This Row],[PROYECTO]]&amp;presuvigencias[[#This Row],[METAPDD]]</f>
        <v>774551</v>
      </c>
      <c r="B44" s="165" t="str">
        <f>presuvigencias[[#This Row],[PROYECTO]]&amp;presuvigencias[[#This Row],[META]]</f>
        <v>77454</v>
      </c>
      <c r="C44" s="166">
        <v>7745</v>
      </c>
      <c r="D44" s="165">
        <v>4</v>
      </c>
      <c r="E44" s="165">
        <f>VLOOKUP(presuvigencias[[#This Row],[LLAVE]],ESTRATÉGICO!$C$3:$R$110,16,0)</f>
        <v>51</v>
      </c>
      <c r="F44" s="165">
        <v>80290003485</v>
      </c>
      <c r="G44" s="165">
        <v>80039400761.459976</v>
      </c>
      <c r="H44" s="165">
        <v>45838784291.510002</v>
      </c>
      <c r="I44" s="165">
        <v>2020</v>
      </c>
      <c r="K44" s="165">
        <v>77455</v>
      </c>
      <c r="L44" s="166">
        <v>7745</v>
      </c>
      <c r="M44" s="165">
        <v>5</v>
      </c>
      <c r="N44" s="165">
        <v>9130133</v>
      </c>
      <c r="O44" s="165">
        <v>0</v>
      </c>
      <c r="P44" s="165">
        <v>9130133</v>
      </c>
      <c r="Q44" s="165">
        <v>9130133</v>
      </c>
      <c r="R44" s="165">
        <v>2021</v>
      </c>
    </row>
    <row r="45" spans="1:18" x14ac:dyDescent="0.3">
      <c r="A45" s="165" t="str">
        <f>presuvigencias[[#This Row],[PROYECTO]]&amp;presuvigencias[[#This Row],[METAPDD]]</f>
        <v>774564</v>
      </c>
      <c r="B45" s="165" t="str">
        <f>presuvigencias[[#This Row],[PROYECTO]]&amp;presuvigencias[[#This Row],[META]]</f>
        <v>77455</v>
      </c>
      <c r="C45" s="166">
        <v>7745</v>
      </c>
      <c r="D45" s="165">
        <v>5</v>
      </c>
      <c r="E45" s="165">
        <f>VLOOKUP(presuvigencias[[#This Row],[LLAVE]],ESTRATÉGICO!$C$3:$R$110,16,0)</f>
        <v>64</v>
      </c>
      <c r="F45" s="165">
        <v>25840000</v>
      </c>
      <c r="G45" s="165">
        <v>25840000</v>
      </c>
      <c r="H45" s="165">
        <v>16709867</v>
      </c>
      <c r="I45" s="165">
        <v>2020</v>
      </c>
      <c r="K45" s="165">
        <v>77457</v>
      </c>
      <c r="L45" s="166">
        <v>7745</v>
      </c>
      <c r="M45" s="165">
        <v>7</v>
      </c>
      <c r="N45" s="165">
        <v>303171273</v>
      </c>
      <c r="O45" s="165">
        <v>0</v>
      </c>
      <c r="P45" s="165">
        <v>303171273</v>
      </c>
      <c r="Q45" s="165">
        <v>281480572</v>
      </c>
      <c r="R45" s="165">
        <v>2021</v>
      </c>
    </row>
    <row r="46" spans="1:18" x14ac:dyDescent="0.3">
      <c r="A46" s="165" t="str">
        <f>presuvigencias[[#This Row],[PROYECTO]]&amp;presuvigencias[[#This Row],[METAPDD]]</f>
        <v>774564</v>
      </c>
      <c r="B46" s="165" t="str">
        <f>presuvigencias[[#This Row],[PROYECTO]]&amp;presuvigencias[[#This Row],[META]]</f>
        <v>77456</v>
      </c>
      <c r="C46" s="166">
        <v>7745</v>
      </c>
      <c r="D46" s="165">
        <v>6</v>
      </c>
      <c r="E46" s="165">
        <f>VLOOKUP(presuvigencias[[#This Row],[LLAVE]],ESTRATÉGICO!$C$3:$R$110,16,0)</f>
        <v>64</v>
      </c>
      <c r="F46" s="165">
        <v>20966555671</v>
      </c>
      <c r="G46" s="165">
        <v>20966555671</v>
      </c>
      <c r="H46" s="165">
        <v>20966555671</v>
      </c>
      <c r="I46" s="165">
        <v>2020</v>
      </c>
      <c r="K46" s="165">
        <v>77458</v>
      </c>
      <c r="L46" s="166">
        <v>7745</v>
      </c>
      <c r="M46" s="165">
        <v>8</v>
      </c>
      <c r="N46" s="165">
        <v>166790366</v>
      </c>
      <c r="O46" s="165">
        <v>0</v>
      </c>
      <c r="P46" s="165">
        <v>166790366</v>
      </c>
      <c r="Q46" s="165">
        <v>166790366</v>
      </c>
      <c r="R46" s="165">
        <v>2021</v>
      </c>
    </row>
    <row r="47" spans="1:18" x14ac:dyDescent="0.3">
      <c r="A47" s="165" t="str">
        <f>presuvigencias[[#This Row],[PROYECTO]]&amp;presuvigencias[[#This Row],[METAPDD]]</f>
        <v>774551</v>
      </c>
      <c r="B47" s="165" t="str">
        <f>presuvigencias[[#This Row],[PROYECTO]]&amp;presuvigencias[[#This Row],[META]]</f>
        <v>77457</v>
      </c>
      <c r="C47" s="166">
        <v>7745</v>
      </c>
      <c r="D47" s="165">
        <v>7</v>
      </c>
      <c r="E47" s="165">
        <f>VLOOKUP(presuvigencias[[#This Row],[LLAVE]],ESTRATÉGICO!$C$3:$R$110,16,0)</f>
        <v>51</v>
      </c>
      <c r="F47" s="165">
        <v>585179589</v>
      </c>
      <c r="G47" s="165">
        <v>550759589</v>
      </c>
      <c r="H47" s="165">
        <v>247588316</v>
      </c>
      <c r="I47" s="165">
        <v>2020</v>
      </c>
      <c r="K47" s="165">
        <v>77459</v>
      </c>
      <c r="L47" s="166">
        <v>7745</v>
      </c>
      <c r="M47" s="165">
        <v>9</v>
      </c>
      <c r="N47" s="165">
        <v>35314666</v>
      </c>
      <c r="O47" s="165">
        <v>0</v>
      </c>
      <c r="P47" s="165">
        <v>35314666</v>
      </c>
      <c r="Q47" s="165">
        <v>35142399</v>
      </c>
      <c r="R47" s="165">
        <v>2021</v>
      </c>
    </row>
    <row r="48" spans="1:18" x14ac:dyDescent="0.3">
      <c r="A48" s="165" t="str">
        <f>presuvigencias[[#This Row],[PROYECTO]]&amp;presuvigencias[[#This Row],[METAPDD]]</f>
        <v>774551</v>
      </c>
      <c r="B48" s="165" t="str">
        <f>presuvigencias[[#This Row],[PROYECTO]]&amp;presuvigencias[[#This Row],[META]]</f>
        <v>77458</v>
      </c>
      <c r="C48" s="166">
        <v>7745</v>
      </c>
      <c r="D48" s="165">
        <v>8</v>
      </c>
      <c r="E48" s="165">
        <f>VLOOKUP(presuvigencias[[#This Row],[LLAVE]],ESTRATÉGICO!$C$3:$R$110,16,0)</f>
        <v>51</v>
      </c>
      <c r="F48" s="165">
        <v>359335001</v>
      </c>
      <c r="G48" s="165">
        <v>345967000</v>
      </c>
      <c r="H48" s="165">
        <v>179176634</v>
      </c>
      <c r="I48" s="165">
        <v>2020</v>
      </c>
      <c r="K48" s="165">
        <v>774510</v>
      </c>
      <c r="L48" s="166">
        <v>7745</v>
      </c>
      <c r="M48" s="165">
        <v>10</v>
      </c>
      <c r="N48" s="165">
        <v>16603500</v>
      </c>
      <c r="O48" s="165">
        <v>0</v>
      </c>
      <c r="P48" s="165">
        <v>16603500</v>
      </c>
      <c r="Q48" s="165">
        <v>16603500</v>
      </c>
      <c r="R48" s="165">
        <v>2021</v>
      </c>
    </row>
    <row r="49" spans="1:18" x14ac:dyDescent="0.3">
      <c r="A49" s="165" t="str">
        <f>presuvigencias[[#This Row],[PROYECTO]]&amp;presuvigencias[[#This Row],[METAPDD]]</f>
        <v>774554</v>
      </c>
      <c r="B49" s="165" t="str">
        <f>presuvigencias[[#This Row],[PROYECTO]]&amp;presuvigencias[[#This Row],[META]]</f>
        <v>77459</v>
      </c>
      <c r="C49" s="166">
        <v>7745</v>
      </c>
      <c r="D49" s="165">
        <v>9</v>
      </c>
      <c r="E49" s="165">
        <f>VLOOKUP(presuvigencias[[#This Row],[LLAVE]],ESTRATÉGICO!$C$3:$R$110,16,0)</f>
        <v>54</v>
      </c>
      <c r="F49" s="165">
        <v>85272000</v>
      </c>
      <c r="G49" s="165">
        <v>85272000</v>
      </c>
      <c r="H49" s="165">
        <v>49957334</v>
      </c>
      <c r="I49" s="165">
        <v>2020</v>
      </c>
      <c r="K49" s="165">
        <v>774511</v>
      </c>
      <c r="L49" s="167">
        <v>7745</v>
      </c>
      <c r="M49" s="165">
        <v>11</v>
      </c>
      <c r="N49" s="165">
        <v>994433877.04999995</v>
      </c>
      <c r="O49" s="165">
        <v>0</v>
      </c>
      <c r="P49" s="165">
        <v>994433877.04999995</v>
      </c>
      <c r="Q49" s="165">
        <v>951756292.65999997</v>
      </c>
      <c r="R49" s="165">
        <v>2021</v>
      </c>
    </row>
    <row r="50" spans="1:18" x14ac:dyDescent="0.3">
      <c r="A50" s="165" t="str">
        <f>presuvigencias[[#This Row],[PROYECTO]]&amp;presuvigencias[[#This Row],[METAPDD]]</f>
        <v>774554</v>
      </c>
      <c r="B50" s="165" t="str">
        <f>presuvigencias[[#This Row],[PROYECTO]]&amp;presuvigencias[[#This Row],[META]]</f>
        <v>774510</v>
      </c>
      <c r="C50" s="166">
        <v>7745</v>
      </c>
      <c r="D50" s="165">
        <v>10</v>
      </c>
      <c r="E50" s="165">
        <f>VLOOKUP(presuvigencias[[#This Row],[LLAVE]],ESTRATÉGICO!$C$3:$R$110,16,0)</f>
        <v>54</v>
      </c>
      <c r="F50" s="165">
        <v>42190000</v>
      </c>
      <c r="G50" s="165">
        <v>42190000</v>
      </c>
      <c r="H50" s="165">
        <v>25586500</v>
      </c>
      <c r="I50" s="165">
        <v>2020</v>
      </c>
      <c r="K50" s="165">
        <v>77481</v>
      </c>
      <c r="L50" s="166">
        <v>7748</v>
      </c>
      <c r="M50" s="165">
        <v>1</v>
      </c>
      <c r="N50" s="165">
        <v>37547973709.000008</v>
      </c>
      <c r="O50" s="165">
        <v>6684713</v>
      </c>
      <c r="P50" s="165">
        <v>37541288996.000008</v>
      </c>
      <c r="Q50" s="165">
        <v>36854456504.820839</v>
      </c>
      <c r="R50" s="165">
        <v>2021</v>
      </c>
    </row>
    <row r="51" spans="1:18" x14ac:dyDescent="0.3">
      <c r="A51" s="165" t="str">
        <f>presuvigencias[[#This Row],[PROYECTO]]&amp;presuvigencias[[#This Row],[METAPDD]]</f>
        <v>774545</v>
      </c>
      <c r="B51" s="165" t="str">
        <f>presuvigencias[[#This Row],[PROYECTO]]&amp;presuvigencias[[#This Row],[META]]</f>
        <v>774511</v>
      </c>
      <c r="C51" s="167">
        <v>7745</v>
      </c>
      <c r="D51" s="165">
        <v>11</v>
      </c>
      <c r="E51" s="165">
        <f>VLOOKUP(presuvigencias[[#This Row],[LLAVE]],ESTRATÉGICO!$C$3:$R$110,16,0)</f>
        <v>45</v>
      </c>
      <c r="F51" s="165">
        <v>3036294232</v>
      </c>
      <c r="G51" s="165">
        <v>3036291925.5400004</v>
      </c>
      <c r="H51" s="165">
        <v>2041858048.4899998</v>
      </c>
      <c r="I51" s="165">
        <v>2020</v>
      </c>
      <c r="K51" s="165">
        <v>77482</v>
      </c>
      <c r="L51" s="166">
        <v>7748</v>
      </c>
      <c r="M51" s="165">
        <v>2</v>
      </c>
      <c r="N51" s="165">
        <v>572817474</v>
      </c>
      <c r="O51" s="165">
        <v>0</v>
      </c>
      <c r="P51" s="165">
        <v>572817474</v>
      </c>
      <c r="Q51" s="165">
        <v>567852790</v>
      </c>
      <c r="R51" s="165">
        <v>2021</v>
      </c>
    </row>
    <row r="52" spans="1:18" x14ac:dyDescent="0.3">
      <c r="A52" s="165" t="str">
        <f>presuvigencias[[#This Row],[PROYECTO]]&amp;presuvigencias[[#This Row],[METAPDD]]</f>
        <v>7748513</v>
      </c>
      <c r="B52" s="165" t="str">
        <f>presuvigencias[[#This Row],[PROYECTO]]&amp;presuvigencias[[#This Row],[META]]</f>
        <v>77481</v>
      </c>
      <c r="C52" s="166">
        <v>7748</v>
      </c>
      <c r="D52" s="165">
        <v>1</v>
      </c>
      <c r="E52" s="165">
        <f>VLOOKUP(presuvigencias[[#This Row],[LLAVE]],ESTRATÉGICO!$C$3:$R$110,16,0)</f>
        <v>513</v>
      </c>
      <c r="F52" s="165">
        <v>48984216535</v>
      </c>
      <c r="G52" s="165">
        <v>45469270497</v>
      </c>
      <c r="H52" s="165">
        <v>7921296787.9999981</v>
      </c>
      <c r="I52" s="165">
        <v>2020</v>
      </c>
      <c r="K52" s="165">
        <v>77483</v>
      </c>
      <c r="L52" s="166">
        <v>7748</v>
      </c>
      <c r="M52" s="165">
        <v>3</v>
      </c>
      <c r="N52" s="165">
        <v>168472406</v>
      </c>
      <c r="O52" s="165">
        <v>0</v>
      </c>
      <c r="P52" s="165">
        <v>168472406</v>
      </c>
      <c r="Q52" s="165">
        <v>150287302</v>
      </c>
      <c r="R52" s="165">
        <v>2021</v>
      </c>
    </row>
    <row r="53" spans="1:18" x14ac:dyDescent="0.3">
      <c r="A53" s="165" t="str">
        <f>presuvigencias[[#This Row],[PROYECTO]]&amp;presuvigencias[[#This Row],[METAPDD]]</f>
        <v>7748513</v>
      </c>
      <c r="B53" s="165" t="str">
        <f>presuvigencias[[#This Row],[PROYECTO]]&amp;presuvigencias[[#This Row],[META]]</f>
        <v>77482</v>
      </c>
      <c r="C53" s="166">
        <v>7748</v>
      </c>
      <c r="D53" s="165">
        <v>2</v>
      </c>
      <c r="E53" s="165">
        <f>VLOOKUP(presuvigencias[[#This Row],[LLAVE]],ESTRATÉGICO!$C$3:$R$110,16,0)</f>
        <v>513</v>
      </c>
      <c r="F53" s="165">
        <v>944899947</v>
      </c>
      <c r="G53" s="165">
        <v>856936643</v>
      </c>
      <c r="H53" s="165">
        <v>284119169</v>
      </c>
      <c r="I53" s="165">
        <v>2020</v>
      </c>
      <c r="K53" s="165">
        <v>77484</v>
      </c>
      <c r="L53" s="166">
        <v>7748</v>
      </c>
      <c r="M53" s="165">
        <v>4</v>
      </c>
      <c r="N53" s="165">
        <v>3415489393</v>
      </c>
      <c r="O53" s="165">
        <v>0</v>
      </c>
      <c r="P53" s="165">
        <v>3415489393</v>
      </c>
      <c r="Q53" s="165">
        <v>3373618705</v>
      </c>
      <c r="R53" s="165">
        <v>2021</v>
      </c>
    </row>
    <row r="54" spans="1:18" x14ac:dyDescent="0.3">
      <c r="A54" s="165" t="str">
        <f>presuvigencias[[#This Row],[PROYECTO]]&amp;presuvigencias[[#This Row],[METAPDD]]</f>
        <v>7748513</v>
      </c>
      <c r="B54" s="165" t="str">
        <f>presuvigencias[[#This Row],[PROYECTO]]&amp;presuvigencias[[#This Row],[META]]</f>
        <v>77483</v>
      </c>
      <c r="C54" s="166">
        <v>7748</v>
      </c>
      <c r="D54" s="165">
        <v>3</v>
      </c>
      <c r="E54" s="165">
        <f>VLOOKUP(presuvigencias[[#This Row],[LLAVE]],ESTRATÉGICO!$C$3:$R$110,16,0)</f>
        <v>513</v>
      </c>
      <c r="F54" s="165">
        <v>338864240</v>
      </c>
      <c r="G54" s="165">
        <v>301627040</v>
      </c>
      <c r="H54" s="165">
        <v>133154634</v>
      </c>
      <c r="I54" s="165">
        <v>2020</v>
      </c>
      <c r="K54" s="165">
        <v>77485</v>
      </c>
      <c r="L54" s="166">
        <v>7748</v>
      </c>
      <c r="M54" s="165">
        <v>5</v>
      </c>
      <c r="N54" s="165">
        <v>31924800</v>
      </c>
      <c r="O54" s="165">
        <v>0</v>
      </c>
      <c r="P54" s="165">
        <v>31924800</v>
      </c>
      <c r="Q54" s="165">
        <v>31924800</v>
      </c>
      <c r="R54" s="165">
        <v>2021</v>
      </c>
    </row>
    <row r="55" spans="1:18" x14ac:dyDescent="0.3">
      <c r="A55" s="165" t="str">
        <f>presuvigencias[[#This Row],[PROYECTO]]&amp;presuvigencias[[#This Row],[METAPDD]]</f>
        <v>7748519</v>
      </c>
      <c r="B55" s="165" t="str">
        <f>presuvigencias[[#This Row],[PROYECTO]]&amp;presuvigencias[[#This Row],[META]]</f>
        <v>77484</v>
      </c>
      <c r="C55" s="166">
        <v>7748</v>
      </c>
      <c r="D55" s="165">
        <v>4</v>
      </c>
      <c r="E55" s="165">
        <f>VLOOKUP(presuvigencias[[#This Row],[LLAVE]],ESTRATÉGICO!$C$3:$R$110,16,0)</f>
        <v>519</v>
      </c>
      <c r="F55" s="165">
        <v>87449421265</v>
      </c>
      <c r="G55" s="165">
        <v>87204853783.999985</v>
      </c>
      <c r="H55" s="165">
        <v>83789364391</v>
      </c>
      <c r="I55" s="165">
        <v>2020</v>
      </c>
      <c r="K55" s="165">
        <v>77486</v>
      </c>
      <c r="L55" s="166">
        <v>7748</v>
      </c>
      <c r="M55" s="165">
        <v>6</v>
      </c>
      <c r="N55" s="165">
        <v>1019275587</v>
      </c>
      <c r="O55" s="165">
        <v>0</v>
      </c>
      <c r="P55" s="165">
        <v>1019275587</v>
      </c>
      <c r="Q55" s="165">
        <v>1003579203</v>
      </c>
      <c r="R55" s="165">
        <v>2021</v>
      </c>
    </row>
    <row r="56" spans="1:18" x14ac:dyDescent="0.3">
      <c r="A56" s="165" t="str">
        <f>presuvigencias[[#This Row],[PROYECTO]]&amp;presuvigencias[[#This Row],[METAPDD]]</f>
        <v>7748519</v>
      </c>
      <c r="B56" s="165" t="str">
        <f>presuvigencias[[#This Row],[PROYECTO]]&amp;presuvigencias[[#This Row],[META]]</f>
        <v>77485</v>
      </c>
      <c r="C56" s="166">
        <v>7748</v>
      </c>
      <c r="D56" s="165">
        <v>5</v>
      </c>
      <c r="E56" s="165">
        <f>VLOOKUP(presuvigencias[[#This Row],[LLAVE]],ESTRATÉGICO!$C$3:$R$110,16,0)</f>
        <v>519</v>
      </c>
      <c r="F56" s="165">
        <v>66510000</v>
      </c>
      <c r="G56" s="165">
        <v>66510000</v>
      </c>
      <c r="H56" s="165">
        <v>34585200</v>
      </c>
      <c r="I56" s="165">
        <v>2020</v>
      </c>
      <c r="K56" s="165">
        <v>77487</v>
      </c>
      <c r="L56" s="167">
        <v>7748</v>
      </c>
      <c r="M56" s="165">
        <v>7</v>
      </c>
      <c r="N56" s="165">
        <v>105662800</v>
      </c>
      <c r="O56" s="165">
        <v>0</v>
      </c>
      <c r="P56" s="165">
        <v>105662800</v>
      </c>
      <c r="Q56" s="165">
        <v>105498107</v>
      </c>
      <c r="R56" s="165">
        <v>2021</v>
      </c>
    </row>
    <row r="57" spans="1:18" x14ac:dyDescent="0.3">
      <c r="A57" s="165" t="str">
        <f>presuvigencias[[#This Row],[PROYECTO]]&amp;presuvigencias[[#This Row],[METAPDD]]</f>
        <v>7748519</v>
      </c>
      <c r="B57" s="165" t="str">
        <f>presuvigencias[[#This Row],[PROYECTO]]&amp;presuvigencias[[#This Row],[META]]</f>
        <v>77486</v>
      </c>
      <c r="C57" s="166">
        <v>7748</v>
      </c>
      <c r="D57" s="165">
        <v>6</v>
      </c>
      <c r="E57" s="165">
        <f>VLOOKUP(presuvigencias[[#This Row],[LLAVE]],ESTRATÉGICO!$C$3:$R$110,16,0)</f>
        <v>519</v>
      </c>
      <c r="F57" s="165">
        <v>1235378007</v>
      </c>
      <c r="G57" s="165">
        <v>1128838488</v>
      </c>
      <c r="H57" s="165">
        <v>109562901</v>
      </c>
      <c r="I57" s="165">
        <v>2020</v>
      </c>
      <c r="K57" s="165">
        <v>77491</v>
      </c>
      <c r="L57" s="166">
        <v>7749</v>
      </c>
      <c r="M57" s="165">
        <v>1</v>
      </c>
      <c r="N57" s="165">
        <v>15504000</v>
      </c>
      <c r="O57" s="165">
        <v>0</v>
      </c>
      <c r="P57" s="165">
        <v>15504000</v>
      </c>
      <c r="Q57" s="165">
        <v>15504000</v>
      </c>
      <c r="R57" s="165">
        <v>2021</v>
      </c>
    </row>
    <row r="58" spans="1:18" x14ac:dyDescent="0.3">
      <c r="A58" s="165" t="str">
        <f>presuvigencias[[#This Row],[PROYECTO]]&amp;presuvigencias[[#This Row],[METAPDD]]</f>
        <v>7748519</v>
      </c>
      <c r="B58" s="165" t="str">
        <f>presuvigencias[[#This Row],[PROYECTO]]&amp;presuvigencias[[#This Row],[META]]</f>
        <v>77487</v>
      </c>
      <c r="C58" s="167">
        <v>7748</v>
      </c>
      <c r="D58" s="165">
        <v>7</v>
      </c>
      <c r="E58" s="165">
        <f>VLOOKUP(presuvigencias[[#This Row],[LLAVE]],ESTRATÉGICO!$C$3:$R$110,16,0)</f>
        <v>519</v>
      </c>
      <c r="F58" s="165">
        <v>192393000</v>
      </c>
      <c r="G58" s="165">
        <v>157944400</v>
      </c>
      <c r="H58" s="165">
        <v>52281600</v>
      </c>
      <c r="I58" s="165">
        <v>2020</v>
      </c>
      <c r="K58" s="165">
        <v>77492</v>
      </c>
      <c r="L58" s="166">
        <v>7749</v>
      </c>
      <c r="M58" s="165">
        <v>2</v>
      </c>
      <c r="N58" s="165">
        <v>593163237</v>
      </c>
      <c r="O58" s="165">
        <v>0</v>
      </c>
      <c r="P58" s="165">
        <v>593163237</v>
      </c>
      <c r="Q58" s="165">
        <v>593163237</v>
      </c>
      <c r="R58" s="165">
        <v>2021</v>
      </c>
    </row>
    <row r="59" spans="1:18" x14ac:dyDescent="0.3">
      <c r="A59" s="165" t="str">
        <f>presuvigencias[[#This Row],[PROYECTO]]&amp;presuvigencias[[#This Row],[METAPDD]]</f>
        <v>774963</v>
      </c>
      <c r="B59" s="165" t="str">
        <f>presuvigencias[[#This Row],[PROYECTO]]&amp;presuvigencias[[#This Row],[META]]</f>
        <v>77491</v>
      </c>
      <c r="C59" s="166">
        <v>7749</v>
      </c>
      <c r="D59" s="165">
        <v>1</v>
      </c>
      <c r="E59" s="165">
        <f>VLOOKUP(presuvigencias[[#This Row],[LLAVE]],ESTRATÉGICO!$C$3:$R$110,16,0)</f>
        <v>63</v>
      </c>
      <c r="F59" s="165">
        <v>26736000</v>
      </c>
      <c r="G59" s="165">
        <v>15504000</v>
      </c>
      <c r="H59" s="165">
        <v>0</v>
      </c>
      <c r="I59" s="165">
        <v>2020</v>
      </c>
      <c r="K59" s="165">
        <v>77493</v>
      </c>
      <c r="L59" s="167">
        <v>7749</v>
      </c>
      <c r="M59" s="165">
        <v>3</v>
      </c>
      <c r="N59" s="165">
        <v>1781279504</v>
      </c>
      <c r="O59" s="165">
        <v>339610655</v>
      </c>
      <c r="P59" s="165">
        <v>1441668849</v>
      </c>
      <c r="Q59" s="165">
        <v>1416219587</v>
      </c>
      <c r="R59" s="165">
        <v>2021</v>
      </c>
    </row>
    <row r="60" spans="1:18" x14ac:dyDescent="0.3">
      <c r="A60" s="165" t="str">
        <f>presuvigencias[[#This Row],[PROYECTO]]&amp;presuvigencias[[#This Row],[METAPDD]]</f>
        <v>774963</v>
      </c>
      <c r="B60" s="165" t="str">
        <f>presuvigencias[[#This Row],[PROYECTO]]&amp;presuvigencias[[#This Row],[META]]</f>
        <v>77492</v>
      </c>
      <c r="C60" s="166">
        <v>7749</v>
      </c>
      <c r="D60" s="165">
        <v>2</v>
      </c>
      <c r="E60" s="165">
        <f>VLOOKUP(presuvigencias[[#This Row],[LLAVE]],ESTRATÉGICO!$C$3:$R$110,16,0)</f>
        <v>63</v>
      </c>
      <c r="F60" s="165">
        <v>1152271000</v>
      </c>
      <c r="G60" s="165">
        <v>1122862000</v>
      </c>
      <c r="H60" s="165">
        <v>529698763</v>
      </c>
      <c r="I60" s="165">
        <v>2020</v>
      </c>
      <c r="K60" s="165">
        <v>77521</v>
      </c>
      <c r="L60" s="166">
        <v>7752</v>
      </c>
      <c r="M60" s="165">
        <v>1</v>
      </c>
      <c r="N60" s="165">
        <v>873403488</v>
      </c>
      <c r="O60" s="165">
        <v>21016533</v>
      </c>
      <c r="P60" s="165">
        <v>852386955</v>
      </c>
      <c r="Q60" s="165">
        <v>852183446</v>
      </c>
      <c r="R60" s="165">
        <v>2021</v>
      </c>
    </row>
    <row r="61" spans="1:18" x14ac:dyDescent="0.3">
      <c r="A61" s="165" t="str">
        <f>presuvigencias[[#This Row],[PROYECTO]]&amp;presuvigencias[[#This Row],[METAPDD]]</f>
        <v>774963</v>
      </c>
      <c r="B61" s="165" t="str">
        <f>presuvigencias[[#This Row],[PROYECTO]]&amp;presuvigencias[[#This Row],[META]]</f>
        <v>77493</v>
      </c>
      <c r="C61" s="167">
        <v>7749</v>
      </c>
      <c r="D61" s="165">
        <v>3</v>
      </c>
      <c r="E61" s="165">
        <f>VLOOKUP(presuvigencias[[#This Row],[LLAVE]],ESTRATÉGICO!$C$3:$R$110,16,0)</f>
        <v>63</v>
      </c>
      <c r="F61" s="165">
        <v>2598716550</v>
      </c>
      <c r="G61" s="165">
        <v>2302233455</v>
      </c>
      <c r="H61" s="165">
        <v>520953951</v>
      </c>
      <c r="I61" s="165">
        <v>2020</v>
      </c>
      <c r="K61" s="165">
        <v>77522</v>
      </c>
      <c r="L61" s="166">
        <v>7752</v>
      </c>
      <c r="M61" s="165">
        <v>2</v>
      </c>
      <c r="N61" s="165">
        <v>35956833</v>
      </c>
      <c r="O61" s="165">
        <v>0</v>
      </c>
      <c r="P61" s="165">
        <v>35956833</v>
      </c>
      <c r="Q61" s="165">
        <v>35956833</v>
      </c>
      <c r="R61" s="165">
        <v>2021</v>
      </c>
    </row>
    <row r="62" spans="1:18" x14ac:dyDescent="0.3">
      <c r="A62" s="165" t="str">
        <f>presuvigencias[[#This Row],[PROYECTO]]&amp;presuvigencias[[#This Row],[METAPDD]]</f>
        <v>775244</v>
      </c>
      <c r="B62" s="165" t="str">
        <f>presuvigencias[[#This Row],[PROYECTO]]&amp;presuvigencias[[#This Row],[META]]</f>
        <v>77521</v>
      </c>
      <c r="C62" s="166">
        <v>7752</v>
      </c>
      <c r="D62" s="165">
        <v>1</v>
      </c>
      <c r="E62" s="165">
        <f>VLOOKUP(presuvigencias[[#This Row],[LLAVE]],ESTRATÉGICO!$C$3:$R$110,16,0)</f>
        <v>44</v>
      </c>
      <c r="F62" s="165">
        <v>2132866017</v>
      </c>
      <c r="G62" s="165">
        <v>1357142955</v>
      </c>
      <c r="H62" s="165">
        <v>483739467</v>
      </c>
      <c r="I62" s="165">
        <v>2020</v>
      </c>
      <c r="K62" s="165">
        <v>77523</v>
      </c>
      <c r="L62" s="167">
        <v>7752</v>
      </c>
      <c r="M62" s="165">
        <v>3</v>
      </c>
      <c r="N62" s="165">
        <v>222033386</v>
      </c>
      <c r="O62" s="165">
        <v>300</v>
      </c>
      <c r="P62" s="165">
        <v>222033086</v>
      </c>
      <c r="Q62" s="165">
        <v>222033086</v>
      </c>
      <c r="R62" s="165">
        <v>2021</v>
      </c>
    </row>
    <row r="63" spans="1:18" x14ac:dyDescent="0.3">
      <c r="A63" s="165" t="str">
        <f>presuvigencias[[#This Row],[PROYECTO]]&amp;presuvigencias[[#This Row],[METAPDD]]</f>
        <v>775255</v>
      </c>
      <c r="B63" s="165" t="str">
        <f>presuvigencias[[#This Row],[PROYECTO]]&amp;presuvigencias[[#This Row],[META]]</f>
        <v>77522</v>
      </c>
      <c r="C63" s="166">
        <v>7752</v>
      </c>
      <c r="D63" s="165">
        <v>2</v>
      </c>
      <c r="E63" s="165">
        <f>VLOOKUP(presuvigencias[[#This Row],[LLAVE]],ESTRATÉGICO!$C$3:$R$110,16,0)</f>
        <v>55</v>
      </c>
      <c r="F63" s="165">
        <v>125303800</v>
      </c>
      <c r="G63" s="165">
        <v>117190933</v>
      </c>
      <c r="H63" s="165">
        <v>81234100</v>
      </c>
      <c r="I63" s="165">
        <v>2020</v>
      </c>
      <c r="K63" s="165">
        <v>77531</v>
      </c>
      <c r="L63" s="166">
        <v>7753</v>
      </c>
      <c r="M63" s="165">
        <v>1</v>
      </c>
      <c r="N63" s="165">
        <v>15653600</v>
      </c>
      <c r="O63" s="165">
        <v>0</v>
      </c>
      <c r="P63" s="165">
        <v>15653600</v>
      </c>
      <c r="Q63" s="165">
        <v>15653600</v>
      </c>
      <c r="R63" s="165">
        <v>2021</v>
      </c>
    </row>
    <row r="64" spans="1:18" x14ac:dyDescent="0.3">
      <c r="A64" s="165" t="str">
        <f>presuvigencias[[#This Row],[PROYECTO]]&amp;presuvigencias[[#This Row],[METAPDD]]</f>
        <v>775255</v>
      </c>
      <c r="B64" s="165" t="str">
        <f>presuvigencias[[#This Row],[PROYECTO]]&amp;presuvigencias[[#This Row],[META]]</f>
        <v>77523</v>
      </c>
      <c r="C64" s="167">
        <v>7752</v>
      </c>
      <c r="D64" s="165">
        <v>3</v>
      </c>
      <c r="E64" s="165">
        <f>VLOOKUP(presuvigencias[[#This Row],[LLAVE]],ESTRATÉGICO!$C$3:$R$110,16,0)</f>
        <v>55</v>
      </c>
      <c r="F64" s="165">
        <v>594794160</v>
      </c>
      <c r="G64" s="165">
        <v>442654131</v>
      </c>
      <c r="H64" s="165">
        <v>220620745</v>
      </c>
      <c r="I64" s="165">
        <v>2020</v>
      </c>
      <c r="K64" s="165">
        <v>77532</v>
      </c>
      <c r="L64" s="166">
        <v>7753</v>
      </c>
      <c r="M64" s="165">
        <v>2</v>
      </c>
      <c r="N64" s="165">
        <v>22601117</v>
      </c>
      <c r="O64" s="165">
        <v>0</v>
      </c>
      <c r="P64" s="165">
        <v>22601117</v>
      </c>
      <c r="Q64" s="165">
        <v>22543623</v>
      </c>
      <c r="R64" s="165">
        <v>2021</v>
      </c>
    </row>
    <row r="65" spans="1:18" x14ac:dyDescent="0.3">
      <c r="A65" s="165" t="str">
        <f>presuvigencias[[#This Row],[PROYECTO]]&amp;presuvigencias[[#This Row],[METAPDD]]</f>
        <v>775373</v>
      </c>
      <c r="B65" s="165" t="str">
        <f>presuvigencias[[#This Row],[PROYECTO]]&amp;presuvigencias[[#This Row],[META]]</f>
        <v>77531</v>
      </c>
      <c r="C65" s="166">
        <v>7753</v>
      </c>
      <c r="D65" s="165">
        <v>1</v>
      </c>
      <c r="E65" s="165">
        <f>VLOOKUP(presuvigencias[[#This Row],[LLAVE]],ESTRATÉGICO!$C$3:$R$110,16,0)</f>
        <v>73</v>
      </c>
      <c r="F65" s="165">
        <v>41360000</v>
      </c>
      <c r="G65" s="165">
        <v>41360000</v>
      </c>
      <c r="H65" s="165">
        <v>25706400</v>
      </c>
      <c r="I65" s="165">
        <v>2020</v>
      </c>
      <c r="K65" s="165">
        <v>77533</v>
      </c>
      <c r="L65" s="166">
        <v>7753</v>
      </c>
      <c r="M65" s="165">
        <v>3</v>
      </c>
      <c r="N65" s="165">
        <v>33835500</v>
      </c>
      <c r="O65" s="165">
        <v>0</v>
      </c>
      <c r="P65" s="165">
        <v>33835500</v>
      </c>
      <c r="Q65" s="165">
        <v>33835500</v>
      </c>
      <c r="R65" s="165">
        <v>2021</v>
      </c>
    </row>
    <row r="66" spans="1:18" x14ac:dyDescent="0.3">
      <c r="A66" s="165" t="str">
        <f>presuvigencias[[#This Row],[PROYECTO]]&amp;presuvigencias[[#This Row],[METAPDD]]</f>
        <v>775373</v>
      </c>
      <c r="B66" s="165" t="str">
        <f>presuvigencias[[#This Row],[PROYECTO]]&amp;presuvigencias[[#This Row],[META]]</f>
        <v>77532</v>
      </c>
      <c r="C66" s="166">
        <v>7753</v>
      </c>
      <c r="D66" s="165">
        <v>2</v>
      </c>
      <c r="E66" s="165">
        <f>VLOOKUP(presuvigencias[[#This Row],[LLAVE]],ESTRATÉGICO!$C$3:$R$110,16,0)</f>
        <v>73</v>
      </c>
      <c r="F66" s="165">
        <v>65988176</v>
      </c>
      <c r="G66" s="165">
        <v>65919783</v>
      </c>
      <c r="H66" s="165">
        <v>43318666</v>
      </c>
      <c r="I66" s="165">
        <v>2020</v>
      </c>
      <c r="K66" s="165">
        <v>77534</v>
      </c>
      <c r="L66" s="167">
        <v>7753</v>
      </c>
      <c r="M66" s="165">
        <v>4</v>
      </c>
      <c r="N66" s="165">
        <v>92631000</v>
      </c>
      <c r="O66" s="165">
        <v>0</v>
      </c>
      <c r="P66" s="165">
        <v>92631000</v>
      </c>
      <c r="Q66" s="165">
        <v>92631000</v>
      </c>
      <c r="R66" s="165">
        <v>2021</v>
      </c>
    </row>
    <row r="67" spans="1:18" x14ac:dyDescent="0.3">
      <c r="A67" s="165" t="str">
        <f>presuvigencias[[#This Row],[PROYECTO]]&amp;presuvigencias[[#This Row],[METAPDD]]</f>
        <v>775373</v>
      </c>
      <c r="B67" s="165" t="str">
        <f>presuvigencias[[#This Row],[PROYECTO]]&amp;presuvigencias[[#This Row],[META]]</f>
        <v>77533</v>
      </c>
      <c r="C67" s="166">
        <v>7753</v>
      </c>
      <c r="D67" s="165">
        <v>3</v>
      </c>
      <c r="E67" s="165">
        <f>VLOOKUP(presuvigencias[[#This Row],[LLAVE]],ESTRATÉGICO!$C$3:$R$110,16,0)</f>
        <v>73</v>
      </c>
      <c r="F67" s="165">
        <v>108015000</v>
      </c>
      <c r="G67" s="165">
        <v>108015000</v>
      </c>
      <c r="H67" s="165">
        <v>74179500</v>
      </c>
      <c r="I67" s="165">
        <v>2020</v>
      </c>
      <c r="K67" s="165">
        <v>77561</v>
      </c>
      <c r="L67" s="166">
        <v>7756</v>
      </c>
      <c r="M67" s="165">
        <v>1</v>
      </c>
      <c r="N67" s="165">
        <v>199746180</v>
      </c>
      <c r="O67" s="165">
        <v>0</v>
      </c>
      <c r="P67" s="165">
        <v>199746180</v>
      </c>
      <c r="Q67" s="165">
        <v>199746180.00307691</v>
      </c>
      <c r="R67" s="165">
        <v>2021</v>
      </c>
    </row>
    <row r="68" spans="1:18" x14ac:dyDescent="0.3">
      <c r="A68" s="165" t="str">
        <f>presuvigencias[[#This Row],[PROYECTO]]&amp;presuvigencias[[#This Row],[METAPDD]]</f>
        <v>775373</v>
      </c>
      <c r="B68" s="165" t="str">
        <f>presuvigencias[[#This Row],[PROYECTO]]&amp;presuvigencias[[#This Row],[META]]</f>
        <v>77534</v>
      </c>
      <c r="C68" s="167">
        <v>7753</v>
      </c>
      <c r="D68" s="165">
        <v>4</v>
      </c>
      <c r="E68" s="165">
        <f>VLOOKUP(presuvigencias[[#This Row],[LLAVE]],ESTRATÉGICO!$C$3:$R$110,16,0)</f>
        <v>73</v>
      </c>
      <c r="F68" s="165">
        <v>177500000</v>
      </c>
      <c r="G68" s="165">
        <v>126250000</v>
      </c>
      <c r="H68" s="165">
        <v>33619000</v>
      </c>
      <c r="I68" s="165">
        <v>2020</v>
      </c>
      <c r="K68" s="165">
        <v>77563</v>
      </c>
      <c r="L68" s="166">
        <v>7756</v>
      </c>
      <c r="M68" s="165">
        <v>3</v>
      </c>
      <c r="N68" s="165">
        <v>22680267</v>
      </c>
      <c r="O68" s="165">
        <v>0</v>
      </c>
      <c r="P68" s="165">
        <v>22680267</v>
      </c>
      <c r="Q68" s="165">
        <v>22680267</v>
      </c>
      <c r="R68" s="165">
        <v>2021</v>
      </c>
    </row>
    <row r="69" spans="1:18" x14ac:dyDescent="0.3">
      <c r="A69" s="165" t="str">
        <f>presuvigencias[[#This Row],[PROYECTO]]&amp;presuvigencias[[#This Row],[METAPDD]]</f>
        <v>775631</v>
      </c>
      <c r="B69" s="165" t="str">
        <f>presuvigencias[[#This Row],[PROYECTO]]&amp;presuvigencias[[#This Row],[META]]</f>
        <v>77561</v>
      </c>
      <c r="C69" s="166">
        <v>7756</v>
      </c>
      <c r="D69" s="165">
        <v>1</v>
      </c>
      <c r="E69" s="165">
        <f>VLOOKUP(presuvigencias[[#This Row],[LLAVE]],ESTRATÉGICO!$C$3:$R$110,16,0)</f>
        <v>31</v>
      </c>
      <c r="F69" s="165">
        <v>366843255</v>
      </c>
      <c r="G69" s="165">
        <v>343553753</v>
      </c>
      <c r="H69" s="165">
        <v>143807573</v>
      </c>
      <c r="I69" s="165">
        <v>2020</v>
      </c>
      <c r="K69" s="165">
        <v>77565</v>
      </c>
      <c r="L69" s="167">
        <v>7756</v>
      </c>
      <c r="M69" s="165">
        <v>5</v>
      </c>
      <c r="N69" s="165">
        <v>325142241</v>
      </c>
      <c r="O69" s="165">
        <v>0</v>
      </c>
      <c r="P69" s="165">
        <v>325142241</v>
      </c>
      <c r="Q69" s="165">
        <v>316713319.99692309</v>
      </c>
      <c r="R69" s="165">
        <v>2021</v>
      </c>
    </row>
    <row r="70" spans="1:18" x14ac:dyDescent="0.3">
      <c r="A70" s="165" t="str">
        <f>presuvigencias[[#This Row],[PROYECTO]]&amp;presuvigencias[[#This Row],[METAPDD]]</f>
        <v>775625</v>
      </c>
      <c r="B70" s="165" t="str">
        <f>presuvigencias[[#This Row],[PROYECTO]]&amp;presuvigencias[[#This Row],[META]]</f>
        <v>77563</v>
      </c>
      <c r="C70" s="166">
        <v>7756</v>
      </c>
      <c r="D70" s="165">
        <v>3</v>
      </c>
      <c r="E70" s="165">
        <f>VLOOKUP(presuvigencias[[#This Row],[LLAVE]],ESTRATÉGICO!$C$3:$R$110,16,0)</f>
        <v>25</v>
      </c>
      <c r="F70" s="165">
        <v>50141067</v>
      </c>
      <c r="G70" s="165">
        <v>48360267</v>
      </c>
      <c r="H70" s="165">
        <v>25680000</v>
      </c>
      <c r="I70" s="165">
        <v>2020</v>
      </c>
      <c r="K70" s="165">
        <v>77571</v>
      </c>
      <c r="L70" s="166">
        <v>7757</v>
      </c>
      <c r="M70" s="165">
        <v>1</v>
      </c>
      <c r="N70" s="165">
        <v>1002896296.7499999</v>
      </c>
      <c r="O70" s="165">
        <v>180727.00999999978</v>
      </c>
      <c r="P70" s="165">
        <v>1002715569.7399999</v>
      </c>
      <c r="Q70" s="165">
        <v>994787874.41013074</v>
      </c>
      <c r="R70" s="165">
        <v>2021</v>
      </c>
    </row>
    <row r="71" spans="1:18" x14ac:dyDescent="0.3">
      <c r="A71" s="165" t="str">
        <f>presuvigencias[[#This Row],[PROYECTO]]&amp;presuvigencias[[#This Row],[METAPDD]]</f>
        <v>775625</v>
      </c>
      <c r="B71" s="165" t="str">
        <f>presuvigencias[[#This Row],[PROYECTO]]&amp;presuvigencias[[#This Row],[META]]</f>
        <v>77565</v>
      </c>
      <c r="C71" s="167">
        <v>7756</v>
      </c>
      <c r="D71" s="165">
        <v>5</v>
      </c>
      <c r="E71" s="165">
        <f>VLOOKUP(presuvigencias[[#This Row],[LLAVE]],ESTRATÉGICO!$C$3:$R$110,16,0)</f>
        <v>25</v>
      </c>
      <c r="F71" s="165">
        <v>653252750</v>
      </c>
      <c r="G71" s="165">
        <v>638267543</v>
      </c>
      <c r="H71" s="165">
        <v>313125302</v>
      </c>
      <c r="I71" s="165">
        <v>2020</v>
      </c>
      <c r="K71" s="165">
        <v>77572</v>
      </c>
      <c r="L71" s="166">
        <v>7757</v>
      </c>
      <c r="M71" s="165">
        <v>2</v>
      </c>
      <c r="N71" s="165">
        <v>227853367</v>
      </c>
      <c r="O71" s="165">
        <v>83767</v>
      </c>
      <c r="P71" s="165">
        <v>227769600</v>
      </c>
      <c r="Q71" s="165">
        <v>227769600</v>
      </c>
      <c r="R71" s="165">
        <v>2021</v>
      </c>
    </row>
    <row r="72" spans="1:18" x14ac:dyDescent="0.3">
      <c r="A72" s="165" t="str">
        <f>presuvigencias[[#This Row],[PROYECTO]]&amp;presuvigencias[[#This Row],[METAPDD]]</f>
        <v>775713</v>
      </c>
      <c r="B72" s="165" t="str">
        <f>presuvigencias[[#This Row],[PROYECTO]]&amp;presuvigencias[[#This Row],[META]]</f>
        <v>77571</v>
      </c>
      <c r="C72" s="166">
        <v>7757</v>
      </c>
      <c r="D72" s="165">
        <v>1</v>
      </c>
      <c r="E72" s="165">
        <f>VLOOKUP(presuvigencias[[#This Row],[LLAVE]],ESTRATÉGICO!$C$3:$R$110,16,0)</f>
        <v>13</v>
      </c>
      <c r="F72" s="165">
        <v>1432733480</v>
      </c>
      <c r="G72" s="165">
        <v>1378386222.6800001</v>
      </c>
      <c r="H72" s="165">
        <v>375489925.93000001</v>
      </c>
      <c r="I72" s="165">
        <v>2020</v>
      </c>
      <c r="K72" s="165">
        <v>77573</v>
      </c>
      <c r="L72" s="166">
        <v>7757</v>
      </c>
      <c r="M72" s="165">
        <v>3</v>
      </c>
      <c r="N72" s="165">
        <v>1427807020.9599998</v>
      </c>
      <c r="O72" s="165">
        <v>21859.54999999702</v>
      </c>
      <c r="P72" s="165">
        <v>1427785161.4099998</v>
      </c>
      <c r="Q72" s="165">
        <v>1414489966.9698694</v>
      </c>
      <c r="R72" s="165">
        <v>2021</v>
      </c>
    </row>
    <row r="73" spans="1:18" x14ac:dyDescent="0.3">
      <c r="A73" s="165" t="str">
        <f>presuvigencias[[#This Row],[PROYECTO]]&amp;presuvigencias[[#This Row],[METAPDD]]</f>
        <v>775713</v>
      </c>
      <c r="B73" s="165" t="str">
        <f>presuvigencias[[#This Row],[PROYECTO]]&amp;presuvigencias[[#This Row],[META]]</f>
        <v>77572</v>
      </c>
      <c r="C73" s="166">
        <v>7757</v>
      </c>
      <c r="D73" s="165">
        <v>2</v>
      </c>
      <c r="E73" s="165">
        <f>VLOOKUP(presuvigencias[[#This Row],[LLAVE]],ESTRATÉGICO!$C$3:$R$110,16,0)</f>
        <v>13</v>
      </c>
      <c r="F73" s="165">
        <v>375019500</v>
      </c>
      <c r="G73" s="165">
        <v>368053500</v>
      </c>
      <c r="H73" s="165">
        <v>140200133</v>
      </c>
      <c r="I73" s="165">
        <v>2020</v>
      </c>
      <c r="K73" s="165">
        <v>77574</v>
      </c>
      <c r="L73" s="166">
        <v>7757</v>
      </c>
      <c r="M73" s="165">
        <v>4</v>
      </c>
      <c r="N73" s="165">
        <v>7693639148.4799995</v>
      </c>
      <c r="O73" s="165">
        <v>389764181.11000007</v>
      </c>
      <c r="P73" s="165">
        <v>7303874967.3699999</v>
      </c>
      <c r="Q73" s="165">
        <v>7164908161.4800005</v>
      </c>
      <c r="R73" s="165">
        <v>2021</v>
      </c>
    </row>
    <row r="74" spans="1:18" x14ac:dyDescent="0.3">
      <c r="A74" s="165" t="str">
        <f>presuvigencias[[#This Row],[PROYECTO]]&amp;presuvigencias[[#This Row],[METAPDD]]</f>
        <v>775716</v>
      </c>
      <c r="B74" s="165" t="str">
        <f>presuvigencias[[#This Row],[PROYECTO]]&amp;presuvigencias[[#This Row],[META]]</f>
        <v>77573</v>
      </c>
      <c r="C74" s="166">
        <v>7757</v>
      </c>
      <c r="D74" s="165">
        <v>3</v>
      </c>
      <c r="E74" s="165">
        <f>VLOOKUP(presuvigencias[[#This Row],[LLAVE]],ESTRATÉGICO!$C$3:$R$110,16,0)</f>
        <v>16</v>
      </c>
      <c r="F74" s="165">
        <v>2138988361</v>
      </c>
      <c r="G74" s="165">
        <v>1958464226.8399999</v>
      </c>
      <c r="H74" s="165">
        <v>530657205.88</v>
      </c>
      <c r="I74" s="165">
        <v>2020</v>
      </c>
      <c r="K74" s="165">
        <v>77575</v>
      </c>
      <c r="L74" s="167">
        <v>7757</v>
      </c>
      <c r="M74" s="165">
        <v>5</v>
      </c>
      <c r="N74" s="165">
        <v>69102497.810000002</v>
      </c>
      <c r="O74" s="165">
        <v>0</v>
      </c>
      <c r="P74" s="165">
        <v>69102497.810000002</v>
      </c>
      <c r="Q74" s="165">
        <v>69102497.810000002</v>
      </c>
      <c r="R74" s="165">
        <v>2021</v>
      </c>
    </row>
    <row r="75" spans="1:18" x14ac:dyDescent="0.3">
      <c r="A75" s="165" t="str">
        <f>presuvigencias[[#This Row],[PROYECTO]]&amp;presuvigencias[[#This Row],[METAPDD]]</f>
        <v>775717</v>
      </c>
      <c r="B75" s="165" t="str">
        <f>presuvigencias[[#This Row],[PROYECTO]]&amp;presuvigencias[[#This Row],[META]]</f>
        <v>77574</v>
      </c>
      <c r="C75" s="166">
        <v>7757</v>
      </c>
      <c r="D75" s="165">
        <v>4</v>
      </c>
      <c r="E75" s="165">
        <f>VLOOKUP(presuvigencias[[#This Row],[LLAVE]],ESTRATÉGICO!$C$3:$R$110,16,0)</f>
        <v>17</v>
      </c>
      <c r="F75" s="165">
        <v>15572859762</v>
      </c>
      <c r="G75" s="165">
        <v>14499022696.48</v>
      </c>
      <c r="H75" s="165">
        <v>6805383548</v>
      </c>
      <c r="I75" s="165">
        <v>2020</v>
      </c>
      <c r="K75" s="165">
        <v>77681</v>
      </c>
      <c r="L75" s="166">
        <v>7768</v>
      </c>
      <c r="M75" s="165">
        <v>1</v>
      </c>
      <c r="N75" s="165">
        <v>164068866</v>
      </c>
      <c r="O75" s="165">
        <v>0</v>
      </c>
      <c r="P75" s="165">
        <v>164068866</v>
      </c>
      <c r="Q75" s="165">
        <v>164068866</v>
      </c>
      <c r="R75" s="165">
        <v>2021</v>
      </c>
    </row>
    <row r="76" spans="1:18" x14ac:dyDescent="0.3">
      <c r="A76" s="165" t="str">
        <f>presuvigencias[[#This Row],[PROYECTO]]&amp;presuvigencias[[#This Row],[METAPDD]]</f>
        <v>775717</v>
      </c>
      <c r="B76" s="165" t="str">
        <f>presuvigencias[[#This Row],[PROYECTO]]&amp;presuvigencias[[#This Row],[META]]</f>
        <v>77575</v>
      </c>
      <c r="C76" s="167">
        <v>7757</v>
      </c>
      <c r="D76" s="165">
        <v>5</v>
      </c>
      <c r="E76" s="165">
        <f>VLOOKUP(presuvigencias[[#This Row],[LLAVE]],ESTRATÉGICO!$C$3:$R$110,16,0)</f>
        <v>17</v>
      </c>
      <c r="F76" s="165">
        <v>158246500</v>
      </c>
      <c r="G76" s="165">
        <v>142578548</v>
      </c>
      <c r="H76" s="165">
        <v>73476050.189999998</v>
      </c>
      <c r="I76" s="165">
        <v>2020</v>
      </c>
      <c r="K76" s="165">
        <v>77684</v>
      </c>
      <c r="L76" s="167">
        <v>7768</v>
      </c>
      <c r="M76" s="165">
        <v>4</v>
      </c>
      <c r="N76" s="165">
        <v>10508267</v>
      </c>
      <c r="O76" s="165">
        <v>0</v>
      </c>
      <c r="P76" s="165">
        <v>10508267</v>
      </c>
      <c r="Q76" s="165">
        <v>10508267</v>
      </c>
      <c r="R76" s="165">
        <v>2021</v>
      </c>
    </row>
    <row r="77" spans="1:18" x14ac:dyDescent="0.3">
      <c r="A77" s="165" t="str">
        <f>presuvigencias[[#This Row],[PROYECTO]]&amp;presuvigencias[[#This Row],[METAPDD]]</f>
        <v>776815</v>
      </c>
      <c r="B77" s="165" t="str">
        <f>presuvigencias[[#This Row],[PROYECTO]]&amp;presuvigencias[[#This Row],[META]]</f>
        <v>77681</v>
      </c>
      <c r="C77" s="166">
        <v>7768</v>
      </c>
      <c r="D77" s="165">
        <v>1</v>
      </c>
      <c r="E77" s="165">
        <f>VLOOKUP(presuvigencias[[#This Row],[LLAVE]],ESTRATÉGICO!$C$3:$R$110,16,0)</f>
        <v>15</v>
      </c>
      <c r="F77" s="165">
        <v>216793000</v>
      </c>
      <c r="G77" s="165">
        <v>210520000</v>
      </c>
      <c r="H77" s="165">
        <v>46451134</v>
      </c>
      <c r="I77" s="165">
        <v>2020</v>
      </c>
      <c r="K77" s="165">
        <v>77701</v>
      </c>
      <c r="L77" s="166">
        <v>7770</v>
      </c>
      <c r="M77" s="165">
        <v>1</v>
      </c>
      <c r="N77" s="165">
        <v>1663780636</v>
      </c>
      <c r="O77" s="165">
        <v>5851200</v>
      </c>
      <c r="P77" s="165">
        <v>1657929436</v>
      </c>
      <c r="Q77" s="165">
        <v>1656678436</v>
      </c>
      <c r="R77" s="165">
        <v>2021</v>
      </c>
    </row>
    <row r="78" spans="1:18" x14ac:dyDescent="0.3">
      <c r="A78" s="165" t="str">
        <f>presuvigencias[[#This Row],[PROYECTO]]&amp;presuvigencias[[#This Row],[METAPDD]]</f>
        <v>776814</v>
      </c>
      <c r="B78" s="165" t="str">
        <f>presuvigencias[[#This Row],[PROYECTO]]&amp;presuvigencias[[#This Row],[META]]</f>
        <v>77684</v>
      </c>
      <c r="C78" s="167">
        <v>7768</v>
      </c>
      <c r="D78" s="165">
        <v>4</v>
      </c>
      <c r="E78" s="165">
        <f>VLOOKUP(presuvigencias[[#This Row],[LLAVE]],ESTRATÉGICO!$C$3:$R$110,16,0)</f>
        <v>14</v>
      </c>
      <c r="F78" s="165">
        <v>25840000</v>
      </c>
      <c r="G78" s="165">
        <v>25840000</v>
      </c>
      <c r="H78" s="165">
        <v>15331733</v>
      </c>
      <c r="I78" s="165">
        <v>2020</v>
      </c>
      <c r="K78" s="165">
        <v>77702</v>
      </c>
      <c r="L78" s="166">
        <v>7770</v>
      </c>
      <c r="M78" s="165">
        <v>2</v>
      </c>
      <c r="N78" s="165">
        <v>18218950713.029999</v>
      </c>
      <c r="O78" s="165">
        <v>22957143</v>
      </c>
      <c r="P78" s="165">
        <v>18195993570.029999</v>
      </c>
      <c r="Q78" s="165">
        <v>17141668064.93</v>
      </c>
      <c r="R78" s="165">
        <v>2021</v>
      </c>
    </row>
    <row r="79" spans="1:18" x14ac:dyDescent="0.3">
      <c r="A79" s="165" t="str">
        <f>presuvigencias[[#This Row],[PROYECTO]]&amp;presuvigencias[[#This Row],[METAPDD]]</f>
        <v>777061</v>
      </c>
      <c r="B79" s="165" t="str">
        <f>presuvigencias[[#This Row],[PROYECTO]]&amp;presuvigencias[[#This Row],[META]]</f>
        <v>77701</v>
      </c>
      <c r="C79" s="166">
        <v>7770</v>
      </c>
      <c r="D79" s="165">
        <v>1</v>
      </c>
      <c r="E79" s="165">
        <f>VLOOKUP(presuvigencias[[#This Row],[LLAVE]],ESTRATÉGICO!$C$3:$R$110,16,0)</f>
        <v>61</v>
      </c>
      <c r="F79" s="165">
        <v>39826254419</v>
      </c>
      <c r="G79" s="165">
        <v>38908662221</v>
      </c>
      <c r="H79" s="165">
        <v>37244881585</v>
      </c>
      <c r="I79" s="165">
        <v>2020</v>
      </c>
      <c r="K79" s="165">
        <v>77703</v>
      </c>
      <c r="L79" s="166">
        <v>7770</v>
      </c>
      <c r="M79" s="165">
        <v>3</v>
      </c>
      <c r="N79" s="165">
        <v>907568642</v>
      </c>
      <c r="O79" s="165">
        <v>0</v>
      </c>
      <c r="P79" s="165">
        <v>907568642</v>
      </c>
      <c r="Q79" s="165">
        <v>907568642</v>
      </c>
      <c r="R79" s="165">
        <v>2021</v>
      </c>
    </row>
    <row r="80" spans="1:18" x14ac:dyDescent="0.3">
      <c r="A80" s="165" t="str">
        <f>presuvigencias[[#This Row],[PROYECTO]]&amp;presuvigencias[[#This Row],[METAPDD]]</f>
        <v>777060</v>
      </c>
      <c r="B80" s="165" t="str">
        <f>presuvigencias[[#This Row],[PROYECTO]]&amp;presuvigencias[[#This Row],[META]]</f>
        <v>77702</v>
      </c>
      <c r="C80" s="166">
        <v>7770</v>
      </c>
      <c r="D80" s="165">
        <v>2</v>
      </c>
      <c r="E80" s="165">
        <f>VLOOKUP(presuvigencias[[#This Row],[LLAVE]],ESTRATÉGICO!$C$3:$R$110,16,0)</f>
        <v>60</v>
      </c>
      <c r="F80" s="165">
        <v>36810389278</v>
      </c>
      <c r="G80" s="165">
        <v>20150745514.029999</v>
      </c>
      <c r="H80" s="165">
        <v>1931794801</v>
      </c>
      <c r="I80" s="165">
        <v>2020</v>
      </c>
      <c r="K80" s="165">
        <v>77704</v>
      </c>
      <c r="L80" s="166">
        <v>7770</v>
      </c>
      <c r="M80" s="165">
        <v>4</v>
      </c>
      <c r="N80" s="165">
        <v>10423760804.969999</v>
      </c>
      <c r="O80" s="165">
        <v>11435641</v>
      </c>
      <c r="P80" s="165">
        <v>10412325163.969999</v>
      </c>
      <c r="Q80" s="165">
        <v>10362588718.07</v>
      </c>
      <c r="R80" s="165">
        <v>2021</v>
      </c>
    </row>
    <row r="81" spans="1:18" x14ac:dyDescent="0.3">
      <c r="A81" s="165" t="str">
        <f>presuvigencias[[#This Row],[PROYECTO]]&amp;presuvigencias[[#This Row],[METAPDD]]</f>
        <v>777060</v>
      </c>
      <c r="B81" s="165" t="str">
        <f>presuvigencias[[#This Row],[PROYECTO]]&amp;presuvigencias[[#This Row],[META]]</f>
        <v>77703</v>
      </c>
      <c r="C81" s="166">
        <v>7770</v>
      </c>
      <c r="D81" s="165">
        <v>3</v>
      </c>
      <c r="E81" s="165">
        <f>VLOOKUP(presuvigencias[[#This Row],[LLAVE]],ESTRATÉGICO!$C$3:$R$110,16,0)</f>
        <v>60</v>
      </c>
      <c r="F81" s="165">
        <v>1482829176</v>
      </c>
      <c r="G81" s="165">
        <v>1054011609</v>
      </c>
      <c r="H81" s="165">
        <v>146442967</v>
      </c>
      <c r="I81" s="165">
        <v>2020</v>
      </c>
      <c r="K81" s="165">
        <v>77705</v>
      </c>
      <c r="L81" s="166">
        <v>7770</v>
      </c>
      <c r="M81" s="165">
        <v>5</v>
      </c>
      <c r="N81" s="165">
        <v>127694767</v>
      </c>
      <c r="O81" s="165">
        <v>0</v>
      </c>
      <c r="P81" s="165">
        <v>127694767</v>
      </c>
      <c r="Q81" s="165">
        <v>101701434</v>
      </c>
      <c r="R81" s="165">
        <v>2021</v>
      </c>
    </row>
    <row r="82" spans="1:18" x14ac:dyDescent="0.3">
      <c r="A82" s="165" t="str">
        <f>presuvigencias[[#This Row],[PROYECTO]]&amp;presuvigencias[[#This Row],[METAPDD]]</f>
        <v>777060</v>
      </c>
      <c r="B82" s="165" t="str">
        <f>presuvigencias[[#This Row],[PROYECTO]]&amp;presuvigencias[[#This Row],[META]]</f>
        <v>77704</v>
      </c>
      <c r="C82" s="166">
        <v>7770</v>
      </c>
      <c r="D82" s="165">
        <v>4</v>
      </c>
      <c r="E82" s="165">
        <f>VLOOKUP(presuvigencias[[#This Row],[LLAVE]],ESTRATÉGICO!$C$3:$R$110,16,0)</f>
        <v>60</v>
      </c>
      <c r="F82" s="165">
        <v>17410363320</v>
      </c>
      <c r="G82" s="165">
        <v>15037217967.969999</v>
      </c>
      <c r="H82" s="165">
        <v>4613457163</v>
      </c>
      <c r="I82" s="165">
        <v>2020</v>
      </c>
      <c r="K82" s="165">
        <v>77706</v>
      </c>
      <c r="L82" s="167">
        <v>7770</v>
      </c>
      <c r="M82" s="165">
        <v>6</v>
      </c>
      <c r="N82" s="165">
        <v>922598165</v>
      </c>
      <c r="O82" s="165">
        <v>22053800</v>
      </c>
      <c r="P82" s="165">
        <v>900544365</v>
      </c>
      <c r="Q82" s="165">
        <v>875051698</v>
      </c>
      <c r="R82" s="165">
        <v>2021</v>
      </c>
    </row>
    <row r="83" spans="1:18" x14ac:dyDescent="0.3">
      <c r="A83" s="165" t="str">
        <f>presuvigencias[[#This Row],[PROYECTO]]&amp;presuvigencias[[#This Row],[METAPDD]]</f>
        <v>777049</v>
      </c>
      <c r="B83" s="165" t="str">
        <f>presuvigencias[[#This Row],[PROYECTO]]&amp;presuvigencias[[#This Row],[META]]</f>
        <v>77705</v>
      </c>
      <c r="C83" s="166">
        <v>7770</v>
      </c>
      <c r="D83" s="165">
        <v>5</v>
      </c>
      <c r="E83" s="165">
        <f>VLOOKUP(presuvigencias[[#This Row],[LLAVE]],ESTRATÉGICO!$C$3:$R$110,16,0)</f>
        <v>49</v>
      </c>
      <c r="F83" s="165">
        <v>252411000</v>
      </c>
      <c r="G83" s="165">
        <v>182511000</v>
      </c>
      <c r="H83" s="165">
        <v>54816233</v>
      </c>
      <c r="I83" s="165">
        <v>2020</v>
      </c>
      <c r="K83" s="165">
        <v>77711</v>
      </c>
      <c r="L83" s="166">
        <v>7771</v>
      </c>
      <c r="M83" s="165">
        <v>1</v>
      </c>
      <c r="N83" s="165">
        <v>437769465</v>
      </c>
      <c r="O83" s="165">
        <v>0</v>
      </c>
      <c r="P83" s="165">
        <v>437769465</v>
      </c>
      <c r="Q83" s="165">
        <v>424869665</v>
      </c>
      <c r="R83" s="165">
        <v>2021</v>
      </c>
    </row>
    <row r="84" spans="1:18" x14ac:dyDescent="0.3">
      <c r="A84" s="165" t="str">
        <f>presuvigencias[[#This Row],[PROYECTO]]&amp;presuvigencias[[#This Row],[METAPDD]]</f>
        <v>777060</v>
      </c>
      <c r="B84" s="165" t="str">
        <f>presuvigencias[[#This Row],[PROYECTO]]&amp;presuvigencias[[#This Row],[META]]</f>
        <v>77706</v>
      </c>
      <c r="C84" s="167">
        <v>7770</v>
      </c>
      <c r="D84" s="165">
        <v>6</v>
      </c>
      <c r="E84" s="165">
        <f>VLOOKUP(presuvigencias[[#This Row],[LLAVE]],ESTRATÉGICO!$C$3:$R$110,16,0)</f>
        <v>60</v>
      </c>
      <c r="F84" s="165">
        <v>2253673914</v>
      </c>
      <c r="G84" s="165">
        <v>1527447942</v>
      </c>
      <c r="H84" s="165">
        <v>604849777</v>
      </c>
      <c r="I84" s="165">
        <v>2020</v>
      </c>
      <c r="K84" s="165">
        <v>77712</v>
      </c>
      <c r="L84" s="166">
        <v>7771</v>
      </c>
      <c r="M84" s="165">
        <v>2</v>
      </c>
      <c r="N84" s="165">
        <v>14093012099</v>
      </c>
      <c r="O84" s="165">
        <v>206915262</v>
      </c>
      <c r="P84" s="165">
        <v>13886096837</v>
      </c>
      <c r="Q84" s="165">
        <v>13730262665.99</v>
      </c>
      <c r="R84" s="165">
        <v>2021</v>
      </c>
    </row>
    <row r="85" spans="1:18" x14ac:dyDescent="0.3">
      <c r="A85" s="165" t="str">
        <f>presuvigencias[[#This Row],[PROYECTO]]&amp;presuvigencias[[#This Row],[METAPDD]]</f>
        <v>777157</v>
      </c>
      <c r="B85" s="165" t="str">
        <f>presuvigencias[[#This Row],[PROYECTO]]&amp;presuvigencias[[#This Row],[META]]</f>
        <v>77711</v>
      </c>
      <c r="C85" s="166">
        <v>7771</v>
      </c>
      <c r="D85" s="165">
        <v>1</v>
      </c>
      <c r="E85" s="165">
        <f>VLOOKUP(presuvigencias[[#This Row],[LLAVE]],ESTRATÉGICO!$C$3:$R$110,16,0)</f>
        <v>57</v>
      </c>
      <c r="F85" s="165">
        <v>788750561</v>
      </c>
      <c r="G85" s="165">
        <v>664610667</v>
      </c>
      <c r="H85" s="165">
        <v>226841202</v>
      </c>
      <c r="I85" s="165">
        <v>2020</v>
      </c>
      <c r="K85" s="165">
        <v>77713</v>
      </c>
      <c r="L85" s="166">
        <v>7771</v>
      </c>
      <c r="M85" s="165">
        <v>3</v>
      </c>
      <c r="N85" s="165">
        <v>39601000</v>
      </c>
      <c r="O85" s="165">
        <v>0</v>
      </c>
      <c r="P85" s="165">
        <v>39601000</v>
      </c>
      <c r="Q85" s="165">
        <v>39601000</v>
      </c>
      <c r="R85" s="165">
        <v>2021</v>
      </c>
    </row>
    <row r="86" spans="1:18" x14ac:dyDescent="0.3">
      <c r="A86" s="165" t="str">
        <f>presuvigencias[[#This Row],[PROYECTO]]&amp;presuvigencias[[#This Row],[METAPDD]]</f>
        <v>777158</v>
      </c>
      <c r="B86" s="165" t="str">
        <f>presuvigencias[[#This Row],[PROYECTO]]&amp;presuvigencias[[#This Row],[META]]</f>
        <v>77712</v>
      </c>
      <c r="C86" s="166">
        <v>7771</v>
      </c>
      <c r="D86" s="165">
        <v>2</v>
      </c>
      <c r="E86" s="165">
        <f>VLOOKUP(presuvigencias[[#This Row],[LLAVE]],ESTRATÉGICO!$C$3:$R$110,16,0)</f>
        <v>58</v>
      </c>
      <c r="F86" s="165">
        <v>25623166457</v>
      </c>
      <c r="G86" s="165">
        <v>24454351896</v>
      </c>
      <c r="H86" s="165">
        <v>10361339797</v>
      </c>
      <c r="I86" s="165">
        <v>2020</v>
      </c>
      <c r="K86" s="165">
        <v>77714</v>
      </c>
      <c r="L86" s="166">
        <v>7771</v>
      </c>
      <c r="M86" s="165">
        <v>4</v>
      </c>
      <c r="N86" s="165">
        <v>57180400</v>
      </c>
      <c r="O86" s="165">
        <v>0</v>
      </c>
      <c r="P86" s="165">
        <v>57180400</v>
      </c>
      <c r="Q86" s="165">
        <v>57180400</v>
      </c>
      <c r="R86" s="165">
        <v>2021</v>
      </c>
    </row>
    <row r="87" spans="1:18" x14ac:dyDescent="0.3">
      <c r="A87" s="165" t="str">
        <f>presuvigencias[[#This Row],[PROYECTO]]&amp;presuvigencias[[#This Row],[METAPDD]]</f>
        <v>777159</v>
      </c>
      <c r="B87" s="165" t="str">
        <f>presuvigencias[[#This Row],[PROYECTO]]&amp;presuvigencias[[#This Row],[META]]</f>
        <v>77713</v>
      </c>
      <c r="C87" s="166">
        <v>7771</v>
      </c>
      <c r="D87" s="165">
        <v>3</v>
      </c>
      <c r="E87" s="165">
        <f>VLOOKUP(presuvigencias[[#This Row],[LLAVE]],ESTRATÉGICO!$C$3:$R$110,16,0)</f>
        <v>59</v>
      </c>
      <c r="F87" s="165">
        <v>122368900</v>
      </c>
      <c r="G87" s="165">
        <v>122368900</v>
      </c>
      <c r="H87" s="165">
        <v>82767900</v>
      </c>
      <c r="I87" s="165">
        <v>2020</v>
      </c>
      <c r="K87" s="165">
        <v>77715</v>
      </c>
      <c r="L87" s="167">
        <v>7771</v>
      </c>
      <c r="M87" s="165">
        <v>5</v>
      </c>
      <c r="N87" s="165">
        <v>45068067</v>
      </c>
      <c r="O87" s="165">
        <v>0</v>
      </c>
      <c r="P87" s="165">
        <v>45068067</v>
      </c>
      <c r="Q87" s="165">
        <v>44984667</v>
      </c>
      <c r="R87" s="165">
        <v>2021</v>
      </c>
    </row>
    <row r="88" spans="1:18" x14ac:dyDescent="0.3">
      <c r="A88" s="165" t="str">
        <f>presuvigencias[[#This Row],[PROYECTO]]&amp;presuvigencias[[#This Row],[METAPDD]]</f>
        <v>777159</v>
      </c>
      <c r="B88" s="165" t="str">
        <f>presuvigencias[[#This Row],[PROYECTO]]&amp;presuvigencias[[#This Row],[META]]</f>
        <v>77714</v>
      </c>
      <c r="C88" s="166">
        <v>7771</v>
      </c>
      <c r="D88" s="165">
        <v>4</v>
      </c>
      <c r="E88" s="165">
        <f>VLOOKUP(presuvigencias[[#This Row],[LLAVE]],ESTRATÉGICO!$C$3:$R$110,16,0)</f>
        <v>59</v>
      </c>
      <c r="F88" s="165">
        <v>87919333</v>
      </c>
      <c r="G88" s="165">
        <v>85375333</v>
      </c>
      <c r="H88" s="165">
        <v>28194933</v>
      </c>
      <c r="I88" s="165">
        <v>2020</v>
      </c>
      <c r="K88" s="165">
        <v>75641</v>
      </c>
      <c r="L88" s="166">
        <v>7564</v>
      </c>
      <c r="M88" s="165">
        <v>1</v>
      </c>
      <c r="N88" s="165">
        <v>485554119</v>
      </c>
      <c r="O88" s="165">
        <v>1</v>
      </c>
      <c r="P88" s="165">
        <v>485554118</v>
      </c>
      <c r="Q88" s="165">
        <v>485554118</v>
      </c>
      <c r="R88" s="165">
        <v>2022</v>
      </c>
    </row>
    <row r="89" spans="1:18" x14ac:dyDescent="0.3">
      <c r="A89" s="165" t="str">
        <f>presuvigencias[[#This Row],[PROYECTO]]&amp;presuvigencias[[#This Row],[METAPDD]]</f>
        <v>777159</v>
      </c>
      <c r="B89" s="165" t="str">
        <f>presuvigencias[[#This Row],[PROYECTO]]&amp;presuvigencias[[#This Row],[META]]</f>
        <v>77715</v>
      </c>
      <c r="C89" s="167">
        <v>7771</v>
      </c>
      <c r="D89" s="165">
        <v>5</v>
      </c>
      <c r="E89" s="165">
        <f>VLOOKUP(presuvigencias[[#This Row],[LLAVE]],ESTRATÉGICO!$C$3:$R$110,16,0)</f>
        <v>59</v>
      </c>
      <c r="F89" s="165">
        <v>148368900</v>
      </c>
      <c r="G89" s="165">
        <v>145449900</v>
      </c>
      <c r="H89" s="165">
        <v>100381833</v>
      </c>
      <c r="I89" s="165">
        <v>2020</v>
      </c>
      <c r="K89" s="165">
        <v>75642</v>
      </c>
      <c r="L89" s="167">
        <v>7564</v>
      </c>
      <c r="M89" s="165">
        <v>2</v>
      </c>
      <c r="N89" s="165">
        <v>3903641388</v>
      </c>
      <c r="O89" s="165">
        <v>19592930</v>
      </c>
      <c r="P89" s="165">
        <v>3884048458</v>
      </c>
      <c r="Q89" s="165">
        <v>3882585058</v>
      </c>
      <c r="R89" s="165">
        <v>2022</v>
      </c>
    </row>
    <row r="90" spans="1:18" x14ac:dyDescent="0.3">
      <c r="A90" s="165" t="str">
        <f>presuvigencias[[#This Row],[PROYECTO]]&amp;presuvigencias[[#This Row],[METAPDD]]</f>
        <v>7564364</v>
      </c>
      <c r="B90" s="165" t="str">
        <f>presuvigencias[[#This Row],[PROYECTO]]&amp;presuvigencias[[#This Row],[META]]</f>
        <v>75641</v>
      </c>
      <c r="C90" s="166">
        <v>7564</v>
      </c>
      <c r="D90" s="165">
        <v>1</v>
      </c>
      <c r="E90" s="165">
        <f>VLOOKUP(presuvigencias[[#This Row],[LLAVE]],ESTRATÉGICO!$C$3:$R$110,16,0)</f>
        <v>364</v>
      </c>
      <c r="F90" s="165">
        <v>500000000</v>
      </c>
      <c r="G90" s="165">
        <v>485554119</v>
      </c>
      <c r="H90" s="165">
        <v>0</v>
      </c>
      <c r="I90" s="165">
        <v>2021</v>
      </c>
      <c r="K90" s="165">
        <v>75651</v>
      </c>
      <c r="L90" s="166">
        <v>7565</v>
      </c>
      <c r="M90" s="165">
        <v>1</v>
      </c>
      <c r="N90" s="165">
        <v>1579663078</v>
      </c>
      <c r="O90" s="165">
        <v>0</v>
      </c>
      <c r="P90" s="165">
        <v>1579663078</v>
      </c>
      <c r="Q90" s="165">
        <v>1521995559</v>
      </c>
      <c r="R90" s="165">
        <v>2022</v>
      </c>
    </row>
    <row r="91" spans="1:18" x14ac:dyDescent="0.3">
      <c r="A91" s="165" t="str">
        <f>presuvigencias[[#This Row],[PROYECTO]]&amp;presuvigencias[[#This Row],[METAPDD]]</f>
        <v>7564364</v>
      </c>
      <c r="B91" s="165" t="str">
        <f>presuvigencias[[#This Row],[PROYECTO]]&amp;presuvigencias[[#This Row],[META]]</f>
        <v>75642</v>
      </c>
      <c r="C91" s="167">
        <v>7564</v>
      </c>
      <c r="D91" s="165">
        <v>2</v>
      </c>
      <c r="E91" s="165">
        <f>VLOOKUP(presuvigencias[[#This Row],[LLAVE]],ESTRATÉGICO!$C$3:$R$110,16,0)</f>
        <v>364</v>
      </c>
      <c r="F91" s="165">
        <v>14802766884</v>
      </c>
      <c r="G91" s="165">
        <v>14782747381</v>
      </c>
      <c r="H91" s="165">
        <v>10879105993</v>
      </c>
      <c r="I91" s="165">
        <v>2021</v>
      </c>
      <c r="K91" s="165">
        <v>75653</v>
      </c>
      <c r="L91" s="166">
        <v>7565</v>
      </c>
      <c r="M91" s="165">
        <v>3</v>
      </c>
      <c r="N91" s="165">
        <v>36567000</v>
      </c>
      <c r="O91" s="165">
        <v>0</v>
      </c>
      <c r="P91" s="165">
        <v>36567000</v>
      </c>
      <c r="Q91" s="165">
        <v>36567000</v>
      </c>
      <c r="R91" s="165">
        <v>2022</v>
      </c>
    </row>
    <row r="92" spans="1:18" x14ac:dyDescent="0.3">
      <c r="A92" s="165" t="str">
        <f>presuvigencias[[#This Row],[PROYECTO]]&amp;presuvigencias[[#This Row],[METAPDD]]</f>
        <v>756562</v>
      </c>
      <c r="B92" s="165" t="str">
        <f>presuvigencias[[#This Row],[PROYECTO]]&amp;presuvigencias[[#This Row],[META]]</f>
        <v>75651</v>
      </c>
      <c r="C92" s="166">
        <v>7565</v>
      </c>
      <c r="D92" s="165">
        <v>1</v>
      </c>
      <c r="E92" s="165">
        <f>VLOOKUP(presuvigencias[[#This Row],[LLAVE]],ESTRATÉGICO!$C$3:$R$110,16,0)</f>
        <v>62</v>
      </c>
      <c r="F92" s="165">
        <v>3335569144</v>
      </c>
      <c r="G92" s="165">
        <v>2376056359</v>
      </c>
      <c r="H92" s="165">
        <v>796393281</v>
      </c>
      <c r="I92" s="165">
        <v>2021</v>
      </c>
      <c r="K92" s="165">
        <v>75656</v>
      </c>
      <c r="L92" s="166">
        <v>7565</v>
      </c>
      <c r="M92" s="165">
        <v>6</v>
      </c>
      <c r="N92" s="165">
        <v>1513901655.8899999</v>
      </c>
      <c r="O92" s="165">
        <v>2220400</v>
      </c>
      <c r="P92" s="165">
        <v>1511681255.8899999</v>
      </c>
      <c r="Q92" s="165">
        <v>1478697782.5365603</v>
      </c>
      <c r="R92" s="165">
        <v>2022</v>
      </c>
    </row>
    <row r="93" spans="1:18" x14ac:dyDescent="0.3">
      <c r="A93" s="165" t="str">
        <f>presuvigencias[[#This Row],[PROYECTO]]&amp;presuvigencias[[#This Row],[METAPDD]]</f>
        <v>756562</v>
      </c>
      <c r="B93" s="165" t="str">
        <f>presuvigencias[[#This Row],[PROYECTO]]&amp;presuvigencias[[#This Row],[META]]</f>
        <v>75653</v>
      </c>
      <c r="C93" s="166">
        <v>7565</v>
      </c>
      <c r="D93" s="165">
        <v>3</v>
      </c>
      <c r="E93" s="165">
        <f>VLOOKUP(presuvigencias[[#This Row],[LLAVE]],ESTRATÉGICO!$C$3:$R$110,16,0)</f>
        <v>62</v>
      </c>
      <c r="F93" s="165">
        <v>1831330540</v>
      </c>
      <c r="G93" s="165">
        <v>1654255737</v>
      </c>
      <c r="H93" s="165">
        <v>1617688737</v>
      </c>
      <c r="I93" s="165">
        <v>2021</v>
      </c>
      <c r="K93" s="165">
        <v>75657</v>
      </c>
      <c r="L93" s="166">
        <v>7565</v>
      </c>
      <c r="M93" s="165">
        <v>7</v>
      </c>
      <c r="N93" s="165">
        <v>23626007004.110001</v>
      </c>
      <c r="O93" s="165">
        <v>136756669</v>
      </c>
      <c r="P93" s="165">
        <v>23489250335.110001</v>
      </c>
      <c r="Q93" s="165">
        <v>23100208825.46344</v>
      </c>
      <c r="R93" s="165">
        <v>2022</v>
      </c>
    </row>
    <row r="94" spans="1:18" x14ac:dyDescent="0.3">
      <c r="A94" s="165" t="str">
        <f>presuvigencias[[#This Row],[PROYECTO]]&amp;presuvigencias[[#This Row],[METAPDD]]</f>
        <v>756562</v>
      </c>
      <c r="B94" s="165" t="str">
        <f>presuvigencias[[#This Row],[PROYECTO]]&amp;presuvigencias[[#This Row],[META]]</f>
        <v>75656</v>
      </c>
      <c r="C94" s="166">
        <v>7565</v>
      </c>
      <c r="D94" s="165">
        <v>6</v>
      </c>
      <c r="E94" s="165">
        <f>VLOOKUP(presuvigencias[[#This Row],[LLAVE]],ESTRATÉGICO!$C$3:$R$110,16,0)</f>
        <v>62</v>
      </c>
      <c r="F94" s="165">
        <v>1700903000</v>
      </c>
      <c r="G94" s="165">
        <v>1580316588.8899999</v>
      </c>
      <c r="H94" s="165">
        <v>66414933</v>
      </c>
      <c r="I94" s="165">
        <v>2021</v>
      </c>
      <c r="K94" s="165">
        <v>75658</v>
      </c>
      <c r="L94" s="166">
        <v>7565</v>
      </c>
      <c r="M94" s="165">
        <v>8</v>
      </c>
      <c r="N94" s="165">
        <v>2273166498</v>
      </c>
      <c r="O94" s="165">
        <v>2962273</v>
      </c>
      <c r="P94" s="165">
        <v>2270204225</v>
      </c>
      <c r="Q94" s="165">
        <v>2258373247.8400002</v>
      </c>
      <c r="R94" s="165">
        <v>2022</v>
      </c>
    </row>
    <row r="95" spans="1:18" x14ac:dyDescent="0.3">
      <c r="A95" s="165" t="str">
        <f>presuvigencias[[#This Row],[PROYECTO]]&amp;presuvigencias[[#This Row],[METAPDD]]</f>
        <v>756562</v>
      </c>
      <c r="B95" s="165" t="str">
        <f>presuvigencias[[#This Row],[PROYECTO]]&amp;presuvigencias[[#This Row],[META]]</f>
        <v>75657</v>
      </c>
      <c r="C95" s="166">
        <v>7565</v>
      </c>
      <c r="D95" s="165">
        <v>7</v>
      </c>
      <c r="E95" s="165">
        <f>VLOOKUP(presuvigencias[[#This Row],[LLAVE]],ESTRATÉGICO!$C$3:$R$110,16,0)</f>
        <v>62</v>
      </c>
      <c r="F95" s="165">
        <v>31017813540</v>
      </c>
      <c r="G95" s="165">
        <v>29548478254.110001</v>
      </c>
      <c r="H95" s="165">
        <v>5922471250</v>
      </c>
      <c r="I95" s="165">
        <v>2021</v>
      </c>
      <c r="K95" s="165">
        <v>75659</v>
      </c>
      <c r="L95" s="166">
        <v>7565</v>
      </c>
      <c r="M95" s="165">
        <v>9</v>
      </c>
      <c r="N95" s="165">
        <v>257916076</v>
      </c>
      <c r="O95" s="165">
        <v>34076</v>
      </c>
      <c r="P95" s="165">
        <v>257882000</v>
      </c>
      <c r="Q95" s="165">
        <v>257811395</v>
      </c>
      <c r="R95" s="165">
        <v>2022</v>
      </c>
    </row>
    <row r="96" spans="1:18" x14ac:dyDescent="0.3">
      <c r="A96" s="165" t="str">
        <f>presuvigencias[[#This Row],[PROYECTO]]&amp;presuvigencias[[#This Row],[METAPDD]]</f>
        <v>756562</v>
      </c>
      <c r="B96" s="165" t="str">
        <f>presuvigencias[[#This Row],[PROYECTO]]&amp;presuvigencias[[#This Row],[META]]</f>
        <v>75658</v>
      </c>
      <c r="C96" s="166">
        <v>7565</v>
      </c>
      <c r="D96" s="165">
        <v>8</v>
      </c>
      <c r="E96" s="165">
        <f>VLOOKUP(presuvigencias[[#This Row],[LLAVE]],ESTRATÉGICO!$C$3:$R$110,16,0)</f>
        <v>62</v>
      </c>
      <c r="F96" s="165">
        <v>14845916944</v>
      </c>
      <c r="G96" s="165">
        <v>13441449536</v>
      </c>
      <c r="H96" s="165">
        <v>11168283038</v>
      </c>
      <c r="I96" s="165">
        <v>2021</v>
      </c>
      <c r="K96" s="165">
        <v>756511</v>
      </c>
      <c r="L96" s="166">
        <v>7565</v>
      </c>
      <c r="M96" s="165">
        <v>11</v>
      </c>
      <c r="N96" s="165">
        <v>8530630372</v>
      </c>
      <c r="O96" s="165">
        <v>0</v>
      </c>
      <c r="P96" s="165">
        <v>8530630372</v>
      </c>
      <c r="Q96" s="165">
        <v>6899481912</v>
      </c>
      <c r="R96" s="165">
        <v>2022</v>
      </c>
    </row>
    <row r="97" spans="1:18" x14ac:dyDescent="0.3">
      <c r="A97" s="165" t="str">
        <f>presuvigencias[[#This Row],[PROYECTO]]&amp;presuvigencias[[#This Row],[METAPDD]]</f>
        <v>756562</v>
      </c>
      <c r="B97" s="165" t="str">
        <f>presuvigencias[[#This Row],[PROYECTO]]&amp;presuvigencias[[#This Row],[META]]</f>
        <v>75659</v>
      </c>
      <c r="C97" s="166">
        <v>7565</v>
      </c>
      <c r="D97" s="165">
        <v>9</v>
      </c>
      <c r="E97" s="165">
        <f>VLOOKUP(presuvigencias[[#This Row],[LLAVE]],ESTRATÉGICO!$C$3:$R$110,16,0)</f>
        <v>62</v>
      </c>
      <c r="F97" s="165">
        <v>343324000</v>
      </c>
      <c r="G97" s="165">
        <v>343324000</v>
      </c>
      <c r="H97" s="165">
        <v>85407924</v>
      </c>
      <c r="I97" s="165">
        <v>2021</v>
      </c>
      <c r="K97" s="165">
        <v>756512</v>
      </c>
      <c r="L97" s="167">
        <v>7565</v>
      </c>
      <c r="M97" s="165">
        <v>12</v>
      </c>
      <c r="N97" s="165">
        <v>19290509749</v>
      </c>
      <c r="O97" s="165">
        <v>0</v>
      </c>
      <c r="P97" s="165">
        <v>19290509749</v>
      </c>
      <c r="Q97" s="165">
        <v>19290509749</v>
      </c>
      <c r="R97" s="165">
        <v>2022</v>
      </c>
    </row>
    <row r="98" spans="1:18" x14ac:dyDescent="0.3">
      <c r="A98" s="165" t="str">
        <f>presuvigencias[[#This Row],[PROYECTO]]&amp;presuvigencias[[#This Row],[METAPDD]]</f>
        <v>756562</v>
      </c>
      <c r="B98" s="165" t="str">
        <f>presuvigencias[[#This Row],[PROYECTO]]&amp;presuvigencias[[#This Row],[META]]</f>
        <v>756511</v>
      </c>
      <c r="C98" s="166">
        <v>7565</v>
      </c>
      <c r="D98" s="165">
        <v>11</v>
      </c>
      <c r="E98" s="165">
        <f>VLOOKUP(presuvigencias[[#This Row],[LLAVE]],ESTRATÉGICO!$C$3:$R$110,16,0)</f>
        <v>62</v>
      </c>
      <c r="F98" s="165">
        <v>8789162088</v>
      </c>
      <c r="G98" s="165">
        <v>8789162088</v>
      </c>
      <c r="H98" s="165">
        <v>258531716</v>
      </c>
      <c r="I98" s="165">
        <v>2021</v>
      </c>
      <c r="K98" s="165">
        <v>77301</v>
      </c>
      <c r="L98" s="166">
        <v>7730</v>
      </c>
      <c r="M98" s="165">
        <v>1</v>
      </c>
      <c r="N98" s="165">
        <v>58600078</v>
      </c>
      <c r="O98" s="165">
        <v>0</v>
      </c>
      <c r="P98" s="165">
        <v>58600078</v>
      </c>
      <c r="Q98" s="165">
        <v>58600078</v>
      </c>
      <c r="R98" s="165">
        <v>2022</v>
      </c>
    </row>
    <row r="99" spans="1:18" x14ac:dyDescent="0.3">
      <c r="A99" s="165" t="str">
        <f>presuvigencias[[#This Row],[PROYECTO]]&amp;presuvigencias[[#This Row],[METAPDD]]</f>
        <v>756562</v>
      </c>
      <c r="B99" s="165" t="str">
        <f>presuvigencias[[#This Row],[PROYECTO]]&amp;presuvigencias[[#This Row],[META]]</f>
        <v>756512</v>
      </c>
      <c r="C99" s="167">
        <v>7565</v>
      </c>
      <c r="D99" s="165">
        <v>12</v>
      </c>
      <c r="E99" s="165">
        <f>VLOOKUP(presuvigencias[[#This Row],[LLAVE]],ESTRATÉGICO!$C$3:$R$110,16,0)</f>
        <v>62</v>
      </c>
      <c r="F99" s="165">
        <v>19460918149</v>
      </c>
      <c r="G99" s="165">
        <v>19460918149</v>
      </c>
      <c r="H99" s="165">
        <v>170408400</v>
      </c>
      <c r="I99" s="165">
        <v>2021</v>
      </c>
      <c r="K99" s="165">
        <v>77302</v>
      </c>
      <c r="L99" s="166">
        <v>7730</v>
      </c>
      <c r="M99" s="165">
        <v>2</v>
      </c>
      <c r="N99" s="165">
        <v>130426666</v>
      </c>
      <c r="O99" s="165">
        <v>0</v>
      </c>
      <c r="P99" s="165">
        <v>130426666</v>
      </c>
      <c r="Q99" s="165">
        <v>130426666</v>
      </c>
      <c r="R99" s="165">
        <v>2022</v>
      </c>
    </row>
    <row r="100" spans="1:18" x14ac:dyDescent="0.3">
      <c r="A100" s="165" t="str">
        <f>presuvigencias[[#This Row],[PROYECTO]]&amp;presuvigencias[[#This Row],[METAPDD]]</f>
        <v>773021</v>
      </c>
      <c r="B100" s="165" t="str">
        <f>presuvigencias[[#This Row],[PROYECTO]]&amp;presuvigencias[[#This Row],[META]]</f>
        <v>77301</v>
      </c>
      <c r="C100" s="166">
        <v>7730</v>
      </c>
      <c r="D100" s="165">
        <v>1</v>
      </c>
      <c r="E100" s="165">
        <f>VLOOKUP(presuvigencias[[#This Row],[LLAVE]],ESTRATÉGICO!$C$3:$R$110,16,0)</f>
        <v>21</v>
      </c>
      <c r="F100" s="165">
        <v>220076160</v>
      </c>
      <c r="G100" s="165">
        <v>220076160</v>
      </c>
      <c r="H100" s="165">
        <v>161476082</v>
      </c>
      <c r="I100" s="165">
        <v>2021</v>
      </c>
      <c r="K100" s="165">
        <v>77303</v>
      </c>
      <c r="L100" s="167">
        <v>7730</v>
      </c>
      <c r="M100" s="165">
        <v>3</v>
      </c>
      <c r="N100" s="165">
        <v>897274848</v>
      </c>
      <c r="O100" s="165">
        <v>48637179</v>
      </c>
      <c r="P100" s="165">
        <v>848637669</v>
      </c>
      <c r="Q100" s="165">
        <v>848637669</v>
      </c>
      <c r="R100" s="165">
        <v>2022</v>
      </c>
    </row>
    <row r="101" spans="1:18" x14ac:dyDescent="0.3">
      <c r="A101" s="165" t="str">
        <f>presuvigencias[[#This Row],[PROYECTO]]&amp;presuvigencias[[#This Row],[METAPDD]]</f>
        <v>773021</v>
      </c>
      <c r="B101" s="165" t="str">
        <f>presuvigencias[[#This Row],[PROYECTO]]&amp;presuvigencias[[#This Row],[META]]</f>
        <v>77302</v>
      </c>
      <c r="C101" s="166">
        <v>7730</v>
      </c>
      <c r="D101" s="165">
        <v>2</v>
      </c>
      <c r="E101" s="165">
        <f>VLOOKUP(presuvigencias[[#This Row],[LLAVE]],ESTRATÉGICO!$C$3:$R$110,16,0)</f>
        <v>21</v>
      </c>
      <c r="F101" s="165">
        <v>328782824</v>
      </c>
      <c r="G101" s="165">
        <v>328760000</v>
      </c>
      <c r="H101" s="165">
        <v>198333334</v>
      </c>
      <c r="I101" s="165">
        <v>2021</v>
      </c>
      <c r="K101" s="165">
        <v>77331</v>
      </c>
      <c r="L101" s="166">
        <v>7733</v>
      </c>
      <c r="M101" s="165">
        <v>1</v>
      </c>
      <c r="N101" s="165">
        <v>167015430</v>
      </c>
      <c r="O101" s="165">
        <v>0</v>
      </c>
      <c r="P101" s="165">
        <v>167015430</v>
      </c>
      <c r="Q101" s="165">
        <v>167015430</v>
      </c>
      <c r="R101" s="165">
        <v>2022</v>
      </c>
    </row>
    <row r="102" spans="1:18" x14ac:dyDescent="0.3">
      <c r="A102" s="165" t="str">
        <f>presuvigencias[[#This Row],[PROYECTO]]&amp;presuvigencias[[#This Row],[METAPDD]]</f>
        <v>773021</v>
      </c>
      <c r="B102" s="165" t="str">
        <f>presuvigencias[[#This Row],[PROYECTO]]&amp;presuvigencias[[#This Row],[META]]</f>
        <v>77303</v>
      </c>
      <c r="C102" s="167">
        <v>7730</v>
      </c>
      <c r="D102" s="165">
        <v>3</v>
      </c>
      <c r="E102" s="165">
        <f>VLOOKUP(presuvigencias[[#This Row],[LLAVE]],ESTRATÉGICO!$C$3:$R$110,16,0)</f>
        <v>21</v>
      </c>
      <c r="F102" s="165">
        <v>2931118220</v>
      </c>
      <c r="G102" s="165">
        <v>2909826060</v>
      </c>
      <c r="H102" s="165">
        <v>2012551212</v>
      </c>
      <c r="I102" s="165">
        <v>2021</v>
      </c>
      <c r="K102" s="165">
        <v>77332</v>
      </c>
      <c r="L102" s="166">
        <v>7733</v>
      </c>
      <c r="M102" s="165">
        <v>2</v>
      </c>
      <c r="N102" s="165">
        <v>132784268</v>
      </c>
      <c r="O102" s="165">
        <v>0</v>
      </c>
      <c r="P102" s="165">
        <v>132784268</v>
      </c>
      <c r="Q102" s="165">
        <v>132784268</v>
      </c>
      <c r="R102" s="165">
        <v>2022</v>
      </c>
    </row>
    <row r="103" spans="1:18" x14ac:dyDescent="0.3">
      <c r="A103" s="165" t="str">
        <f>presuvigencias[[#This Row],[PROYECTO]]&amp;presuvigencias[[#This Row],[METAPDD]]</f>
        <v>7733484</v>
      </c>
      <c r="B103" s="165" t="str">
        <f>presuvigencias[[#This Row],[PROYECTO]]&amp;presuvigencias[[#This Row],[META]]</f>
        <v>77331</v>
      </c>
      <c r="C103" s="166">
        <v>7733</v>
      </c>
      <c r="D103" s="165">
        <v>1</v>
      </c>
      <c r="E103" s="165">
        <f>VLOOKUP(presuvigencias[[#This Row],[LLAVE]],ESTRATÉGICO!$C$3:$R$110,16,0)</f>
        <v>484</v>
      </c>
      <c r="F103" s="165">
        <v>1570387006</v>
      </c>
      <c r="G103" s="165">
        <v>1570250663</v>
      </c>
      <c r="H103" s="165">
        <v>1403235233</v>
      </c>
      <c r="I103" s="165">
        <v>2021</v>
      </c>
      <c r="K103" s="165">
        <v>77333</v>
      </c>
      <c r="L103" s="166">
        <v>7733</v>
      </c>
      <c r="M103" s="165">
        <v>3</v>
      </c>
      <c r="N103" s="165">
        <v>93132690</v>
      </c>
      <c r="O103" s="165">
        <v>462</v>
      </c>
      <c r="P103" s="165">
        <v>93132228</v>
      </c>
      <c r="Q103" s="165">
        <v>93132228</v>
      </c>
      <c r="R103" s="165">
        <v>2022</v>
      </c>
    </row>
    <row r="104" spans="1:18" x14ac:dyDescent="0.3">
      <c r="A104" s="165" t="str">
        <f>presuvigencias[[#This Row],[PROYECTO]]&amp;presuvigencias[[#This Row],[METAPDD]]</f>
        <v>7733481</v>
      </c>
      <c r="B104" s="165" t="str">
        <f>presuvigencias[[#This Row],[PROYECTO]]&amp;presuvigencias[[#This Row],[META]]</f>
        <v>77332</v>
      </c>
      <c r="C104" s="166">
        <v>7733</v>
      </c>
      <c r="D104" s="165">
        <v>2</v>
      </c>
      <c r="E104" s="165">
        <f>VLOOKUP(presuvigencias[[#This Row],[LLAVE]],ESTRATÉGICO!$C$3:$R$110,16,0)</f>
        <v>481</v>
      </c>
      <c r="F104" s="165">
        <v>1137999287</v>
      </c>
      <c r="G104" s="165">
        <v>1137999287</v>
      </c>
      <c r="H104" s="165">
        <v>1005215019</v>
      </c>
      <c r="I104" s="165">
        <v>2021</v>
      </c>
      <c r="K104" s="165">
        <v>77334</v>
      </c>
      <c r="L104" s="167">
        <v>7733</v>
      </c>
      <c r="M104" s="165">
        <v>4</v>
      </c>
      <c r="N104" s="165">
        <v>49355775</v>
      </c>
      <c r="O104" s="165">
        <v>0</v>
      </c>
      <c r="P104" s="165">
        <v>49355775</v>
      </c>
      <c r="Q104" s="165">
        <v>49355775</v>
      </c>
      <c r="R104" s="165">
        <v>2022</v>
      </c>
    </row>
    <row r="105" spans="1:18" x14ac:dyDescent="0.3">
      <c r="A105" s="165" t="str">
        <f>presuvigencias[[#This Row],[PROYECTO]]&amp;presuvigencias[[#This Row],[METAPDD]]</f>
        <v>7733481</v>
      </c>
      <c r="B105" s="165" t="str">
        <f>presuvigencias[[#This Row],[PROYECTO]]&amp;presuvigencias[[#This Row],[META]]</f>
        <v>77333</v>
      </c>
      <c r="C105" s="166">
        <v>7733</v>
      </c>
      <c r="D105" s="165">
        <v>3</v>
      </c>
      <c r="E105" s="165">
        <f>VLOOKUP(presuvigencias[[#This Row],[LLAVE]],ESTRATÉGICO!$C$3:$R$110,16,0)</f>
        <v>481</v>
      </c>
      <c r="F105" s="165">
        <v>824900349</v>
      </c>
      <c r="G105" s="165">
        <v>824165590</v>
      </c>
      <c r="H105" s="165">
        <v>731032900</v>
      </c>
      <c r="I105" s="165">
        <v>2021</v>
      </c>
      <c r="K105" s="165">
        <v>77351</v>
      </c>
      <c r="L105" s="166">
        <v>7735</v>
      </c>
      <c r="M105" s="165">
        <v>1</v>
      </c>
      <c r="N105" s="165">
        <v>153726699</v>
      </c>
      <c r="O105" s="165">
        <v>0</v>
      </c>
      <c r="P105" s="165">
        <v>153726699</v>
      </c>
      <c r="Q105" s="165">
        <v>153574599</v>
      </c>
      <c r="R105" s="165">
        <v>2022</v>
      </c>
    </row>
    <row r="106" spans="1:18" x14ac:dyDescent="0.3">
      <c r="A106" s="165" t="str">
        <f>presuvigencias[[#This Row],[PROYECTO]]&amp;presuvigencias[[#This Row],[METAPDD]]</f>
        <v>7733481</v>
      </c>
      <c r="B106" s="165" t="str">
        <f>presuvigencias[[#This Row],[PROYECTO]]&amp;presuvigencias[[#This Row],[META]]</f>
        <v>77334</v>
      </c>
      <c r="C106" s="167">
        <v>7733</v>
      </c>
      <c r="D106" s="165">
        <v>4</v>
      </c>
      <c r="E106" s="165">
        <f>VLOOKUP(presuvigencias[[#This Row],[LLAVE]],ESTRATÉGICO!$C$3:$R$110,16,0)</f>
        <v>481</v>
      </c>
      <c r="F106" s="165">
        <v>473168510</v>
      </c>
      <c r="G106" s="165">
        <v>473168510</v>
      </c>
      <c r="H106" s="165">
        <v>423812735</v>
      </c>
      <c r="I106" s="165">
        <v>2021</v>
      </c>
      <c r="K106" s="165">
        <v>77352</v>
      </c>
      <c r="L106" s="166">
        <v>7735</v>
      </c>
      <c r="M106" s="165">
        <v>2</v>
      </c>
      <c r="N106" s="165">
        <v>780662582</v>
      </c>
      <c r="O106" s="165">
        <v>21387971</v>
      </c>
      <c r="P106" s="165">
        <v>759274611</v>
      </c>
      <c r="Q106" s="165">
        <v>759274611</v>
      </c>
      <c r="R106" s="165">
        <v>2022</v>
      </c>
    </row>
    <row r="107" spans="1:18" x14ac:dyDescent="0.3">
      <c r="A107" s="165" t="str">
        <f>presuvigencias[[#This Row],[PROYECTO]]&amp;presuvigencias[[#This Row],[METAPDD]]</f>
        <v>7735545</v>
      </c>
      <c r="B107" s="165" t="str">
        <f>presuvigencias[[#This Row],[PROYECTO]]&amp;presuvigencias[[#This Row],[META]]</f>
        <v>77351</v>
      </c>
      <c r="C107" s="166">
        <v>7735</v>
      </c>
      <c r="D107" s="165">
        <v>1</v>
      </c>
      <c r="E107" s="165">
        <f>VLOOKUP(presuvigencias[[#This Row],[LLAVE]],ESTRATÉGICO!$C$3:$R$110,16,0)</f>
        <v>545</v>
      </c>
      <c r="F107" s="165">
        <v>544891020</v>
      </c>
      <c r="G107" s="165">
        <v>544891020</v>
      </c>
      <c r="H107" s="165">
        <v>391164321</v>
      </c>
      <c r="I107" s="165">
        <v>2021</v>
      </c>
      <c r="K107" s="165">
        <v>77353</v>
      </c>
      <c r="L107" s="166">
        <v>7735</v>
      </c>
      <c r="M107" s="165">
        <v>3</v>
      </c>
      <c r="N107" s="165">
        <v>305832141</v>
      </c>
      <c r="O107" s="165">
        <v>0</v>
      </c>
      <c r="P107" s="165">
        <v>305832141</v>
      </c>
      <c r="Q107" s="165">
        <v>305832141</v>
      </c>
      <c r="R107" s="165">
        <v>2022</v>
      </c>
    </row>
    <row r="108" spans="1:18" x14ac:dyDescent="0.3">
      <c r="A108" s="165" t="str">
        <f>presuvigencias[[#This Row],[PROYECTO]]&amp;presuvigencias[[#This Row],[METAPDD]]</f>
        <v>7735545</v>
      </c>
      <c r="B108" s="165" t="str">
        <f>presuvigencias[[#This Row],[PROYECTO]]&amp;presuvigencias[[#This Row],[META]]</f>
        <v>77352</v>
      </c>
      <c r="C108" s="166">
        <v>7735</v>
      </c>
      <c r="D108" s="165">
        <v>2</v>
      </c>
      <c r="E108" s="165">
        <f>VLOOKUP(presuvigencias[[#This Row],[LLAVE]],ESTRATÉGICO!$C$3:$R$110,16,0)</f>
        <v>545</v>
      </c>
      <c r="F108" s="165">
        <v>2028315144</v>
      </c>
      <c r="G108" s="165">
        <v>2028118477</v>
      </c>
      <c r="H108" s="165">
        <v>1247455895</v>
      </c>
      <c r="I108" s="165">
        <v>2021</v>
      </c>
      <c r="K108" s="165">
        <v>77354</v>
      </c>
      <c r="L108" s="166">
        <v>7735</v>
      </c>
      <c r="M108" s="165">
        <v>4</v>
      </c>
      <c r="N108" s="165">
        <v>1297870388</v>
      </c>
      <c r="O108" s="165">
        <v>14070</v>
      </c>
      <c r="P108" s="165">
        <v>1297856318</v>
      </c>
      <c r="Q108" s="165">
        <v>1279348393</v>
      </c>
      <c r="R108" s="165">
        <v>2022</v>
      </c>
    </row>
    <row r="109" spans="1:18" x14ac:dyDescent="0.3">
      <c r="A109" s="165" t="str">
        <f>presuvigencias[[#This Row],[PROYECTO]]&amp;presuvigencias[[#This Row],[METAPDD]]</f>
        <v>7735546</v>
      </c>
      <c r="B109" s="165" t="str">
        <f>presuvigencias[[#This Row],[PROYECTO]]&amp;presuvigencias[[#This Row],[META]]</f>
        <v>77353</v>
      </c>
      <c r="C109" s="166">
        <v>7735</v>
      </c>
      <c r="D109" s="165">
        <v>3</v>
      </c>
      <c r="E109" s="165">
        <f>VLOOKUP(presuvigencias[[#This Row],[LLAVE]],ESTRATÉGICO!$C$3:$R$110,16,0)</f>
        <v>546</v>
      </c>
      <c r="F109" s="165">
        <v>798740351</v>
      </c>
      <c r="G109" s="165">
        <v>798673773</v>
      </c>
      <c r="H109" s="165">
        <v>492841632</v>
      </c>
      <c r="I109" s="165">
        <v>2021</v>
      </c>
      <c r="K109" s="165">
        <v>77355</v>
      </c>
      <c r="L109" s="167">
        <v>7735</v>
      </c>
      <c r="M109" s="165">
        <v>5</v>
      </c>
      <c r="N109" s="165">
        <v>225775659</v>
      </c>
      <c r="O109" s="165">
        <v>14411760</v>
      </c>
      <c r="P109" s="165">
        <v>211363899</v>
      </c>
      <c r="Q109" s="165">
        <v>211363899</v>
      </c>
      <c r="R109" s="165">
        <v>2022</v>
      </c>
    </row>
    <row r="110" spans="1:18" x14ac:dyDescent="0.3">
      <c r="A110" s="165" t="str">
        <f>presuvigencias[[#This Row],[PROYECTO]]&amp;presuvigencias[[#This Row],[METAPDD]]</f>
        <v>7735545</v>
      </c>
      <c r="B110" s="165" t="str">
        <f>presuvigencias[[#This Row],[PROYECTO]]&amp;presuvigencias[[#This Row],[META]]</f>
        <v>77354</v>
      </c>
      <c r="C110" s="166">
        <v>7735</v>
      </c>
      <c r="D110" s="165">
        <v>4</v>
      </c>
      <c r="E110" s="165">
        <f>VLOOKUP(presuvigencias[[#This Row],[LLAVE]],ESTRATÉGICO!$C$3:$R$110,16,0)</f>
        <v>545</v>
      </c>
      <c r="F110" s="165">
        <v>2171102536</v>
      </c>
      <c r="G110" s="165">
        <v>2144729938</v>
      </c>
      <c r="H110" s="165">
        <v>846859550</v>
      </c>
      <c r="I110" s="165">
        <v>2021</v>
      </c>
      <c r="K110" s="165">
        <v>77401</v>
      </c>
      <c r="L110" s="166">
        <v>7740</v>
      </c>
      <c r="M110" s="165">
        <v>1</v>
      </c>
      <c r="N110" s="165">
        <v>256972125.48000002</v>
      </c>
      <c r="O110" s="165">
        <v>0</v>
      </c>
      <c r="P110" s="165">
        <v>256972125.48000002</v>
      </c>
      <c r="Q110" s="165">
        <v>256972125.48000002</v>
      </c>
      <c r="R110" s="165">
        <v>2022</v>
      </c>
    </row>
    <row r="111" spans="1:18" x14ac:dyDescent="0.3">
      <c r="A111" s="165" t="str">
        <f>presuvigencias[[#This Row],[PROYECTO]]&amp;presuvigencias[[#This Row],[METAPDD]]</f>
        <v>7735545</v>
      </c>
      <c r="B111" s="165" t="str">
        <f>presuvigencias[[#This Row],[PROYECTO]]&amp;presuvigencias[[#This Row],[META]]</f>
        <v>77355</v>
      </c>
      <c r="C111" s="167">
        <v>7735</v>
      </c>
      <c r="D111" s="165">
        <v>5</v>
      </c>
      <c r="E111" s="165">
        <f>VLOOKUP(presuvigencias[[#This Row],[LLAVE]],ESTRATÉGICO!$C$3:$R$110,16,0)</f>
        <v>545</v>
      </c>
      <c r="F111" s="165">
        <v>980638610</v>
      </c>
      <c r="G111" s="165">
        <v>980638610</v>
      </c>
      <c r="H111" s="165">
        <v>754862951</v>
      </c>
      <c r="I111" s="165">
        <v>2021</v>
      </c>
      <c r="K111" s="165">
        <v>77402</v>
      </c>
      <c r="L111" s="166">
        <v>7740</v>
      </c>
      <c r="M111" s="165">
        <v>2</v>
      </c>
      <c r="N111" s="165">
        <v>80369535.329999998</v>
      </c>
      <c r="O111" s="165">
        <v>0</v>
      </c>
      <c r="P111" s="165">
        <v>80369535.329999998</v>
      </c>
      <c r="Q111" s="165">
        <v>80369535.329999998</v>
      </c>
      <c r="R111" s="165">
        <v>2022</v>
      </c>
    </row>
    <row r="112" spans="1:18" x14ac:dyDescent="0.3">
      <c r="A112" s="165" t="str">
        <f>presuvigencias[[#This Row],[PROYECTO]]&amp;presuvigencias[[#This Row],[METAPDD]]</f>
        <v>7740114</v>
      </c>
      <c r="B112" s="165" t="str">
        <f>presuvigencias[[#This Row],[PROYECTO]]&amp;presuvigencias[[#This Row],[META]]</f>
        <v>77401</v>
      </c>
      <c r="C112" s="166">
        <v>7740</v>
      </c>
      <c r="D112" s="165">
        <v>1</v>
      </c>
      <c r="E112" s="165">
        <f>VLOOKUP(presuvigencias[[#This Row],[LLAVE]],ESTRATÉGICO!$C$3:$R$110,16,0)</f>
        <v>114</v>
      </c>
      <c r="F112" s="165">
        <v>881895250</v>
      </c>
      <c r="G112" s="165">
        <v>859939450</v>
      </c>
      <c r="H112" s="165">
        <v>602967324.51999998</v>
      </c>
      <c r="I112" s="165">
        <v>2021</v>
      </c>
      <c r="K112" s="165">
        <v>77403</v>
      </c>
      <c r="L112" s="166">
        <v>7740</v>
      </c>
      <c r="M112" s="165">
        <v>3</v>
      </c>
      <c r="N112" s="165">
        <v>7144294211</v>
      </c>
      <c r="O112" s="165">
        <v>52531000</v>
      </c>
      <c r="P112" s="165">
        <v>7091763211</v>
      </c>
      <c r="Q112" s="165">
        <v>7048475811</v>
      </c>
      <c r="R112" s="165">
        <v>2022</v>
      </c>
    </row>
    <row r="113" spans="1:18" x14ac:dyDescent="0.3">
      <c r="A113" s="165" t="str">
        <f>presuvigencias[[#This Row],[PROYECTO]]&amp;presuvigencias[[#This Row],[METAPDD]]</f>
        <v>7740114</v>
      </c>
      <c r="B113" s="165" t="str">
        <f>presuvigencias[[#This Row],[PROYECTO]]&amp;presuvigencias[[#This Row],[META]]</f>
        <v>77402</v>
      </c>
      <c r="C113" s="166">
        <v>7740</v>
      </c>
      <c r="D113" s="165">
        <v>2</v>
      </c>
      <c r="E113" s="165">
        <f>VLOOKUP(presuvigencias[[#This Row],[LLAVE]],ESTRATÉGICO!$C$3:$R$110,16,0)</f>
        <v>114</v>
      </c>
      <c r="F113" s="165">
        <v>342002000</v>
      </c>
      <c r="G113" s="165">
        <v>342002000</v>
      </c>
      <c r="H113" s="165">
        <v>261632464.67000002</v>
      </c>
      <c r="I113" s="165">
        <v>2021</v>
      </c>
      <c r="K113" s="165">
        <v>77404</v>
      </c>
      <c r="L113" s="166">
        <v>7740</v>
      </c>
      <c r="M113" s="165">
        <v>4</v>
      </c>
      <c r="N113" s="165">
        <v>928787290.19000006</v>
      </c>
      <c r="O113" s="165">
        <v>28172381</v>
      </c>
      <c r="P113" s="165">
        <v>900614909.19000006</v>
      </c>
      <c r="Q113" s="165">
        <v>869404093.19000006</v>
      </c>
      <c r="R113" s="165">
        <v>2022</v>
      </c>
    </row>
    <row r="114" spans="1:18" x14ac:dyDescent="0.3">
      <c r="A114" s="165" t="str">
        <f>presuvigencias[[#This Row],[PROYECTO]]&amp;presuvigencias[[#This Row],[METAPDD]]</f>
        <v>7740113</v>
      </c>
      <c r="B114" s="165" t="str">
        <f>presuvigencias[[#This Row],[PROYECTO]]&amp;presuvigencias[[#This Row],[META]]</f>
        <v>77403</v>
      </c>
      <c r="C114" s="166">
        <v>7740</v>
      </c>
      <c r="D114" s="165">
        <v>3</v>
      </c>
      <c r="E114" s="165">
        <f>VLOOKUP(presuvigencias[[#This Row],[LLAVE]],ESTRATÉGICO!$C$3:$R$110,16,0)</f>
        <v>113</v>
      </c>
      <c r="F114" s="165">
        <v>41618927650</v>
      </c>
      <c r="G114" s="165">
        <v>41437868355</v>
      </c>
      <c r="H114" s="165">
        <v>34293574144</v>
      </c>
      <c r="I114" s="165">
        <v>2021</v>
      </c>
      <c r="K114" s="165">
        <v>77405</v>
      </c>
      <c r="L114" s="167">
        <v>7740</v>
      </c>
      <c r="M114" s="165">
        <v>5</v>
      </c>
      <c r="N114" s="165">
        <v>618199595</v>
      </c>
      <c r="O114" s="165">
        <v>0</v>
      </c>
      <c r="P114" s="165">
        <v>618199595</v>
      </c>
      <c r="Q114" s="165">
        <v>614002414</v>
      </c>
      <c r="R114" s="165">
        <v>2022</v>
      </c>
    </row>
    <row r="115" spans="1:18" x14ac:dyDescent="0.3">
      <c r="A115" s="165" t="str">
        <f>presuvigencias[[#This Row],[PROYECTO]]&amp;presuvigencias[[#This Row],[METAPDD]]</f>
        <v>7740114</v>
      </c>
      <c r="B115" s="165" t="str">
        <f>presuvigencias[[#This Row],[PROYECTO]]&amp;presuvigencias[[#This Row],[META]]</f>
        <v>77404</v>
      </c>
      <c r="C115" s="166">
        <v>7740</v>
      </c>
      <c r="D115" s="165">
        <v>4</v>
      </c>
      <c r="E115" s="165">
        <f>VLOOKUP(presuvigencias[[#This Row],[LLAVE]],ESTRATÉGICO!$C$3:$R$110,16,0)</f>
        <v>114</v>
      </c>
      <c r="F115" s="165">
        <v>4972101367</v>
      </c>
      <c r="G115" s="165">
        <v>4914327011</v>
      </c>
      <c r="H115" s="165">
        <v>3985539720.8099999</v>
      </c>
      <c r="I115" s="165">
        <v>2021</v>
      </c>
      <c r="K115" s="165">
        <v>77411</v>
      </c>
      <c r="L115" s="166">
        <v>7741</v>
      </c>
      <c r="M115" s="165">
        <v>1</v>
      </c>
      <c r="N115" s="165">
        <v>2073002751</v>
      </c>
      <c r="O115" s="165">
        <v>4023390</v>
      </c>
      <c r="P115" s="165">
        <v>2068979361</v>
      </c>
      <c r="Q115" s="165">
        <v>2068979359</v>
      </c>
      <c r="R115" s="165">
        <v>2022</v>
      </c>
    </row>
    <row r="116" spans="1:18" x14ac:dyDescent="0.3">
      <c r="A116" s="165" t="str">
        <f>presuvigencias[[#This Row],[PROYECTO]]&amp;presuvigencias[[#This Row],[METAPDD]]</f>
        <v>7740110</v>
      </c>
      <c r="B116" s="165" t="str">
        <f>presuvigencias[[#This Row],[PROYECTO]]&amp;presuvigencias[[#This Row],[META]]</f>
        <v>77405</v>
      </c>
      <c r="C116" s="167">
        <v>7740</v>
      </c>
      <c r="D116" s="165">
        <v>5</v>
      </c>
      <c r="E116" s="165">
        <f>VLOOKUP(presuvigencias[[#This Row],[LLAVE]],ESTRATÉGICO!$C$3:$R$110,16,0)</f>
        <v>110</v>
      </c>
      <c r="F116" s="165">
        <v>2218888767</v>
      </c>
      <c r="G116" s="165">
        <v>2214531500</v>
      </c>
      <c r="H116" s="165">
        <v>1596331905</v>
      </c>
      <c r="I116" s="165">
        <v>2021</v>
      </c>
      <c r="K116" s="165">
        <v>77412</v>
      </c>
      <c r="L116" s="166">
        <v>7741</v>
      </c>
      <c r="M116" s="165">
        <v>2</v>
      </c>
      <c r="N116" s="165">
        <v>1040569735</v>
      </c>
      <c r="O116" s="165">
        <v>1230118</v>
      </c>
      <c r="P116" s="165">
        <v>1039339617</v>
      </c>
      <c r="Q116" s="165">
        <v>1038457617</v>
      </c>
      <c r="R116" s="165">
        <v>2022</v>
      </c>
    </row>
    <row r="117" spans="1:18" x14ac:dyDescent="0.3">
      <c r="A117" s="165" t="str">
        <f>presuvigencias[[#This Row],[PROYECTO]]&amp;presuvigencias[[#This Row],[METAPDD]]</f>
        <v>7741412</v>
      </c>
      <c r="B117" s="165" t="str">
        <f>presuvigencias[[#This Row],[PROYECTO]]&amp;presuvigencias[[#This Row],[META]]</f>
        <v>77411</v>
      </c>
      <c r="C117" s="166">
        <v>7741</v>
      </c>
      <c r="D117" s="165">
        <v>1</v>
      </c>
      <c r="E117" s="165">
        <f>VLOOKUP(presuvigencias[[#This Row],[LLAVE]],ESTRATÉGICO!$C$3:$R$110,16,0)</f>
        <v>412</v>
      </c>
      <c r="F117" s="165">
        <v>6049690360</v>
      </c>
      <c r="G117" s="165">
        <v>5926256759</v>
      </c>
      <c r="H117" s="165">
        <v>3853254008</v>
      </c>
      <c r="I117" s="165">
        <v>2021</v>
      </c>
      <c r="K117" s="165">
        <v>77413</v>
      </c>
      <c r="L117" s="166">
        <v>7741</v>
      </c>
      <c r="M117" s="165">
        <v>3</v>
      </c>
      <c r="N117" s="165">
        <v>217131900</v>
      </c>
      <c r="O117" s="165">
        <v>0</v>
      </c>
      <c r="P117" s="165">
        <v>217131900</v>
      </c>
      <c r="Q117" s="165">
        <v>217131900</v>
      </c>
      <c r="R117" s="165">
        <v>2022</v>
      </c>
    </row>
    <row r="118" spans="1:18" x14ac:dyDescent="0.3">
      <c r="A118" s="165" t="str">
        <f>presuvigencias[[#This Row],[PROYECTO]]&amp;presuvigencias[[#This Row],[METAPDD]]</f>
        <v>7741412</v>
      </c>
      <c r="B118" s="165" t="str">
        <f>presuvigencias[[#This Row],[PROYECTO]]&amp;presuvigencias[[#This Row],[META]]</f>
        <v>77412</v>
      </c>
      <c r="C118" s="166">
        <v>7741</v>
      </c>
      <c r="D118" s="165">
        <v>2</v>
      </c>
      <c r="E118" s="165">
        <f>VLOOKUP(presuvigencias[[#This Row],[LLAVE]],ESTRATÉGICO!$C$3:$R$110,16,0)</f>
        <v>412</v>
      </c>
      <c r="F118" s="165">
        <v>4558273635</v>
      </c>
      <c r="G118" s="165">
        <v>4499283218</v>
      </c>
      <c r="H118" s="165">
        <v>3458713483</v>
      </c>
      <c r="I118" s="165">
        <v>2021</v>
      </c>
      <c r="K118" s="165">
        <v>77414</v>
      </c>
      <c r="L118" s="166">
        <v>7741</v>
      </c>
      <c r="M118" s="165">
        <v>4</v>
      </c>
      <c r="N118" s="165">
        <v>52146533</v>
      </c>
      <c r="O118" s="165">
        <v>0</v>
      </c>
      <c r="P118" s="165">
        <v>52146533</v>
      </c>
      <c r="Q118" s="165">
        <v>52146533</v>
      </c>
      <c r="R118" s="165">
        <v>2022</v>
      </c>
    </row>
    <row r="119" spans="1:18" x14ac:dyDescent="0.3">
      <c r="A119" s="165" t="str">
        <f>presuvigencias[[#This Row],[PROYECTO]]&amp;presuvigencias[[#This Row],[METAPDD]]</f>
        <v>7741411</v>
      </c>
      <c r="B119" s="165" t="str">
        <f>presuvigencias[[#This Row],[PROYECTO]]&amp;presuvigencias[[#This Row],[META]]</f>
        <v>77413</v>
      </c>
      <c r="C119" s="166">
        <v>7741</v>
      </c>
      <c r="D119" s="165">
        <v>3</v>
      </c>
      <c r="E119" s="165">
        <f>VLOOKUP(presuvigencias[[#This Row],[LLAVE]],ESTRATÉGICO!$C$3:$R$110,16,0)</f>
        <v>411</v>
      </c>
      <c r="F119" s="165">
        <v>1076513633</v>
      </c>
      <c r="G119" s="165">
        <v>1076513633</v>
      </c>
      <c r="H119" s="165">
        <v>859381733</v>
      </c>
      <c r="I119" s="165">
        <v>2021</v>
      </c>
      <c r="K119" s="165">
        <v>77415</v>
      </c>
      <c r="L119" s="166">
        <v>7741</v>
      </c>
      <c r="M119" s="165">
        <v>5</v>
      </c>
      <c r="N119" s="165">
        <v>620172566</v>
      </c>
      <c r="O119" s="165">
        <v>46490233</v>
      </c>
      <c r="P119" s="165">
        <v>573682333</v>
      </c>
      <c r="Q119" s="165">
        <v>573682333</v>
      </c>
      <c r="R119" s="165">
        <v>2022</v>
      </c>
    </row>
    <row r="120" spans="1:18" x14ac:dyDescent="0.3">
      <c r="A120" s="165" t="str">
        <f>presuvigencias[[#This Row],[PROYECTO]]&amp;presuvigencias[[#This Row],[METAPDD]]</f>
        <v>7741411</v>
      </c>
      <c r="B120" s="165" t="str">
        <f>presuvigencias[[#This Row],[PROYECTO]]&amp;presuvigencias[[#This Row],[META]]</f>
        <v>77414</v>
      </c>
      <c r="C120" s="166">
        <v>7741</v>
      </c>
      <c r="D120" s="165">
        <v>4</v>
      </c>
      <c r="E120" s="165">
        <f>VLOOKUP(presuvigencias[[#This Row],[LLAVE]],ESTRATÉGICO!$C$3:$R$110,16,0)</f>
        <v>411</v>
      </c>
      <c r="F120" s="165">
        <v>438544137</v>
      </c>
      <c r="G120" s="165">
        <v>438430000</v>
      </c>
      <c r="H120" s="165">
        <v>386283467</v>
      </c>
      <c r="I120" s="165">
        <v>2021</v>
      </c>
      <c r="K120" s="165">
        <v>77416</v>
      </c>
      <c r="L120" s="166">
        <v>7741</v>
      </c>
      <c r="M120" s="165">
        <v>6</v>
      </c>
      <c r="N120" s="165">
        <v>177274219</v>
      </c>
      <c r="O120" s="165">
        <v>0</v>
      </c>
      <c r="P120" s="165">
        <v>177274219</v>
      </c>
      <c r="Q120" s="165">
        <v>177274219</v>
      </c>
      <c r="R120" s="165">
        <v>2022</v>
      </c>
    </row>
    <row r="121" spans="1:18" x14ac:dyDescent="0.3">
      <c r="A121" s="165" t="str">
        <f>presuvigencias[[#This Row],[PROYECTO]]&amp;presuvigencias[[#This Row],[METAPDD]]</f>
        <v>7741412</v>
      </c>
      <c r="B121" s="165" t="str">
        <f>presuvigencias[[#This Row],[PROYECTO]]&amp;presuvigencias[[#This Row],[META]]</f>
        <v>77415</v>
      </c>
      <c r="C121" s="166">
        <v>7741</v>
      </c>
      <c r="D121" s="165">
        <v>5</v>
      </c>
      <c r="E121" s="165">
        <f>VLOOKUP(presuvigencias[[#This Row],[LLAVE]],ESTRATÉGICO!$C$3:$R$110,16,0)</f>
        <v>412</v>
      </c>
      <c r="F121" s="165">
        <v>2875132102</v>
      </c>
      <c r="G121" s="165">
        <v>2875132102</v>
      </c>
      <c r="H121" s="165">
        <v>2254959536</v>
      </c>
      <c r="I121" s="165">
        <v>2021</v>
      </c>
      <c r="K121" s="165">
        <v>77417</v>
      </c>
      <c r="L121" s="166">
        <v>7741</v>
      </c>
      <c r="M121" s="165">
        <v>7</v>
      </c>
      <c r="N121" s="165">
        <v>24856000</v>
      </c>
      <c r="O121" s="165">
        <v>0</v>
      </c>
      <c r="P121" s="165">
        <v>24856000</v>
      </c>
      <c r="Q121" s="165">
        <v>24856000</v>
      </c>
      <c r="R121" s="165">
        <v>2022</v>
      </c>
    </row>
    <row r="122" spans="1:18" x14ac:dyDescent="0.3">
      <c r="A122" s="165" t="str">
        <f>presuvigencias[[#This Row],[PROYECTO]]&amp;presuvigencias[[#This Row],[METAPDD]]</f>
        <v>7741412</v>
      </c>
      <c r="B122" s="165" t="str">
        <f>presuvigencias[[#This Row],[PROYECTO]]&amp;presuvigencias[[#This Row],[META]]</f>
        <v>77416</v>
      </c>
      <c r="C122" s="166">
        <v>7741</v>
      </c>
      <c r="D122" s="165">
        <v>6</v>
      </c>
      <c r="E122" s="165">
        <f>VLOOKUP(presuvigencias[[#This Row],[LLAVE]],ESTRATÉGICO!$C$3:$R$110,16,0)</f>
        <v>412</v>
      </c>
      <c r="F122" s="165">
        <v>782053120</v>
      </c>
      <c r="G122" s="165">
        <v>782053120</v>
      </c>
      <c r="H122" s="165">
        <v>604778901</v>
      </c>
      <c r="I122" s="165">
        <v>2021</v>
      </c>
      <c r="K122" s="165">
        <v>77418</v>
      </c>
      <c r="L122" s="167">
        <v>7741</v>
      </c>
      <c r="M122" s="165">
        <v>8</v>
      </c>
      <c r="N122" s="165">
        <v>639431197</v>
      </c>
      <c r="O122" s="165">
        <v>0</v>
      </c>
      <c r="P122" s="165">
        <v>639431197</v>
      </c>
      <c r="Q122" s="165">
        <v>637487530</v>
      </c>
      <c r="R122" s="165">
        <v>2022</v>
      </c>
    </row>
    <row r="123" spans="1:18" x14ac:dyDescent="0.3">
      <c r="A123" s="165" t="str">
        <f>presuvigencias[[#This Row],[PROYECTO]]&amp;presuvigencias[[#This Row],[METAPDD]]</f>
        <v>7741412</v>
      </c>
      <c r="B123" s="165" t="str">
        <f>presuvigencias[[#This Row],[PROYECTO]]&amp;presuvigencias[[#This Row],[META]]</f>
        <v>77417</v>
      </c>
      <c r="C123" s="166">
        <v>7741</v>
      </c>
      <c r="D123" s="165">
        <v>7</v>
      </c>
      <c r="E123" s="165">
        <f>VLOOKUP(presuvigencias[[#This Row],[LLAVE]],ESTRATÉGICO!$C$3:$R$110,16,0)</f>
        <v>412</v>
      </c>
      <c r="F123" s="165">
        <v>198131000</v>
      </c>
      <c r="G123" s="165">
        <v>198131000</v>
      </c>
      <c r="H123" s="165">
        <v>173275000</v>
      </c>
      <c r="I123" s="165">
        <v>2021</v>
      </c>
      <c r="K123" s="165">
        <v>77441</v>
      </c>
      <c r="L123" s="166">
        <v>7744</v>
      </c>
      <c r="M123" s="165">
        <v>1</v>
      </c>
      <c r="N123" s="165">
        <v>515925334</v>
      </c>
      <c r="O123" s="165">
        <v>0</v>
      </c>
      <c r="P123" s="165">
        <v>515925334</v>
      </c>
      <c r="Q123" s="165">
        <v>493071034</v>
      </c>
      <c r="R123" s="165">
        <v>2022</v>
      </c>
    </row>
    <row r="124" spans="1:18" x14ac:dyDescent="0.3">
      <c r="A124" s="165" t="str">
        <f>presuvigencias[[#This Row],[PROYECTO]]&amp;presuvigencias[[#This Row],[METAPDD]]</f>
        <v>7741412</v>
      </c>
      <c r="B124" s="165" t="str">
        <f>presuvigencias[[#This Row],[PROYECTO]]&amp;presuvigencias[[#This Row],[META]]</f>
        <v>77418</v>
      </c>
      <c r="C124" s="167">
        <v>7741</v>
      </c>
      <c r="D124" s="165">
        <v>8</v>
      </c>
      <c r="E124" s="165">
        <f>VLOOKUP(presuvigencias[[#This Row],[LLAVE]],ESTRATÉGICO!$C$3:$R$110,16,0)</f>
        <v>412</v>
      </c>
      <c r="F124" s="165">
        <v>1783507706</v>
      </c>
      <c r="G124" s="165">
        <v>1765485132</v>
      </c>
      <c r="H124" s="165">
        <v>1126053935</v>
      </c>
      <c r="I124" s="165">
        <v>2021</v>
      </c>
      <c r="K124" s="165">
        <v>77442</v>
      </c>
      <c r="L124" s="166">
        <v>7744</v>
      </c>
      <c r="M124" s="165">
        <v>2</v>
      </c>
      <c r="N124" s="165">
        <v>80264363267.790009</v>
      </c>
      <c r="O124" s="165">
        <v>327524840</v>
      </c>
      <c r="P124" s="165">
        <v>79936838427.790009</v>
      </c>
      <c r="Q124" s="165">
        <v>79196907903.908447</v>
      </c>
      <c r="R124" s="165">
        <v>2022</v>
      </c>
    </row>
    <row r="125" spans="1:18" x14ac:dyDescent="0.3">
      <c r="A125" s="165" t="str">
        <f>presuvigencias[[#This Row],[PROYECTO]]&amp;presuvigencias[[#This Row],[METAPDD]]</f>
        <v>774441</v>
      </c>
      <c r="B125" s="165" t="str">
        <f>presuvigencias[[#This Row],[PROYECTO]]&amp;presuvigencias[[#This Row],[META]]</f>
        <v>77441</v>
      </c>
      <c r="C125" s="166">
        <v>7744</v>
      </c>
      <c r="D125" s="165">
        <v>1</v>
      </c>
      <c r="E125" s="165">
        <f>VLOOKUP(presuvigencias[[#This Row],[LLAVE]],ESTRATÉGICO!$C$3:$R$110,16,0)</f>
        <v>41</v>
      </c>
      <c r="F125" s="165">
        <v>1689958915</v>
      </c>
      <c r="G125" s="165">
        <v>1689958915</v>
      </c>
      <c r="H125" s="165">
        <v>1174033581</v>
      </c>
      <c r="I125" s="165">
        <v>2021</v>
      </c>
      <c r="K125" s="165">
        <v>77443</v>
      </c>
      <c r="L125" s="166">
        <v>7744</v>
      </c>
      <c r="M125" s="165">
        <v>3</v>
      </c>
      <c r="N125" s="165">
        <v>2214903033</v>
      </c>
      <c r="O125" s="165">
        <v>55899434</v>
      </c>
      <c r="P125" s="165">
        <v>2159003599</v>
      </c>
      <c r="Q125" s="165">
        <v>2140030501</v>
      </c>
      <c r="R125" s="165">
        <v>2022</v>
      </c>
    </row>
    <row r="126" spans="1:18" x14ac:dyDescent="0.3">
      <c r="A126" s="165" t="str">
        <f>presuvigencias[[#This Row],[PROYECTO]]&amp;presuvigencias[[#This Row],[METAPDD]]</f>
        <v>774442</v>
      </c>
      <c r="B126" s="165" t="str">
        <f>presuvigencias[[#This Row],[PROYECTO]]&amp;presuvigencias[[#This Row],[META]]</f>
        <v>77442</v>
      </c>
      <c r="C126" s="166">
        <v>7744</v>
      </c>
      <c r="D126" s="165">
        <v>2</v>
      </c>
      <c r="E126" s="165">
        <f>VLOOKUP(presuvigencias[[#This Row],[LLAVE]],ESTRATÉGICO!$C$3:$R$110,16,0)</f>
        <v>42</v>
      </c>
      <c r="F126" s="165">
        <v>209265261587</v>
      </c>
      <c r="G126" s="165">
        <v>196736269187.25</v>
      </c>
      <c r="H126" s="165">
        <v>116471905919.46001</v>
      </c>
      <c r="I126" s="165">
        <v>2021</v>
      </c>
      <c r="K126" s="165">
        <v>77444</v>
      </c>
      <c r="L126" s="166">
        <v>7744</v>
      </c>
      <c r="M126" s="165">
        <v>4</v>
      </c>
      <c r="N126" s="165">
        <v>62694933</v>
      </c>
      <c r="O126" s="165">
        <v>0</v>
      </c>
      <c r="P126" s="165">
        <v>62694933</v>
      </c>
      <c r="Q126" s="165">
        <v>62694933</v>
      </c>
      <c r="R126" s="165">
        <v>2022</v>
      </c>
    </row>
    <row r="127" spans="1:18" x14ac:dyDescent="0.3">
      <c r="A127" s="165" t="str">
        <f>presuvigencias[[#This Row],[PROYECTO]]&amp;presuvigencias[[#This Row],[METAPDD]]</f>
        <v>774442</v>
      </c>
      <c r="B127" s="165" t="str">
        <f>presuvigencias[[#This Row],[PROYECTO]]&amp;presuvigencias[[#This Row],[META]]</f>
        <v>77443</v>
      </c>
      <c r="C127" s="166">
        <v>7744</v>
      </c>
      <c r="D127" s="165">
        <v>3</v>
      </c>
      <c r="E127" s="165">
        <f>VLOOKUP(presuvigencias[[#This Row],[LLAVE]],ESTRATÉGICO!$C$3:$R$110,16,0)</f>
        <v>42</v>
      </c>
      <c r="F127" s="165">
        <v>7574629301</v>
      </c>
      <c r="G127" s="165">
        <v>7545501101</v>
      </c>
      <c r="H127" s="165">
        <v>5330598068</v>
      </c>
      <c r="I127" s="165">
        <v>2021</v>
      </c>
      <c r="K127" s="165">
        <v>77445</v>
      </c>
      <c r="L127" s="166">
        <v>7744</v>
      </c>
      <c r="M127" s="165">
        <v>5</v>
      </c>
      <c r="N127" s="165">
        <v>3555036701.2100005</v>
      </c>
      <c r="O127" s="165">
        <v>35399002</v>
      </c>
      <c r="P127" s="165">
        <v>3519637699.2100005</v>
      </c>
      <c r="Q127" s="165">
        <v>3473220995.0915499</v>
      </c>
      <c r="R127" s="165">
        <v>2022</v>
      </c>
    </row>
    <row r="128" spans="1:18" x14ac:dyDescent="0.3">
      <c r="A128" s="165" t="str">
        <f>presuvigencias[[#This Row],[PROYECTO]]&amp;presuvigencias[[#This Row],[METAPDD]]</f>
        <v>774442</v>
      </c>
      <c r="B128" s="165" t="str">
        <f>presuvigencias[[#This Row],[PROYECTO]]&amp;presuvigencias[[#This Row],[META]]</f>
        <v>77444</v>
      </c>
      <c r="C128" s="166">
        <v>7744</v>
      </c>
      <c r="D128" s="165">
        <v>4</v>
      </c>
      <c r="E128" s="165">
        <f>VLOOKUP(presuvigencias[[#This Row],[LLAVE]],ESTRATÉGICO!$C$3:$R$110,16,0)</f>
        <v>42</v>
      </c>
      <c r="F128" s="165">
        <v>323010000</v>
      </c>
      <c r="G128" s="165">
        <v>323010000</v>
      </c>
      <c r="H128" s="165">
        <v>260315067</v>
      </c>
      <c r="I128" s="165">
        <v>2021</v>
      </c>
      <c r="K128" s="165">
        <v>77446</v>
      </c>
      <c r="L128" s="167">
        <v>7744</v>
      </c>
      <c r="M128" s="165">
        <v>6</v>
      </c>
      <c r="N128" s="165">
        <v>461263335</v>
      </c>
      <c r="O128" s="165">
        <v>0</v>
      </c>
      <c r="P128" s="165">
        <v>461263335</v>
      </c>
      <c r="Q128" s="165">
        <v>461263335</v>
      </c>
      <c r="R128" s="165">
        <v>2022</v>
      </c>
    </row>
    <row r="129" spans="1:18" x14ac:dyDescent="0.3">
      <c r="A129" s="165" t="str">
        <f>presuvigencias[[#This Row],[PROYECTO]]&amp;presuvigencias[[#This Row],[METAPDD]]</f>
        <v>774443</v>
      </c>
      <c r="B129" s="165" t="str">
        <f>presuvigencias[[#This Row],[PROYECTO]]&amp;presuvigencias[[#This Row],[META]]</f>
        <v>77445</v>
      </c>
      <c r="C129" s="166">
        <v>7744</v>
      </c>
      <c r="D129" s="165">
        <v>5</v>
      </c>
      <c r="E129" s="165">
        <f>VLOOKUP(presuvigencias[[#This Row],[LLAVE]],ESTRATÉGICO!$C$3:$R$110,16,0)</f>
        <v>43</v>
      </c>
      <c r="F129" s="165">
        <v>12476980969</v>
      </c>
      <c r="G129" s="165">
        <v>12424602444.75</v>
      </c>
      <c r="H129" s="165">
        <v>8869565743.5400009</v>
      </c>
      <c r="I129" s="165">
        <v>2021</v>
      </c>
      <c r="K129" s="165">
        <v>77451</v>
      </c>
      <c r="L129" s="166">
        <v>7745</v>
      </c>
      <c r="M129" s="165">
        <v>1</v>
      </c>
      <c r="N129" s="165">
        <v>15362100</v>
      </c>
      <c r="O129" s="165">
        <v>0</v>
      </c>
      <c r="P129" s="165">
        <v>15362100</v>
      </c>
      <c r="Q129" s="165">
        <v>7757100</v>
      </c>
      <c r="R129" s="165">
        <v>2022</v>
      </c>
    </row>
    <row r="130" spans="1:18" x14ac:dyDescent="0.3">
      <c r="A130" s="165" t="str">
        <f>presuvigencias[[#This Row],[PROYECTO]]&amp;presuvigencias[[#This Row],[METAPDD]]</f>
        <v>774447</v>
      </c>
      <c r="B130" s="165" t="str">
        <f>presuvigencias[[#This Row],[PROYECTO]]&amp;presuvigencias[[#This Row],[META]]</f>
        <v>77446</v>
      </c>
      <c r="C130" s="167">
        <v>7744</v>
      </c>
      <c r="D130" s="165">
        <v>6</v>
      </c>
      <c r="E130" s="165">
        <f>VLOOKUP(presuvigencias[[#This Row],[LLAVE]],ESTRATÉGICO!$C$3:$R$110,16,0)</f>
        <v>47</v>
      </c>
      <c r="F130" s="165">
        <v>2362904900</v>
      </c>
      <c r="G130" s="165">
        <v>2362904900</v>
      </c>
      <c r="H130" s="165">
        <v>1901641565</v>
      </c>
      <c r="I130" s="165">
        <v>2021</v>
      </c>
      <c r="K130" s="165">
        <v>77452</v>
      </c>
      <c r="L130" s="166">
        <v>7745</v>
      </c>
      <c r="M130" s="165">
        <v>2</v>
      </c>
      <c r="N130" s="165">
        <v>25664593203</v>
      </c>
      <c r="O130" s="165">
        <v>0</v>
      </c>
      <c r="P130" s="165">
        <v>25664593203</v>
      </c>
      <c r="Q130" s="165">
        <v>23645935932</v>
      </c>
      <c r="R130" s="165">
        <v>2022</v>
      </c>
    </row>
    <row r="131" spans="1:18" x14ac:dyDescent="0.3">
      <c r="A131" s="165" t="str">
        <f>presuvigencias[[#This Row],[PROYECTO]]&amp;presuvigencias[[#This Row],[METAPDD]]</f>
        <v>774546</v>
      </c>
      <c r="B131" s="165" t="str">
        <f>presuvigencias[[#This Row],[PROYECTO]]&amp;presuvigencias[[#This Row],[META]]</f>
        <v>77451</v>
      </c>
      <c r="C131" s="166">
        <v>7745</v>
      </c>
      <c r="D131" s="165">
        <v>1</v>
      </c>
      <c r="E131" s="165">
        <f>VLOOKUP(presuvigencias[[#This Row],[LLAVE]],ESTRATÉGICO!$C$3:$R$110,16,0)</f>
        <v>46</v>
      </c>
      <c r="F131" s="165">
        <v>731941000</v>
      </c>
      <c r="G131" s="165">
        <v>731941000</v>
      </c>
      <c r="H131" s="165">
        <v>716578900</v>
      </c>
      <c r="I131" s="165">
        <v>2021</v>
      </c>
      <c r="K131" s="165">
        <v>77453</v>
      </c>
      <c r="L131" s="166">
        <v>7745</v>
      </c>
      <c r="M131" s="165">
        <v>3</v>
      </c>
      <c r="N131" s="165">
        <v>11818800</v>
      </c>
      <c r="O131" s="165">
        <v>11818800</v>
      </c>
      <c r="P131" s="165">
        <v>0</v>
      </c>
      <c r="Q131" s="165">
        <v>0</v>
      </c>
      <c r="R131" s="165">
        <v>2022</v>
      </c>
    </row>
    <row r="132" spans="1:18" x14ac:dyDescent="0.3">
      <c r="A132" s="165" t="str">
        <f>presuvigencias[[#This Row],[PROYECTO]]&amp;presuvigencias[[#This Row],[METAPDD]]</f>
        <v>774550</v>
      </c>
      <c r="B132" s="165" t="str">
        <f>presuvigencias[[#This Row],[PROYECTO]]&amp;presuvigencias[[#This Row],[META]]</f>
        <v>77452</v>
      </c>
      <c r="C132" s="166">
        <v>7745</v>
      </c>
      <c r="D132" s="165">
        <v>2</v>
      </c>
      <c r="E132" s="165">
        <f>VLOOKUP(presuvigencias[[#This Row],[LLAVE]],ESTRATÉGICO!$C$3:$R$110,16,0)</f>
        <v>50</v>
      </c>
      <c r="F132" s="165">
        <v>60798261045</v>
      </c>
      <c r="G132" s="165">
        <v>60665430808.510002</v>
      </c>
      <c r="H132" s="165">
        <v>35000837605.509995</v>
      </c>
      <c r="I132" s="165">
        <v>2021</v>
      </c>
      <c r="K132" s="165">
        <v>77454</v>
      </c>
      <c r="L132" s="166">
        <v>7745</v>
      </c>
      <c r="M132" s="165">
        <v>4</v>
      </c>
      <c r="N132" s="165">
        <v>35223749998.820007</v>
      </c>
      <c r="O132" s="165">
        <v>5350703210.9400005</v>
      </c>
      <c r="P132" s="165">
        <v>29873046787.880005</v>
      </c>
      <c r="Q132" s="165">
        <v>27204810343.880005</v>
      </c>
      <c r="R132" s="165">
        <v>2022</v>
      </c>
    </row>
    <row r="133" spans="1:18" x14ac:dyDescent="0.3">
      <c r="A133" s="165" t="str">
        <f>presuvigencias[[#This Row],[PROYECTO]]&amp;presuvigencias[[#This Row],[METAPDD]]</f>
        <v>774550</v>
      </c>
      <c r="B133" s="165" t="str">
        <f>presuvigencias[[#This Row],[PROYECTO]]&amp;presuvigencias[[#This Row],[META]]</f>
        <v>77453</v>
      </c>
      <c r="C133" s="166">
        <v>7745</v>
      </c>
      <c r="D133" s="165">
        <v>3</v>
      </c>
      <c r="E133" s="165">
        <f>VLOOKUP(presuvigencias[[#This Row],[LLAVE]],ESTRATÉGICO!$C$3:$R$110,16,0)</f>
        <v>50</v>
      </c>
      <c r="F133" s="165">
        <v>52920000</v>
      </c>
      <c r="G133" s="165">
        <v>52920000</v>
      </c>
      <c r="H133" s="165">
        <v>41101200</v>
      </c>
      <c r="I133" s="165">
        <v>2021</v>
      </c>
      <c r="K133" s="165">
        <v>77455</v>
      </c>
      <c r="L133" s="166">
        <v>7745</v>
      </c>
      <c r="M133" s="165">
        <v>5</v>
      </c>
      <c r="N133" s="165">
        <v>16426800</v>
      </c>
      <c r="O133" s="165">
        <v>16426800</v>
      </c>
      <c r="P133" s="165">
        <v>0</v>
      </c>
      <c r="Q133" s="165">
        <v>0</v>
      </c>
      <c r="R133" s="165">
        <v>2022</v>
      </c>
    </row>
    <row r="134" spans="1:18" x14ac:dyDescent="0.3">
      <c r="A134" s="165" t="str">
        <f>presuvigencias[[#This Row],[PROYECTO]]&amp;presuvigencias[[#This Row],[METAPDD]]</f>
        <v>774551</v>
      </c>
      <c r="B134" s="165" t="str">
        <f>presuvigencias[[#This Row],[PROYECTO]]&amp;presuvigencias[[#This Row],[META]]</f>
        <v>77454</v>
      </c>
      <c r="C134" s="166">
        <v>7745</v>
      </c>
      <c r="D134" s="165">
        <v>4</v>
      </c>
      <c r="E134" s="165">
        <f>VLOOKUP(presuvigencias[[#This Row],[LLAVE]],ESTRATÉGICO!$C$3:$R$110,16,0)</f>
        <v>51</v>
      </c>
      <c r="F134" s="165">
        <v>121339163320</v>
      </c>
      <c r="G134" s="165">
        <v>121292532253.95003</v>
      </c>
      <c r="H134" s="165">
        <v>86068782255.13002</v>
      </c>
      <c r="I134" s="165">
        <v>2021</v>
      </c>
      <c r="K134" s="165">
        <v>77456</v>
      </c>
      <c r="L134" s="166">
        <v>7745</v>
      </c>
      <c r="M134" s="165">
        <v>6</v>
      </c>
      <c r="N134" s="165">
        <v>15701477563.529999</v>
      </c>
      <c r="O134" s="165">
        <v>4423871367.75</v>
      </c>
      <c r="P134" s="165">
        <v>11277606195.779999</v>
      </c>
      <c r="Q134" s="165">
        <v>10927541624.779999</v>
      </c>
      <c r="R134" s="165">
        <v>2022</v>
      </c>
    </row>
    <row r="135" spans="1:18" x14ac:dyDescent="0.3">
      <c r="A135" s="165" t="str">
        <f>presuvigencias[[#This Row],[PROYECTO]]&amp;presuvigencias[[#This Row],[METAPDD]]</f>
        <v>774564</v>
      </c>
      <c r="B135" s="165" t="str">
        <f>presuvigencias[[#This Row],[PROYECTO]]&amp;presuvigencias[[#This Row],[META]]</f>
        <v>77455</v>
      </c>
      <c r="C135" s="166">
        <v>7745</v>
      </c>
      <c r="D135" s="165">
        <v>5</v>
      </c>
      <c r="E135" s="165">
        <f>VLOOKUP(presuvigencias[[#This Row],[LLAVE]],ESTRATÉGICO!$C$3:$R$110,16,0)</f>
        <v>64</v>
      </c>
      <c r="F135" s="165">
        <v>45630000</v>
      </c>
      <c r="G135" s="165">
        <v>45630000</v>
      </c>
      <c r="H135" s="165">
        <v>29203200</v>
      </c>
      <c r="I135" s="165">
        <v>2021</v>
      </c>
      <c r="K135" s="165">
        <v>77457</v>
      </c>
      <c r="L135" s="166">
        <v>7745</v>
      </c>
      <c r="M135" s="165">
        <v>7</v>
      </c>
      <c r="N135" s="165">
        <v>377681367</v>
      </c>
      <c r="O135" s="165">
        <v>0</v>
      </c>
      <c r="P135" s="165">
        <v>377681367</v>
      </c>
      <c r="Q135" s="165">
        <v>377681367</v>
      </c>
      <c r="R135" s="165">
        <v>2022</v>
      </c>
    </row>
    <row r="136" spans="1:18" x14ac:dyDescent="0.3">
      <c r="A136" s="165" t="str">
        <f>presuvigencias[[#This Row],[PROYECTO]]&amp;presuvigencias[[#This Row],[METAPDD]]</f>
        <v>774564</v>
      </c>
      <c r="B136" s="165" t="str">
        <f>presuvigencias[[#This Row],[PROYECTO]]&amp;presuvigencias[[#This Row],[META]]</f>
        <v>77456</v>
      </c>
      <c r="C136" s="166">
        <v>7745</v>
      </c>
      <c r="D136" s="165">
        <v>6</v>
      </c>
      <c r="E136" s="165">
        <f>VLOOKUP(presuvigencias[[#This Row],[LLAVE]],ESTRATÉGICO!$C$3:$R$110,16,0)</f>
        <v>64</v>
      </c>
      <c r="F136" s="165">
        <v>50163154202</v>
      </c>
      <c r="G136" s="165">
        <v>50163053947.720001</v>
      </c>
      <c r="H136" s="165">
        <v>34461576384.190002</v>
      </c>
      <c r="I136" s="165">
        <v>2021</v>
      </c>
      <c r="K136" s="165">
        <v>77458</v>
      </c>
      <c r="L136" s="166">
        <v>7745</v>
      </c>
      <c r="M136" s="165">
        <v>8</v>
      </c>
      <c r="N136" s="165">
        <v>233496400</v>
      </c>
      <c r="O136" s="165">
        <v>0</v>
      </c>
      <c r="P136" s="165">
        <v>233496400</v>
      </c>
      <c r="Q136" s="165">
        <v>233496400</v>
      </c>
      <c r="R136" s="165">
        <v>2022</v>
      </c>
    </row>
    <row r="137" spans="1:18" x14ac:dyDescent="0.3">
      <c r="A137" s="165" t="str">
        <f>presuvigencias[[#This Row],[PROYECTO]]&amp;presuvigencias[[#This Row],[METAPDD]]</f>
        <v>774551</v>
      </c>
      <c r="B137" s="165" t="str">
        <f>presuvigencias[[#This Row],[PROYECTO]]&amp;presuvigencias[[#This Row],[META]]</f>
        <v>77457</v>
      </c>
      <c r="C137" s="166">
        <v>7745</v>
      </c>
      <c r="D137" s="165">
        <v>7</v>
      </c>
      <c r="E137" s="165">
        <f>VLOOKUP(presuvigencias[[#This Row],[LLAVE]],ESTRATÉGICO!$C$3:$R$110,16,0)</f>
        <v>51</v>
      </c>
      <c r="F137" s="165">
        <v>1369689600</v>
      </c>
      <c r="G137" s="165">
        <v>1369689600</v>
      </c>
      <c r="H137" s="165">
        <v>992008233</v>
      </c>
      <c r="I137" s="165">
        <v>2021</v>
      </c>
      <c r="K137" s="165">
        <v>77459</v>
      </c>
      <c r="L137" s="166">
        <v>7745</v>
      </c>
      <c r="M137" s="165">
        <v>9</v>
      </c>
      <c r="N137" s="165">
        <v>1716456894</v>
      </c>
      <c r="O137" s="165">
        <v>0</v>
      </c>
      <c r="P137" s="165">
        <v>1716456894</v>
      </c>
      <c r="Q137" s="165">
        <v>138421200</v>
      </c>
      <c r="R137" s="165">
        <v>2022</v>
      </c>
    </row>
    <row r="138" spans="1:18" x14ac:dyDescent="0.3">
      <c r="A138" s="165" t="str">
        <f>presuvigencias[[#This Row],[PROYECTO]]&amp;presuvigencias[[#This Row],[METAPDD]]</f>
        <v>774551</v>
      </c>
      <c r="B138" s="165" t="str">
        <f>presuvigencias[[#This Row],[PROYECTO]]&amp;presuvigencias[[#This Row],[META]]</f>
        <v>77458</v>
      </c>
      <c r="C138" s="166">
        <v>7745</v>
      </c>
      <c r="D138" s="165">
        <v>8</v>
      </c>
      <c r="E138" s="165">
        <f>VLOOKUP(presuvigencias[[#This Row],[LLAVE]],ESTRATÉGICO!$C$3:$R$110,16,0)</f>
        <v>51</v>
      </c>
      <c r="F138" s="165">
        <v>847437000</v>
      </c>
      <c r="G138" s="165">
        <v>847437000</v>
      </c>
      <c r="H138" s="165">
        <v>613940600</v>
      </c>
      <c r="I138" s="165">
        <v>2021</v>
      </c>
      <c r="K138" s="165">
        <v>774510</v>
      </c>
      <c r="L138" s="166">
        <v>7745</v>
      </c>
      <c r="M138" s="165">
        <v>10</v>
      </c>
      <c r="N138" s="165">
        <v>94366172</v>
      </c>
      <c r="O138" s="165">
        <v>0</v>
      </c>
      <c r="P138" s="165">
        <v>94366172</v>
      </c>
      <c r="Q138" s="165">
        <v>89418302</v>
      </c>
      <c r="R138" s="165">
        <v>2022</v>
      </c>
    </row>
    <row r="139" spans="1:18" x14ac:dyDescent="0.3">
      <c r="A139" s="165" t="str">
        <f>presuvigencias[[#This Row],[PROYECTO]]&amp;presuvigencias[[#This Row],[METAPDD]]</f>
        <v>774554</v>
      </c>
      <c r="B139" s="165" t="str">
        <f>presuvigencias[[#This Row],[PROYECTO]]&amp;presuvigencias[[#This Row],[META]]</f>
        <v>77459</v>
      </c>
      <c r="C139" s="166">
        <v>7745</v>
      </c>
      <c r="D139" s="165">
        <v>9</v>
      </c>
      <c r="E139" s="165">
        <f>VLOOKUP(presuvigencias[[#This Row],[LLAVE]],ESTRATÉGICO!$C$3:$R$110,16,0)</f>
        <v>54</v>
      </c>
      <c r="F139" s="165">
        <v>2027908894</v>
      </c>
      <c r="G139" s="165">
        <v>2027908894</v>
      </c>
      <c r="H139" s="165">
        <v>311452000</v>
      </c>
      <c r="I139" s="165">
        <v>2021</v>
      </c>
      <c r="K139" s="165">
        <v>774511</v>
      </c>
      <c r="L139" s="167">
        <v>7745</v>
      </c>
      <c r="M139" s="165">
        <v>11</v>
      </c>
      <c r="N139" s="165">
        <v>535329165.64999998</v>
      </c>
      <c r="O139" s="165">
        <v>248844281.30999997</v>
      </c>
      <c r="P139" s="165">
        <v>286484884.34000003</v>
      </c>
      <c r="Q139" s="165">
        <v>286484884.34000003</v>
      </c>
      <c r="R139" s="165">
        <v>2022</v>
      </c>
    </row>
    <row r="140" spans="1:18" x14ac:dyDescent="0.3">
      <c r="A140" s="165" t="str">
        <f>presuvigencias[[#This Row],[PROYECTO]]&amp;presuvigencias[[#This Row],[METAPDD]]</f>
        <v>774554</v>
      </c>
      <c r="B140" s="165" t="str">
        <f>presuvigencias[[#This Row],[PROYECTO]]&amp;presuvigencias[[#This Row],[META]]</f>
        <v>774510</v>
      </c>
      <c r="C140" s="166">
        <v>7745</v>
      </c>
      <c r="D140" s="165">
        <v>10</v>
      </c>
      <c r="E140" s="165">
        <f>VLOOKUP(presuvigencias[[#This Row],[LLAVE]],ESTRATÉGICO!$C$3:$R$110,16,0)</f>
        <v>54</v>
      </c>
      <c r="F140" s="165">
        <v>202406672</v>
      </c>
      <c r="G140" s="165">
        <v>202406672</v>
      </c>
      <c r="H140" s="165">
        <v>108040500</v>
      </c>
      <c r="I140" s="165">
        <v>2021</v>
      </c>
      <c r="K140" s="165">
        <v>77481</v>
      </c>
      <c r="L140" s="166">
        <v>7748</v>
      </c>
      <c r="M140" s="165">
        <v>1</v>
      </c>
      <c r="N140" s="165">
        <v>14899834619</v>
      </c>
      <c r="O140" s="165">
        <v>821355745</v>
      </c>
      <c r="P140" s="165">
        <v>14078478874</v>
      </c>
      <c r="Q140" s="165">
        <v>13935009132</v>
      </c>
      <c r="R140" s="165">
        <v>2022</v>
      </c>
    </row>
    <row r="141" spans="1:18" x14ac:dyDescent="0.3">
      <c r="A141" s="165" t="str">
        <f>presuvigencias[[#This Row],[PROYECTO]]&amp;presuvigencias[[#This Row],[METAPDD]]</f>
        <v>774545</v>
      </c>
      <c r="B141" s="165" t="str">
        <f>presuvigencias[[#This Row],[PROYECTO]]&amp;presuvigencias[[#This Row],[META]]</f>
        <v>774511</v>
      </c>
      <c r="C141" s="167">
        <v>7745</v>
      </c>
      <c r="D141" s="165">
        <v>11</v>
      </c>
      <c r="E141" s="165">
        <f>VLOOKUP(presuvigencias[[#This Row],[LLAVE]],ESTRATÉGICO!$C$3:$R$110,16,0)</f>
        <v>45</v>
      </c>
      <c r="F141" s="165">
        <v>18247953921</v>
      </c>
      <c r="G141" s="165">
        <v>18241435916.82</v>
      </c>
      <c r="H141" s="165">
        <v>17706106751.169998</v>
      </c>
      <c r="I141" s="165">
        <v>2021</v>
      </c>
      <c r="K141" s="165">
        <v>77482</v>
      </c>
      <c r="L141" s="166">
        <v>7748</v>
      </c>
      <c r="M141" s="165">
        <v>2</v>
      </c>
      <c r="N141" s="165">
        <v>696929504</v>
      </c>
      <c r="O141" s="165">
        <v>4169048</v>
      </c>
      <c r="P141" s="165">
        <v>692760456</v>
      </c>
      <c r="Q141" s="165">
        <v>691265121</v>
      </c>
      <c r="R141" s="165">
        <v>2022</v>
      </c>
    </row>
    <row r="142" spans="1:18" x14ac:dyDescent="0.3">
      <c r="A142" s="165" t="str">
        <f>presuvigencias[[#This Row],[PROYECTO]]&amp;presuvigencias[[#This Row],[METAPDD]]</f>
        <v>7748513</v>
      </c>
      <c r="B142" s="165" t="str">
        <f>presuvigencias[[#This Row],[PROYECTO]]&amp;presuvigencias[[#This Row],[META]]</f>
        <v>77481</v>
      </c>
      <c r="C142" s="166">
        <v>7748</v>
      </c>
      <c r="D142" s="165">
        <v>1</v>
      </c>
      <c r="E142" s="165">
        <f>VLOOKUP(presuvigencias[[#This Row],[LLAVE]],ESTRATÉGICO!$C$3:$R$110,16,0)</f>
        <v>513</v>
      </c>
      <c r="F142" s="165">
        <v>91353571185</v>
      </c>
      <c r="G142" s="165">
        <v>91193028295</v>
      </c>
      <c r="H142" s="165">
        <v>76293193676</v>
      </c>
      <c r="I142" s="165">
        <v>2021</v>
      </c>
      <c r="K142" s="165">
        <v>77483</v>
      </c>
      <c r="L142" s="166">
        <v>7748</v>
      </c>
      <c r="M142" s="165">
        <v>3</v>
      </c>
      <c r="N142" s="165">
        <v>120506050</v>
      </c>
      <c r="O142" s="165">
        <v>1668</v>
      </c>
      <c r="P142" s="165">
        <v>120504382</v>
      </c>
      <c r="Q142" s="165">
        <v>120504382</v>
      </c>
      <c r="R142" s="165">
        <v>2022</v>
      </c>
    </row>
    <row r="143" spans="1:18" x14ac:dyDescent="0.3">
      <c r="A143" s="165" t="str">
        <f>presuvigencias[[#This Row],[PROYECTO]]&amp;presuvigencias[[#This Row],[METAPDD]]</f>
        <v>7748513</v>
      </c>
      <c r="B143" s="165" t="str">
        <f>presuvigencias[[#This Row],[PROYECTO]]&amp;presuvigencias[[#This Row],[META]]</f>
        <v>77482</v>
      </c>
      <c r="C143" s="166">
        <v>7748</v>
      </c>
      <c r="D143" s="165">
        <v>2</v>
      </c>
      <c r="E143" s="165">
        <f>VLOOKUP(presuvigencias[[#This Row],[LLAVE]],ESTRATÉGICO!$C$3:$R$110,16,0)</f>
        <v>513</v>
      </c>
      <c r="F143" s="165">
        <v>2372401956</v>
      </c>
      <c r="G143" s="165">
        <v>2343473582</v>
      </c>
      <c r="H143" s="165">
        <v>1646544078</v>
      </c>
      <c r="I143" s="165">
        <v>2021</v>
      </c>
      <c r="K143" s="165">
        <v>77484</v>
      </c>
      <c r="L143" s="166">
        <v>7748</v>
      </c>
      <c r="M143" s="165">
        <v>4</v>
      </c>
      <c r="N143" s="165">
        <v>7629301647</v>
      </c>
      <c r="O143" s="165">
        <v>28686601</v>
      </c>
      <c r="P143" s="165">
        <v>7600615046</v>
      </c>
      <c r="Q143" s="165">
        <v>7581508313</v>
      </c>
      <c r="R143" s="165">
        <v>2022</v>
      </c>
    </row>
    <row r="144" spans="1:18" x14ac:dyDescent="0.3">
      <c r="A144" s="165" t="str">
        <f>presuvigencias[[#This Row],[PROYECTO]]&amp;presuvigencias[[#This Row],[METAPDD]]</f>
        <v>7748513</v>
      </c>
      <c r="B144" s="165" t="str">
        <f>presuvigencias[[#This Row],[PROYECTO]]&amp;presuvigencias[[#This Row],[META]]</f>
        <v>77483</v>
      </c>
      <c r="C144" s="166">
        <v>7748</v>
      </c>
      <c r="D144" s="165">
        <v>3</v>
      </c>
      <c r="E144" s="165">
        <f>VLOOKUP(presuvigencias[[#This Row],[LLAVE]],ESTRATÉGICO!$C$3:$R$110,16,0)</f>
        <v>513</v>
      </c>
      <c r="F144" s="165">
        <v>670487000</v>
      </c>
      <c r="G144" s="165">
        <v>575231000</v>
      </c>
      <c r="H144" s="165">
        <v>454724950</v>
      </c>
      <c r="I144" s="165">
        <v>2021</v>
      </c>
      <c r="K144" s="165">
        <v>77485</v>
      </c>
      <c r="L144" s="166">
        <v>7748</v>
      </c>
      <c r="M144" s="165">
        <v>5</v>
      </c>
      <c r="N144" s="165">
        <v>57041109</v>
      </c>
      <c r="O144" s="165">
        <v>0</v>
      </c>
      <c r="P144" s="165">
        <v>57041109</v>
      </c>
      <c r="Q144" s="165">
        <v>57041109</v>
      </c>
      <c r="R144" s="165">
        <v>2022</v>
      </c>
    </row>
    <row r="145" spans="1:18" x14ac:dyDescent="0.3">
      <c r="A145" s="165" t="str">
        <f>presuvigencias[[#This Row],[PROYECTO]]&amp;presuvigencias[[#This Row],[METAPDD]]</f>
        <v>7748519</v>
      </c>
      <c r="B145" s="165" t="str">
        <f>presuvigencias[[#This Row],[PROYECTO]]&amp;presuvigencias[[#This Row],[META]]</f>
        <v>77484</v>
      </c>
      <c r="C145" s="166">
        <v>7748</v>
      </c>
      <c r="D145" s="165">
        <v>4</v>
      </c>
      <c r="E145" s="165">
        <f>VLOOKUP(presuvigencias[[#This Row],[LLAVE]],ESTRATÉGICO!$C$3:$R$110,16,0)</f>
        <v>519</v>
      </c>
      <c r="F145" s="165">
        <v>151838986917</v>
      </c>
      <c r="G145" s="165">
        <v>151544979528</v>
      </c>
      <c r="H145" s="165">
        <v>143915677881</v>
      </c>
      <c r="I145" s="165">
        <v>2021</v>
      </c>
      <c r="K145" s="165">
        <v>77486</v>
      </c>
      <c r="L145" s="166">
        <v>7748</v>
      </c>
      <c r="M145" s="165">
        <v>6</v>
      </c>
      <c r="N145" s="165">
        <v>1056877631</v>
      </c>
      <c r="O145" s="165">
        <v>39995357</v>
      </c>
      <c r="P145" s="165">
        <v>1016882274</v>
      </c>
      <c r="Q145" s="165">
        <v>1016882274</v>
      </c>
      <c r="R145" s="165">
        <v>2022</v>
      </c>
    </row>
    <row r="146" spans="1:18" x14ac:dyDescent="0.3">
      <c r="A146" s="165" t="str">
        <f>presuvigencias[[#This Row],[PROYECTO]]&amp;presuvigencias[[#This Row],[METAPDD]]</f>
        <v>7748519</v>
      </c>
      <c r="B146" s="165" t="str">
        <f>presuvigencias[[#This Row],[PROYECTO]]&amp;presuvigencias[[#This Row],[META]]</f>
        <v>77485</v>
      </c>
      <c r="C146" s="166">
        <v>7748</v>
      </c>
      <c r="D146" s="165">
        <v>5</v>
      </c>
      <c r="E146" s="165">
        <f>VLOOKUP(presuvigencias[[#This Row],[LLAVE]],ESTRATÉGICO!$C$3:$R$110,16,0)</f>
        <v>519</v>
      </c>
      <c r="F146" s="165">
        <v>119294000</v>
      </c>
      <c r="G146" s="165">
        <v>119229200</v>
      </c>
      <c r="H146" s="165">
        <v>62188091</v>
      </c>
      <c r="I146" s="165">
        <v>2021</v>
      </c>
      <c r="K146" s="165">
        <v>77487</v>
      </c>
      <c r="L146" s="167">
        <v>7748</v>
      </c>
      <c r="M146" s="165">
        <v>7</v>
      </c>
      <c r="N146" s="165">
        <v>780403167</v>
      </c>
      <c r="O146" s="165">
        <v>211020458</v>
      </c>
      <c r="P146" s="165">
        <v>569382709</v>
      </c>
      <c r="Q146" s="165">
        <v>295332584</v>
      </c>
      <c r="R146" s="165">
        <v>2022</v>
      </c>
    </row>
    <row r="147" spans="1:18" x14ac:dyDescent="0.3">
      <c r="A147" s="165" t="str">
        <f>presuvigencias[[#This Row],[PROYECTO]]&amp;presuvigencias[[#This Row],[METAPDD]]</f>
        <v>7748519</v>
      </c>
      <c r="B147" s="165" t="str">
        <f>presuvigencias[[#This Row],[PROYECTO]]&amp;presuvigencias[[#This Row],[META]]</f>
        <v>77486</v>
      </c>
      <c r="C147" s="166">
        <v>7748</v>
      </c>
      <c r="D147" s="165">
        <v>6</v>
      </c>
      <c r="E147" s="165">
        <f>VLOOKUP(presuvigencias[[#This Row],[LLAVE]],ESTRATÉGICO!$C$3:$R$110,16,0)</f>
        <v>519</v>
      </c>
      <c r="F147" s="165">
        <v>2149619073</v>
      </c>
      <c r="G147" s="165">
        <v>2143618950</v>
      </c>
      <c r="H147" s="165">
        <v>1086741319</v>
      </c>
      <c r="I147" s="165">
        <v>2021</v>
      </c>
      <c r="K147" s="165">
        <v>77491</v>
      </c>
      <c r="L147" s="166">
        <v>7749</v>
      </c>
      <c r="M147" s="165">
        <v>1</v>
      </c>
      <c r="N147" s="165">
        <v>104218731</v>
      </c>
      <c r="O147" s="165">
        <v>0</v>
      </c>
      <c r="P147" s="165">
        <v>104218731</v>
      </c>
      <c r="Q147" s="165">
        <v>104218731</v>
      </c>
      <c r="R147" s="165">
        <v>2022</v>
      </c>
    </row>
    <row r="148" spans="1:18" x14ac:dyDescent="0.3">
      <c r="A148" s="165" t="str">
        <f>presuvigencias[[#This Row],[PROYECTO]]&amp;presuvigencias[[#This Row],[METAPDD]]</f>
        <v>7748519</v>
      </c>
      <c r="B148" s="165" t="str">
        <f>presuvigencias[[#This Row],[PROYECTO]]&amp;presuvigencias[[#This Row],[META]]</f>
        <v>77487</v>
      </c>
      <c r="C148" s="167">
        <v>7748</v>
      </c>
      <c r="D148" s="165">
        <v>7</v>
      </c>
      <c r="E148" s="165">
        <f>VLOOKUP(presuvigencias[[#This Row],[LLAVE]],ESTRATÉGICO!$C$3:$R$110,16,0)</f>
        <v>519</v>
      </c>
      <c r="F148" s="165">
        <v>1508508869</v>
      </c>
      <c r="G148" s="165">
        <v>1508508869</v>
      </c>
      <c r="H148" s="165">
        <v>728105702</v>
      </c>
      <c r="I148" s="165">
        <v>2021</v>
      </c>
      <c r="K148" s="165">
        <v>77492</v>
      </c>
      <c r="L148" s="166">
        <v>7749</v>
      </c>
      <c r="M148" s="165">
        <v>2</v>
      </c>
      <c r="N148" s="165">
        <v>110147055</v>
      </c>
      <c r="O148" s="165">
        <v>0</v>
      </c>
      <c r="P148" s="165">
        <v>110147055</v>
      </c>
      <c r="Q148" s="165">
        <v>110147055</v>
      </c>
      <c r="R148" s="165">
        <v>2022</v>
      </c>
    </row>
    <row r="149" spans="1:18" x14ac:dyDescent="0.3">
      <c r="A149" s="165" t="str">
        <f>presuvigencias[[#This Row],[PROYECTO]]&amp;presuvigencias[[#This Row],[METAPDD]]</f>
        <v>774963</v>
      </c>
      <c r="B149" s="165" t="str">
        <f>presuvigencias[[#This Row],[PROYECTO]]&amp;presuvigencias[[#This Row],[META]]</f>
        <v>77491</v>
      </c>
      <c r="C149" s="166">
        <v>7749</v>
      </c>
      <c r="D149" s="165">
        <v>1</v>
      </c>
      <c r="E149" s="165">
        <f>VLOOKUP(presuvigencias[[#This Row],[LLAVE]],ESTRATÉGICO!$C$3:$R$110,16,0)</f>
        <v>63</v>
      </c>
      <c r="F149" s="165">
        <v>316509850</v>
      </c>
      <c r="G149" s="165">
        <v>316509850</v>
      </c>
      <c r="H149" s="165">
        <v>212291119</v>
      </c>
      <c r="I149" s="165">
        <v>2021</v>
      </c>
      <c r="K149" s="165">
        <v>77493</v>
      </c>
      <c r="L149" s="166">
        <v>7749</v>
      </c>
      <c r="M149" s="165">
        <v>3</v>
      </c>
      <c r="N149" s="165">
        <v>1876436240</v>
      </c>
      <c r="O149" s="165">
        <v>5979924</v>
      </c>
      <c r="P149" s="165">
        <v>1870456316</v>
      </c>
      <c r="Q149" s="165">
        <v>1868203309</v>
      </c>
      <c r="R149" s="165">
        <v>2022</v>
      </c>
    </row>
    <row r="150" spans="1:18" x14ac:dyDescent="0.3">
      <c r="A150" s="165" t="str">
        <f>presuvigencias[[#This Row],[PROYECTO]]&amp;presuvigencias[[#This Row],[METAPDD]]</f>
        <v>774963</v>
      </c>
      <c r="B150" s="165" t="str">
        <f>presuvigencias[[#This Row],[PROYECTO]]&amp;presuvigencias[[#This Row],[META]]</f>
        <v>77492</v>
      </c>
      <c r="C150" s="166">
        <v>7749</v>
      </c>
      <c r="D150" s="165">
        <v>2</v>
      </c>
      <c r="E150" s="165">
        <f>VLOOKUP(presuvigencias[[#This Row],[LLAVE]],ESTRATÉGICO!$C$3:$R$110,16,0)</f>
        <v>63</v>
      </c>
      <c r="F150" s="165">
        <v>327529800</v>
      </c>
      <c r="G150" s="165">
        <v>325578019</v>
      </c>
      <c r="H150" s="165">
        <v>215430964</v>
      </c>
      <c r="I150" s="165">
        <v>2021</v>
      </c>
      <c r="K150" s="165">
        <v>77494</v>
      </c>
      <c r="L150" s="167">
        <v>7749</v>
      </c>
      <c r="M150" s="165">
        <v>4</v>
      </c>
      <c r="N150" s="165">
        <v>118800000</v>
      </c>
      <c r="O150" s="165">
        <v>0</v>
      </c>
      <c r="P150" s="165">
        <v>118800000</v>
      </c>
      <c r="Q150" s="165">
        <v>118800000</v>
      </c>
      <c r="R150" s="165">
        <v>2022</v>
      </c>
    </row>
    <row r="151" spans="1:18" x14ac:dyDescent="0.3">
      <c r="A151" s="165" t="str">
        <f>presuvigencias[[#This Row],[PROYECTO]]&amp;presuvigencias[[#This Row],[METAPDD]]</f>
        <v>774963</v>
      </c>
      <c r="B151" s="165" t="str">
        <f>presuvigencias[[#This Row],[PROYECTO]]&amp;presuvigencias[[#This Row],[META]]</f>
        <v>77493</v>
      </c>
      <c r="C151" s="166">
        <v>7749</v>
      </c>
      <c r="D151" s="165">
        <v>3</v>
      </c>
      <c r="E151" s="165">
        <f>VLOOKUP(presuvigencias[[#This Row],[LLAVE]],ESTRATÉGICO!$C$3:$R$110,16,0)</f>
        <v>63</v>
      </c>
      <c r="F151" s="165">
        <v>52001270936</v>
      </c>
      <c r="G151" s="165">
        <v>51950551624</v>
      </c>
      <c r="H151" s="165">
        <v>50074115384</v>
      </c>
      <c r="I151" s="165">
        <v>2021</v>
      </c>
      <c r="K151" s="165">
        <v>77521</v>
      </c>
      <c r="L151" s="166">
        <v>7752</v>
      </c>
      <c r="M151" s="165">
        <v>1</v>
      </c>
      <c r="N151" s="165">
        <v>1105445145</v>
      </c>
      <c r="O151" s="165">
        <v>6733495</v>
      </c>
      <c r="P151" s="165">
        <v>1098711650</v>
      </c>
      <c r="Q151" s="165">
        <v>1098708377</v>
      </c>
      <c r="R151" s="165">
        <v>2022</v>
      </c>
    </row>
    <row r="152" spans="1:18" x14ac:dyDescent="0.3">
      <c r="A152" s="165" t="str">
        <f>presuvigencias[[#This Row],[PROYECTO]]&amp;presuvigencias[[#This Row],[METAPDD]]</f>
        <v>774963</v>
      </c>
      <c r="B152" s="165" t="str">
        <f>presuvigencias[[#This Row],[PROYECTO]]&amp;presuvigencias[[#This Row],[META]]</f>
        <v>77494</v>
      </c>
      <c r="C152" s="167">
        <v>7749</v>
      </c>
      <c r="D152" s="165">
        <v>4</v>
      </c>
      <c r="E152" s="165">
        <f>VLOOKUP(presuvigencias[[#This Row],[LLAVE]],ESTRATÉGICO!$C$3:$R$110,16,0)</f>
        <v>63</v>
      </c>
      <c r="F152" s="165">
        <v>198018370</v>
      </c>
      <c r="G152" s="165">
        <v>198000000</v>
      </c>
      <c r="H152" s="165">
        <v>79200000</v>
      </c>
      <c r="I152" s="165">
        <v>2021</v>
      </c>
      <c r="K152" s="165">
        <v>77522</v>
      </c>
      <c r="L152" s="166">
        <v>7752</v>
      </c>
      <c r="M152" s="165">
        <v>2</v>
      </c>
      <c r="N152" s="165">
        <v>77992000</v>
      </c>
      <c r="O152" s="165">
        <v>0</v>
      </c>
      <c r="P152" s="165">
        <v>77992000</v>
      </c>
      <c r="Q152" s="165">
        <v>77992000</v>
      </c>
      <c r="R152" s="165">
        <v>2022</v>
      </c>
    </row>
    <row r="153" spans="1:18" x14ac:dyDescent="0.3">
      <c r="A153" s="165" t="str">
        <f>presuvigencias[[#This Row],[PROYECTO]]&amp;presuvigencias[[#This Row],[METAPDD]]</f>
        <v>775244</v>
      </c>
      <c r="B153" s="165" t="str">
        <f>presuvigencias[[#This Row],[PROYECTO]]&amp;presuvigencias[[#This Row],[META]]</f>
        <v>77521</v>
      </c>
      <c r="C153" s="166">
        <v>7752</v>
      </c>
      <c r="D153" s="165">
        <v>1</v>
      </c>
      <c r="E153" s="165">
        <f>VLOOKUP(presuvigencias[[#This Row],[LLAVE]],ESTRATÉGICO!$C$3:$R$110,16,0)</f>
        <v>44</v>
      </c>
      <c r="F153" s="165">
        <v>4550506683</v>
      </c>
      <c r="G153" s="165">
        <v>4550331302</v>
      </c>
      <c r="H153" s="165">
        <v>3444886157</v>
      </c>
      <c r="I153" s="165">
        <v>2021</v>
      </c>
      <c r="K153" s="165">
        <v>77523</v>
      </c>
      <c r="L153" s="167">
        <v>7752</v>
      </c>
      <c r="M153" s="165">
        <v>3</v>
      </c>
      <c r="N153" s="165">
        <v>92009983</v>
      </c>
      <c r="O153" s="165">
        <v>0</v>
      </c>
      <c r="P153" s="165">
        <v>92009983</v>
      </c>
      <c r="Q153" s="165">
        <v>92009983</v>
      </c>
      <c r="R153" s="165">
        <v>2022</v>
      </c>
    </row>
    <row r="154" spans="1:18" x14ac:dyDescent="0.3">
      <c r="A154" s="165" t="str">
        <f>presuvigencias[[#This Row],[PROYECTO]]&amp;presuvigencias[[#This Row],[METAPDD]]</f>
        <v>775255</v>
      </c>
      <c r="B154" s="165" t="str">
        <f>presuvigencias[[#This Row],[PROYECTO]]&amp;presuvigencias[[#This Row],[META]]</f>
        <v>77522</v>
      </c>
      <c r="C154" s="166">
        <v>7752</v>
      </c>
      <c r="D154" s="165">
        <v>2</v>
      </c>
      <c r="E154" s="165">
        <f>VLOOKUP(presuvigencias[[#This Row],[LLAVE]],ESTRATÉGICO!$C$3:$R$110,16,0)</f>
        <v>55</v>
      </c>
      <c r="F154" s="165">
        <v>369035133</v>
      </c>
      <c r="G154" s="165">
        <v>369035133</v>
      </c>
      <c r="H154" s="165">
        <v>291043133</v>
      </c>
      <c r="I154" s="165">
        <v>2021</v>
      </c>
      <c r="K154" s="165">
        <v>77531</v>
      </c>
      <c r="L154" s="166">
        <v>7753</v>
      </c>
      <c r="M154" s="165">
        <v>1</v>
      </c>
      <c r="N154" s="165">
        <v>33086667</v>
      </c>
      <c r="O154" s="165">
        <v>0</v>
      </c>
      <c r="P154" s="165">
        <v>33086667</v>
      </c>
      <c r="Q154" s="165">
        <v>33086667</v>
      </c>
      <c r="R154" s="165">
        <v>2022</v>
      </c>
    </row>
    <row r="155" spans="1:18" x14ac:dyDescent="0.3">
      <c r="A155" s="165" t="str">
        <f>presuvigencias[[#This Row],[PROYECTO]]&amp;presuvigencias[[#This Row],[METAPDD]]</f>
        <v>775255</v>
      </c>
      <c r="B155" s="165" t="str">
        <f>presuvigencias[[#This Row],[PROYECTO]]&amp;presuvigencias[[#This Row],[META]]</f>
        <v>77523</v>
      </c>
      <c r="C155" s="167">
        <v>7752</v>
      </c>
      <c r="D155" s="165">
        <v>3</v>
      </c>
      <c r="E155" s="165">
        <f>VLOOKUP(presuvigencias[[#This Row],[LLAVE]],ESTRATÉGICO!$C$3:$R$110,16,0)</f>
        <v>55</v>
      </c>
      <c r="F155" s="165">
        <v>417967308</v>
      </c>
      <c r="G155" s="165">
        <v>417967308</v>
      </c>
      <c r="H155" s="165">
        <v>325957325</v>
      </c>
      <c r="I155" s="165">
        <v>2021</v>
      </c>
      <c r="K155" s="165">
        <v>77532</v>
      </c>
      <c r="L155" s="166">
        <v>7753</v>
      </c>
      <c r="M155" s="165">
        <v>2</v>
      </c>
      <c r="N155" s="165">
        <v>82422733</v>
      </c>
      <c r="O155" s="165">
        <v>0</v>
      </c>
      <c r="P155" s="165">
        <v>82422733</v>
      </c>
      <c r="Q155" s="165">
        <v>82422733</v>
      </c>
      <c r="R155" s="165">
        <v>2022</v>
      </c>
    </row>
    <row r="156" spans="1:18" x14ac:dyDescent="0.3">
      <c r="A156" s="165" t="str">
        <f>presuvigencias[[#This Row],[PROYECTO]]&amp;presuvigencias[[#This Row],[METAPDD]]</f>
        <v>775373</v>
      </c>
      <c r="B156" s="165" t="str">
        <f>presuvigencias[[#This Row],[PROYECTO]]&amp;presuvigencias[[#This Row],[META]]</f>
        <v>77531</v>
      </c>
      <c r="C156" s="166">
        <v>7753</v>
      </c>
      <c r="D156" s="165">
        <v>1</v>
      </c>
      <c r="E156" s="165">
        <f>VLOOKUP(presuvigencias[[#This Row],[LLAVE]],ESTRATÉGICO!$C$3:$R$110,16,0)</f>
        <v>73</v>
      </c>
      <c r="F156" s="165">
        <v>252638000</v>
      </c>
      <c r="G156" s="165">
        <v>252638000</v>
      </c>
      <c r="H156" s="165">
        <v>219551333</v>
      </c>
      <c r="I156" s="165">
        <v>2021</v>
      </c>
      <c r="K156" s="165">
        <v>77533</v>
      </c>
      <c r="L156" s="166">
        <v>7753</v>
      </c>
      <c r="M156" s="165">
        <v>3</v>
      </c>
      <c r="N156" s="165">
        <v>87581200</v>
      </c>
      <c r="O156" s="165">
        <v>0</v>
      </c>
      <c r="P156" s="165">
        <v>87581200</v>
      </c>
      <c r="Q156" s="165">
        <v>80796067</v>
      </c>
      <c r="R156" s="165">
        <v>2022</v>
      </c>
    </row>
    <row r="157" spans="1:18" x14ac:dyDescent="0.3">
      <c r="A157" s="165" t="str">
        <f>presuvigencias[[#This Row],[PROYECTO]]&amp;presuvigencias[[#This Row],[METAPDD]]</f>
        <v>775373</v>
      </c>
      <c r="B157" s="165" t="str">
        <f>presuvigencias[[#This Row],[PROYECTO]]&amp;presuvigencias[[#This Row],[META]]</f>
        <v>77532</v>
      </c>
      <c r="C157" s="166">
        <v>7753</v>
      </c>
      <c r="D157" s="165">
        <v>2</v>
      </c>
      <c r="E157" s="165">
        <f>VLOOKUP(presuvigencias[[#This Row],[LLAVE]],ESTRATÉGICO!$C$3:$R$110,16,0)</f>
        <v>73</v>
      </c>
      <c r="F157" s="165">
        <v>270409000</v>
      </c>
      <c r="G157" s="165">
        <v>270409000</v>
      </c>
      <c r="H157" s="165">
        <v>187986267</v>
      </c>
      <c r="I157" s="165">
        <v>2021</v>
      </c>
      <c r="K157" s="165">
        <v>77534</v>
      </c>
      <c r="L157" s="167">
        <v>7753</v>
      </c>
      <c r="M157" s="165">
        <v>4</v>
      </c>
      <c r="N157" s="165">
        <v>11703467</v>
      </c>
      <c r="O157" s="165">
        <v>0</v>
      </c>
      <c r="P157" s="165">
        <v>11703467</v>
      </c>
      <c r="Q157" s="165">
        <v>11703467</v>
      </c>
      <c r="R157" s="165">
        <v>2022</v>
      </c>
    </row>
    <row r="158" spans="1:18" x14ac:dyDescent="0.3">
      <c r="A158" s="165" t="str">
        <f>presuvigencias[[#This Row],[PROYECTO]]&amp;presuvigencias[[#This Row],[METAPDD]]</f>
        <v>775373</v>
      </c>
      <c r="B158" s="165" t="str">
        <f>presuvigencias[[#This Row],[PROYECTO]]&amp;presuvigencias[[#This Row],[META]]</f>
        <v>77533</v>
      </c>
      <c r="C158" s="166">
        <v>7753</v>
      </c>
      <c r="D158" s="165">
        <v>3</v>
      </c>
      <c r="E158" s="165">
        <f>VLOOKUP(presuvigencias[[#This Row],[LLAVE]],ESTRATÉGICO!$C$3:$R$110,16,0)</f>
        <v>73</v>
      </c>
      <c r="F158" s="165">
        <v>227084000</v>
      </c>
      <c r="G158" s="165">
        <v>227084000</v>
      </c>
      <c r="H158" s="165">
        <v>139502800</v>
      </c>
      <c r="I158" s="165">
        <v>2021</v>
      </c>
      <c r="K158" s="165">
        <v>77561</v>
      </c>
      <c r="L158" s="166">
        <v>7756</v>
      </c>
      <c r="M158" s="165">
        <v>1</v>
      </c>
      <c r="N158" s="165">
        <v>298951803.25</v>
      </c>
      <c r="O158" s="165">
        <v>0</v>
      </c>
      <c r="P158" s="165">
        <v>298951803.25</v>
      </c>
      <c r="Q158" s="165">
        <v>298951803.25</v>
      </c>
      <c r="R158" s="165">
        <v>2022</v>
      </c>
    </row>
    <row r="159" spans="1:18" x14ac:dyDescent="0.3">
      <c r="A159" s="165" t="str">
        <f>presuvigencias[[#This Row],[PROYECTO]]&amp;presuvigencias[[#This Row],[METAPDD]]</f>
        <v>775373</v>
      </c>
      <c r="B159" s="165" t="str">
        <f>presuvigencias[[#This Row],[PROYECTO]]&amp;presuvigencias[[#This Row],[META]]</f>
        <v>77534</v>
      </c>
      <c r="C159" s="167">
        <v>7753</v>
      </c>
      <c r="D159" s="165">
        <v>4</v>
      </c>
      <c r="E159" s="165">
        <f>VLOOKUP(presuvigencias[[#This Row],[LLAVE]],ESTRATÉGICO!$C$3:$R$110,16,0)</f>
        <v>73</v>
      </c>
      <c r="F159" s="165">
        <v>174780000</v>
      </c>
      <c r="G159" s="165">
        <v>173680000</v>
      </c>
      <c r="H159" s="165">
        <v>161976533</v>
      </c>
      <c r="I159" s="165">
        <v>2021</v>
      </c>
      <c r="K159" s="165">
        <v>77562</v>
      </c>
      <c r="L159" s="166">
        <v>7756</v>
      </c>
      <c r="M159" s="165">
        <v>2</v>
      </c>
      <c r="N159" s="165">
        <v>70365778</v>
      </c>
      <c r="O159" s="165">
        <v>0</v>
      </c>
      <c r="P159" s="165">
        <v>70365778</v>
      </c>
      <c r="Q159" s="165">
        <v>35501918</v>
      </c>
      <c r="R159" s="165">
        <v>2022</v>
      </c>
    </row>
    <row r="160" spans="1:18" x14ac:dyDescent="0.3">
      <c r="A160" s="165" t="str">
        <f>presuvigencias[[#This Row],[PROYECTO]]&amp;presuvigencias[[#This Row],[METAPDD]]</f>
        <v>775631</v>
      </c>
      <c r="B160" s="165" t="str">
        <f>presuvigencias[[#This Row],[PROYECTO]]&amp;presuvigencias[[#This Row],[META]]</f>
        <v>77561</v>
      </c>
      <c r="C160" s="166">
        <v>7756</v>
      </c>
      <c r="D160" s="165">
        <v>1</v>
      </c>
      <c r="E160" s="165">
        <f>VLOOKUP(presuvigencias[[#This Row],[LLAVE]],ESTRATÉGICO!$C$3:$R$110,16,0)</f>
        <v>31</v>
      </c>
      <c r="F160" s="165">
        <v>764131250</v>
      </c>
      <c r="G160" s="165">
        <v>763940894</v>
      </c>
      <c r="H160" s="165">
        <v>464989090.75</v>
      </c>
      <c r="I160" s="165">
        <v>2021</v>
      </c>
      <c r="K160" s="165">
        <v>77563</v>
      </c>
      <c r="L160" s="166">
        <v>7756</v>
      </c>
      <c r="M160" s="165">
        <v>3</v>
      </c>
      <c r="N160" s="165">
        <v>26579234.149999999</v>
      </c>
      <c r="O160" s="165">
        <v>0</v>
      </c>
      <c r="P160" s="165">
        <v>26579234.149999999</v>
      </c>
      <c r="Q160" s="165">
        <v>26579234.149999999</v>
      </c>
      <c r="R160" s="165">
        <v>2022</v>
      </c>
    </row>
    <row r="161" spans="1:18" x14ac:dyDescent="0.3">
      <c r="A161" s="165" t="str">
        <f>presuvigencias[[#This Row],[PROYECTO]]&amp;presuvigencias[[#This Row],[METAPDD]]</f>
        <v>775631</v>
      </c>
      <c r="B161" s="165" t="str">
        <f>presuvigencias[[#This Row],[PROYECTO]]&amp;presuvigencias[[#This Row],[META]]</f>
        <v>77562</v>
      </c>
      <c r="C161" s="166">
        <v>7756</v>
      </c>
      <c r="D161" s="165">
        <v>2</v>
      </c>
      <c r="E161" s="165">
        <f>VLOOKUP(presuvigencias[[#This Row],[LLAVE]],ESTRATÉGICO!$C$3:$R$110,16,0)</f>
        <v>31</v>
      </c>
      <c r="F161" s="165">
        <v>905587260</v>
      </c>
      <c r="G161" s="165">
        <v>905587260</v>
      </c>
      <c r="H161" s="165">
        <v>835221482</v>
      </c>
      <c r="I161" s="165">
        <v>2021</v>
      </c>
      <c r="K161" s="165">
        <v>77564</v>
      </c>
      <c r="L161" s="166">
        <v>7756</v>
      </c>
      <c r="M161" s="165">
        <v>4</v>
      </c>
      <c r="N161" s="165">
        <v>52097177.200000003</v>
      </c>
      <c r="O161" s="165">
        <v>0</v>
      </c>
      <c r="P161" s="165">
        <v>52097177.200000003</v>
      </c>
      <c r="Q161" s="165">
        <v>52097177.200000003</v>
      </c>
      <c r="R161" s="165">
        <v>2022</v>
      </c>
    </row>
    <row r="162" spans="1:18" x14ac:dyDescent="0.3">
      <c r="A162" s="165" t="str">
        <f>presuvigencias[[#This Row],[PROYECTO]]&amp;presuvigencias[[#This Row],[METAPDD]]</f>
        <v>775625</v>
      </c>
      <c r="B162" s="165" t="str">
        <f>presuvigencias[[#This Row],[PROYECTO]]&amp;presuvigencias[[#This Row],[META]]</f>
        <v>77563</v>
      </c>
      <c r="C162" s="166">
        <v>7756</v>
      </c>
      <c r="D162" s="165">
        <v>3</v>
      </c>
      <c r="E162" s="165">
        <f>VLOOKUP(presuvigencias[[#This Row],[LLAVE]],ESTRATÉGICO!$C$3:$R$110,16,0)</f>
        <v>25</v>
      </c>
      <c r="F162" s="165">
        <v>91264561</v>
      </c>
      <c r="G162" s="165">
        <v>91264561</v>
      </c>
      <c r="H162" s="165">
        <v>64685326.849999994</v>
      </c>
      <c r="I162" s="165">
        <v>2021</v>
      </c>
      <c r="K162" s="165">
        <v>77565</v>
      </c>
      <c r="L162" s="167">
        <v>7756</v>
      </c>
      <c r="M162" s="165">
        <v>5</v>
      </c>
      <c r="N162" s="165">
        <v>309104737.39999998</v>
      </c>
      <c r="O162" s="165">
        <v>1018661</v>
      </c>
      <c r="P162" s="165">
        <v>308086076.39999998</v>
      </c>
      <c r="Q162" s="165">
        <v>306154130.39999998</v>
      </c>
      <c r="R162" s="165">
        <v>2022</v>
      </c>
    </row>
    <row r="163" spans="1:18" x14ac:dyDescent="0.3">
      <c r="A163" s="165" t="str">
        <f>presuvigencias[[#This Row],[PROYECTO]]&amp;presuvigencias[[#This Row],[METAPDD]]</f>
        <v>775625</v>
      </c>
      <c r="B163" s="165" t="str">
        <f>presuvigencias[[#This Row],[PROYECTO]]&amp;presuvigencias[[#This Row],[META]]</f>
        <v>77564</v>
      </c>
      <c r="C163" s="166">
        <v>7756</v>
      </c>
      <c r="D163" s="165">
        <v>4</v>
      </c>
      <c r="E163" s="165">
        <f>VLOOKUP(presuvigencias[[#This Row],[LLAVE]],ESTRATÉGICO!$C$3:$R$110,16,0)</f>
        <v>25</v>
      </c>
      <c r="F163" s="165">
        <v>64098960</v>
      </c>
      <c r="G163" s="165">
        <v>64098960</v>
      </c>
      <c r="H163" s="165">
        <v>12001782.800000001</v>
      </c>
      <c r="I163" s="165">
        <v>2021</v>
      </c>
      <c r="K163" s="165">
        <v>77571</v>
      </c>
      <c r="L163" s="166">
        <v>7757</v>
      </c>
      <c r="M163" s="165">
        <v>1</v>
      </c>
      <c r="N163" s="165">
        <v>482417582.16999996</v>
      </c>
      <c r="O163" s="165">
        <v>170800</v>
      </c>
      <c r="P163" s="165">
        <v>482246782.16999996</v>
      </c>
      <c r="Q163" s="165">
        <v>457902982.16999996</v>
      </c>
      <c r="R163" s="165">
        <v>2022</v>
      </c>
    </row>
    <row r="164" spans="1:18" x14ac:dyDescent="0.3">
      <c r="A164" s="165" t="str">
        <f>presuvigencias[[#This Row],[PROYECTO]]&amp;presuvigencias[[#This Row],[METAPDD]]</f>
        <v>775625</v>
      </c>
      <c r="B164" s="165" t="str">
        <f>presuvigencias[[#This Row],[PROYECTO]]&amp;presuvigencias[[#This Row],[META]]</f>
        <v>77565</v>
      </c>
      <c r="C164" s="167">
        <v>7756</v>
      </c>
      <c r="D164" s="165">
        <v>5</v>
      </c>
      <c r="E164" s="165">
        <f>VLOOKUP(presuvigencias[[#This Row],[LLAVE]],ESTRATÉGICO!$C$3:$R$110,16,0)</f>
        <v>25</v>
      </c>
      <c r="F164" s="165">
        <v>1412989536</v>
      </c>
      <c r="G164" s="165">
        <v>1412989536</v>
      </c>
      <c r="H164" s="165">
        <v>1103884798.5999999</v>
      </c>
      <c r="I164" s="165">
        <v>2021</v>
      </c>
      <c r="K164" s="165">
        <v>77572</v>
      </c>
      <c r="L164" s="166">
        <v>7757</v>
      </c>
      <c r="M164" s="165">
        <v>2</v>
      </c>
      <c r="N164" s="165">
        <v>557954346</v>
      </c>
      <c r="O164" s="165">
        <v>1878800</v>
      </c>
      <c r="P164" s="165">
        <v>556075546</v>
      </c>
      <c r="Q164" s="165">
        <v>537191679</v>
      </c>
      <c r="R164" s="165">
        <v>2022</v>
      </c>
    </row>
    <row r="165" spans="1:18" x14ac:dyDescent="0.3">
      <c r="A165" s="165" t="str">
        <f>presuvigencias[[#This Row],[PROYECTO]]&amp;presuvigencias[[#This Row],[METAPDD]]</f>
        <v>775713</v>
      </c>
      <c r="B165" s="165" t="str">
        <f>presuvigencias[[#This Row],[PROYECTO]]&amp;presuvigencias[[#This Row],[META]]</f>
        <v>77571</v>
      </c>
      <c r="C165" s="166">
        <v>7757</v>
      </c>
      <c r="D165" s="165">
        <v>1</v>
      </c>
      <c r="E165" s="165">
        <f>VLOOKUP(presuvigencias[[#This Row],[LLAVE]],ESTRATÉGICO!$C$3:$R$110,16,0)</f>
        <v>13</v>
      </c>
      <c r="F165" s="165">
        <v>1966153729</v>
      </c>
      <c r="G165" s="165">
        <v>1960208128.77</v>
      </c>
      <c r="H165" s="165">
        <v>1477790546.5999999</v>
      </c>
      <c r="I165" s="165">
        <v>2021</v>
      </c>
      <c r="K165" s="165">
        <v>77573</v>
      </c>
      <c r="L165" s="166">
        <v>7757</v>
      </c>
      <c r="M165" s="165">
        <v>3</v>
      </c>
      <c r="N165" s="165">
        <v>1796250200.0700002</v>
      </c>
      <c r="O165" s="165">
        <v>1366400</v>
      </c>
      <c r="P165" s="165">
        <v>1794883800.0700002</v>
      </c>
      <c r="Q165" s="165">
        <v>1742454258.0800002</v>
      </c>
      <c r="R165" s="165">
        <v>2022</v>
      </c>
    </row>
    <row r="166" spans="1:18" x14ac:dyDescent="0.3">
      <c r="A166" s="165" t="str">
        <f>presuvigencias[[#This Row],[PROYECTO]]&amp;presuvigencias[[#This Row],[METAPDD]]</f>
        <v>775713</v>
      </c>
      <c r="B166" s="165" t="str">
        <f>presuvigencias[[#This Row],[PROYECTO]]&amp;presuvigencias[[#This Row],[META]]</f>
        <v>77572</v>
      </c>
      <c r="C166" s="166">
        <v>7757</v>
      </c>
      <c r="D166" s="165">
        <v>2</v>
      </c>
      <c r="E166" s="165">
        <f>VLOOKUP(presuvigencias[[#This Row],[LLAVE]],ESTRATÉGICO!$C$3:$R$110,16,0)</f>
        <v>13</v>
      </c>
      <c r="F166" s="165">
        <v>2095535344</v>
      </c>
      <c r="G166" s="165">
        <v>2061647344</v>
      </c>
      <c r="H166" s="165">
        <v>1503692998</v>
      </c>
      <c r="I166" s="165">
        <v>2021</v>
      </c>
      <c r="K166" s="165">
        <v>77574</v>
      </c>
      <c r="L166" s="166">
        <v>7757</v>
      </c>
      <c r="M166" s="165">
        <v>4</v>
      </c>
      <c r="N166" s="165">
        <v>7554703936.6300001</v>
      </c>
      <c r="O166" s="165">
        <v>1277444330</v>
      </c>
      <c r="P166" s="165">
        <v>6277259606.6300001</v>
      </c>
      <c r="Q166" s="165">
        <v>6204535893.6200008</v>
      </c>
      <c r="R166" s="165">
        <v>2022</v>
      </c>
    </row>
    <row r="167" spans="1:18" x14ac:dyDescent="0.3">
      <c r="A167" s="165" t="str">
        <f>presuvigencias[[#This Row],[PROYECTO]]&amp;presuvigencias[[#This Row],[METAPDD]]</f>
        <v>775716</v>
      </c>
      <c r="B167" s="165" t="str">
        <f>presuvigencias[[#This Row],[PROYECTO]]&amp;presuvigencias[[#This Row],[META]]</f>
        <v>77573</v>
      </c>
      <c r="C167" s="166">
        <v>7757</v>
      </c>
      <c r="D167" s="165">
        <v>3</v>
      </c>
      <c r="E167" s="165">
        <f>VLOOKUP(presuvigencias[[#This Row],[LLAVE]],ESTRATÉGICO!$C$3:$R$110,16,0)</f>
        <v>16</v>
      </c>
      <c r="F167" s="165">
        <v>5458402008</v>
      </c>
      <c r="G167" s="165">
        <v>5349368211.8900003</v>
      </c>
      <c r="H167" s="165">
        <v>3553858487.1100001</v>
      </c>
      <c r="I167" s="165">
        <v>2021</v>
      </c>
      <c r="K167" s="165">
        <v>77575</v>
      </c>
      <c r="L167" s="167">
        <v>7757</v>
      </c>
      <c r="M167" s="165">
        <v>5</v>
      </c>
      <c r="N167" s="165">
        <v>134234539.16999999</v>
      </c>
      <c r="O167" s="165">
        <v>0</v>
      </c>
      <c r="P167" s="165">
        <v>134234539.16999999</v>
      </c>
      <c r="Q167" s="165">
        <v>134234539.16999999</v>
      </c>
      <c r="R167" s="165">
        <v>2022</v>
      </c>
    </row>
    <row r="168" spans="1:18" x14ac:dyDescent="0.3">
      <c r="A168" s="165" t="str">
        <f>presuvigencias[[#This Row],[PROYECTO]]&amp;presuvigencias[[#This Row],[METAPDD]]</f>
        <v>775717</v>
      </c>
      <c r="B168" s="165" t="str">
        <f>presuvigencias[[#This Row],[PROYECTO]]&amp;presuvigencias[[#This Row],[META]]</f>
        <v>77574</v>
      </c>
      <c r="C168" s="166">
        <v>7757</v>
      </c>
      <c r="D168" s="165">
        <v>4</v>
      </c>
      <c r="E168" s="165">
        <f>VLOOKUP(presuvigencias[[#This Row],[LLAVE]],ESTRATÉGICO!$C$3:$R$110,16,0)</f>
        <v>17</v>
      </c>
      <c r="F168" s="165">
        <v>25723032950</v>
      </c>
      <c r="G168" s="165">
        <v>25505299575.34</v>
      </c>
      <c r="H168" s="165">
        <v>17945393570.459999</v>
      </c>
      <c r="I168" s="165">
        <v>2021</v>
      </c>
      <c r="K168" s="165">
        <v>77681</v>
      </c>
      <c r="L168" s="166">
        <v>7768</v>
      </c>
      <c r="M168" s="165">
        <v>1</v>
      </c>
      <c r="N168" s="165">
        <v>214946712</v>
      </c>
      <c r="O168" s="165">
        <v>0</v>
      </c>
      <c r="P168" s="165">
        <v>214946712</v>
      </c>
      <c r="Q168" s="165">
        <v>214946712</v>
      </c>
      <c r="R168" s="165">
        <v>2022</v>
      </c>
    </row>
    <row r="169" spans="1:18" x14ac:dyDescent="0.3">
      <c r="A169" s="165" t="str">
        <f>presuvigencias[[#This Row],[PROYECTO]]&amp;presuvigencias[[#This Row],[METAPDD]]</f>
        <v>775717</v>
      </c>
      <c r="B169" s="165" t="str">
        <f>presuvigencias[[#This Row],[PROYECTO]]&amp;presuvigencias[[#This Row],[META]]</f>
        <v>77575</v>
      </c>
      <c r="C169" s="167">
        <v>7757</v>
      </c>
      <c r="D169" s="165">
        <v>5</v>
      </c>
      <c r="E169" s="165">
        <f>VLOOKUP(presuvigencias[[#This Row],[LLAVE]],ESTRATÉGICO!$C$3:$R$110,16,0)</f>
        <v>17</v>
      </c>
      <c r="F169" s="165">
        <v>465090941</v>
      </c>
      <c r="G169" s="165">
        <v>462273704</v>
      </c>
      <c r="H169" s="165">
        <v>332500757.82999986</v>
      </c>
      <c r="I169" s="165">
        <v>2021</v>
      </c>
      <c r="K169" s="165">
        <v>77682</v>
      </c>
      <c r="L169" s="166">
        <v>7768</v>
      </c>
      <c r="M169" s="165">
        <v>2</v>
      </c>
      <c r="N169" s="165">
        <v>1630193009</v>
      </c>
      <c r="O169" s="165">
        <v>1667</v>
      </c>
      <c r="P169" s="165">
        <v>1630191342</v>
      </c>
      <c r="Q169" s="165">
        <v>1493096459</v>
      </c>
      <c r="R169" s="165">
        <v>2022</v>
      </c>
    </row>
    <row r="170" spans="1:18" x14ac:dyDescent="0.3">
      <c r="A170" s="165" t="str">
        <f>presuvigencias[[#This Row],[PROYECTO]]&amp;presuvigencias[[#This Row],[METAPDD]]</f>
        <v>776815</v>
      </c>
      <c r="B170" s="165" t="str">
        <f>presuvigencias[[#This Row],[PROYECTO]]&amp;presuvigencias[[#This Row],[META]]</f>
        <v>77681</v>
      </c>
      <c r="C170" s="166">
        <v>7768</v>
      </c>
      <c r="D170" s="165">
        <v>1</v>
      </c>
      <c r="E170" s="165">
        <f>VLOOKUP(presuvigencias[[#This Row],[LLAVE]],ESTRATÉGICO!$C$3:$R$110,16,0)</f>
        <v>15</v>
      </c>
      <c r="F170" s="165">
        <v>838150658</v>
      </c>
      <c r="G170" s="165">
        <v>804749769</v>
      </c>
      <c r="H170" s="165">
        <v>589803057</v>
      </c>
      <c r="I170" s="165">
        <v>2021</v>
      </c>
      <c r="K170" s="165">
        <v>77683</v>
      </c>
      <c r="L170" s="166">
        <v>7768</v>
      </c>
      <c r="M170" s="165">
        <v>3</v>
      </c>
      <c r="N170" s="165">
        <v>334126572</v>
      </c>
      <c r="O170" s="165">
        <v>248134</v>
      </c>
      <c r="P170" s="165">
        <v>333878438</v>
      </c>
      <c r="Q170" s="165">
        <v>296523587</v>
      </c>
      <c r="R170" s="165">
        <v>2022</v>
      </c>
    </row>
    <row r="171" spans="1:18" x14ac:dyDescent="0.3">
      <c r="A171" s="165" t="str">
        <f>presuvigencias[[#This Row],[PROYECTO]]&amp;presuvigencias[[#This Row],[METAPDD]]</f>
        <v>776815</v>
      </c>
      <c r="B171" s="165" t="str">
        <f>presuvigencias[[#This Row],[PROYECTO]]&amp;presuvigencias[[#This Row],[META]]</f>
        <v>77682</v>
      </c>
      <c r="C171" s="166">
        <v>7768</v>
      </c>
      <c r="D171" s="165">
        <v>2</v>
      </c>
      <c r="E171" s="165">
        <f>VLOOKUP(presuvigencias[[#This Row],[LLAVE]],ESTRATÉGICO!$C$3:$R$110,16,0)</f>
        <v>15</v>
      </c>
      <c r="F171" s="165">
        <v>2974203268</v>
      </c>
      <c r="G171" s="165">
        <v>2973011468</v>
      </c>
      <c r="H171" s="165">
        <v>1342818459</v>
      </c>
      <c r="I171" s="165">
        <v>2021</v>
      </c>
      <c r="K171" s="165">
        <v>77684</v>
      </c>
      <c r="L171" s="167">
        <v>7768</v>
      </c>
      <c r="M171" s="165">
        <v>4</v>
      </c>
      <c r="N171" s="165">
        <v>66922220</v>
      </c>
      <c r="O171" s="165">
        <v>0</v>
      </c>
      <c r="P171" s="165">
        <v>66922220</v>
      </c>
      <c r="Q171" s="165">
        <v>66922220</v>
      </c>
      <c r="R171" s="165">
        <v>2022</v>
      </c>
    </row>
    <row r="172" spans="1:18" x14ac:dyDescent="0.3">
      <c r="A172" s="165" t="str">
        <f>presuvigencias[[#This Row],[PROYECTO]]&amp;presuvigencias[[#This Row],[METAPDD]]</f>
        <v>776815</v>
      </c>
      <c r="B172" s="165" t="str">
        <f>presuvigencias[[#This Row],[PROYECTO]]&amp;presuvigencias[[#This Row],[META]]</f>
        <v>77683</v>
      </c>
      <c r="C172" s="166">
        <v>7768</v>
      </c>
      <c r="D172" s="165">
        <v>3</v>
      </c>
      <c r="E172" s="165">
        <f>VLOOKUP(presuvigencias[[#This Row],[LLAVE]],ESTRATÉGICO!$C$3:$R$110,16,0)</f>
        <v>15</v>
      </c>
      <c r="F172" s="165">
        <v>2212019673</v>
      </c>
      <c r="G172" s="165">
        <v>2159210687</v>
      </c>
      <c r="H172" s="165">
        <v>1825084115</v>
      </c>
      <c r="I172" s="165">
        <v>2021</v>
      </c>
      <c r="K172" s="165">
        <v>77701</v>
      </c>
      <c r="L172" s="166">
        <v>7770</v>
      </c>
      <c r="M172" s="165">
        <v>1</v>
      </c>
      <c r="N172" s="165">
        <v>1614641472</v>
      </c>
      <c r="O172" s="165">
        <v>34612102</v>
      </c>
      <c r="P172" s="165">
        <v>1580029370</v>
      </c>
      <c r="Q172" s="165">
        <v>1563209470</v>
      </c>
      <c r="R172" s="165">
        <v>2022</v>
      </c>
    </row>
    <row r="173" spans="1:18" x14ac:dyDescent="0.3">
      <c r="A173" s="165" t="str">
        <f>presuvigencias[[#This Row],[PROYECTO]]&amp;presuvigencias[[#This Row],[METAPDD]]</f>
        <v>776814</v>
      </c>
      <c r="B173" s="165" t="str">
        <f>presuvigencias[[#This Row],[PROYECTO]]&amp;presuvigencias[[#This Row],[META]]</f>
        <v>77684</v>
      </c>
      <c r="C173" s="167">
        <v>7768</v>
      </c>
      <c r="D173" s="165">
        <v>4</v>
      </c>
      <c r="E173" s="165">
        <f>VLOOKUP(presuvigencias[[#This Row],[LLAVE]],ESTRATÉGICO!$C$3:$R$110,16,0)</f>
        <v>14</v>
      </c>
      <c r="F173" s="165">
        <v>1536832900</v>
      </c>
      <c r="G173" s="165">
        <v>1536832900</v>
      </c>
      <c r="H173" s="165">
        <v>1469910680</v>
      </c>
      <c r="I173" s="165">
        <v>2021</v>
      </c>
      <c r="K173" s="165">
        <v>77702</v>
      </c>
      <c r="L173" s="166">
        <v>7770</v>
      </c>
      <c r="M173" s="165">
        <v>2</v>
      </c>
      <c r="N173" s="165">
        <v>9220630074</v>
      </c>
      <c r="O173" s="165">
        <v>27637074</v>
      </c>
      <c r="P173" s="165">
        <v>9192993000</v>
      </c>
      <c r="Q173" s="165">
        <v>7820882810.3132744</v>
      </c>
      <c r="R173" s="165">
        <v>2022</v>
      </c>
    </row>
    <row r="174" spans="1:18" x14ac:dyDescent="0.3">
      <c r="A174" s="165" t="str">
        <f>presuvigencias[[#This Row],[PROYECTO]]&amp;presuvigencias[[#This Row],[METAPDD]]</f>
        <v>777061</v>
      </c>
      <c r="B174" s="165" t="str">
        <f>presuvigencias[[#This Row],[PROYECTO]]&amp;presuvigencias[[#This Row],[META]]</f>
        <v>77701</v>
      </c>
      <c r="C174" s="166">
        <v>7770</v>
      </c>
      <c r="D174" s="165">
        <v>1</v>
      </c>
      <c r="E174" s="165">
        <f>VLOOKUP(presuvigencias[[#This Row],[LLAVE]],ESTRATÉGICO!$C$3:$R$110,16,0)</f>
        <v>61</v>
      </c>
      <c r="F174" s="165">
        <v>84768322143</v>
      </c>
      <c r="G174" s="165">
        <v>84768322133</v>
      </c>
      <c r="H174" s="165">
        <v>83153680661</v>
      </c>
      <c r="I174" s="165">
        <v>2021</v>
      </c>
      <c r="K174" s="165">
        <v>77703</v>
      </c>
      <c r="L174" s="166">
        <v>7770</v>
      </c>
      <c r="M174" s="165">
        <v>3</v>
      </c>
      <c r="N174" s="165">
        <v>2194632875</v>
      </c>
      <c r="O174" s="165">
        <v>9713967</v>
      </c>
      <c r="P174" s="165">
        <v>2184918908</v>
      </c>
      <c r="Q174" s="165">
        <v>2177903042</v>
      </c>
      <c r="R174" s="165">
        <v>2022</v>
      </c>
    </row>
    <row r="175" spans="1:18" x14ac:dyDescent="0.3">
      <c r="A175" s="165" t="str">
        <f>presuvigencias[[#This Row],[PROYECTO]]&amp;presuvigencias[[#This Row],[METAPDD]]</f>
        <v>777060</v>
      </c>
      <c r="B175" s="165" t="str">
        <f>presuvigencias[[#This Row],[PROYECTO]]&amp;presuvigencias[[#This Row],[META]]</f>
        <v>77702</v>
      </c>
      <c r="C175" s="166">
        <v>7770</v>
      </c>
      <c r="D175" s="165">
        <v>2</v>
      </c>
      <c r="E175" s="165">
        <f>VLOOKUP(presuvigencias[[#This Row],[LLAVE]],ESTRATÉGICO!$C$3:$R$110,16,0)</f>
        <v>60</v>
      </c>
      <c r="F175" s="165">
        <v>17563230087</v>
      </c>
      <c r="G175" s="165">
        <v>16440985466</v>
      </c>
      <c r="H175" s="165">
        <v>7220355392</v>
      </c>
      <c r="I175" s="165">
        <v>2021</v>
      </c>
      <c r="K175" s="165">
        <v>77704</v>
      </c>
      <c r="L175" s="166">
        <v>7770</v>
      </c>
      <c r="M175" s="165">
        <v>4</v>
      </c>
      <c r="N175" s="165">
        <v>11892150663</v>
      </c>
      <c r="O175" s="165">
        <v>53673655</v>
      </c>
      <c r="P175" s="165">
        <v>11838477008</v>
      </c>
      <c r="Q175" s="165">
        <v>10774653959.686726</v>
      </c>
      <c r="R175" s="165">
        <v>2022</v>
      </c>
    </row>
    <row r="176" spans="1:18" x14ac:dyDescent="0.3">
      <c r="A176" s="165" t="str">
        <f>presuvigencias[[#This Row],[PROYECTO]]&amp;presuvigencias[[#This Row],[METAPDD]]</f>
        <v>777060</v>
      </c>
      <c r="B176" s="165" t="str">
        <f>presuvigencias[[#This Row],[PROYECTO]]&amp;presuvigencias[[#This Row],[META]]</f>
        <v>77703</v>
      </c>
      <c r="C176" s="166">
        <v>7770</v>
      </c>
      <c r="D176" s="165">
        <v>3</v>
      </c>
      <c r="E176" s="165">
        <f>VLOOKUP(presuvigencias[[#This Row],[LLAVE]],ESTRATÉGICO!$C$3:$R$110,16,0)</f>
        <v>60</v>
      </c>
      <c r="F176" s="165">
        <v>10813325232</v>
      </c>
      <c r="G176" s="165">
        <v>10810943039</v>
      </c>
      <c r="H176" s="165">
        <v>8616310164</v>
      </c>
      <c r="I176" s="165">
        <v>2021</v>
      </c>
      <c r="K176" s="165">
        <v>77705</v>
      </c>
      <c r="L176" s="166">
        <v>7770</v>
      </c>
      <c r="M176" s="165">
        <v>5</v>
      </c>
      <c r="N176" s="165">
        <v>157629815</v>
      </c>
      <c r="O176" s="165">
        <v>0</v>
      </c>
      <c r="P176" s="165">
        <v>157629815</v>
      </c>
      <c r="Q176" s="165">
        <v>157629815</v>
      </c>
      <c r="R176" s="165">
        <v>2022</v>
      </c>
    </row>
    <row r="177" spans="1:18" x14ac:dyDescent="0.3">
      <c r="A177" s="165" t="str">
        <f>presuvigencias[[#This Row],[PROYECTO]]&amp;presuvigencias[[#This Row],[METAPDD]]</f>
        <v>777060</v>
      </c>
      <c r="B177" s="165" t="str">
        <f>presuvigencias[[#This Row],[PROYECTO]]&amp;presuvigencias[[#This Row],[META]]</f>
        <v>77704</v>
      </c>
      <c r="C177" s="166">
        <v>7770</v>
      </c>
      <c r="D177" s="165">
        <v>4</v>
      </c>
      <c r="E177" s="165">
        <f>VLOOKUP(presuvigencias[[#This Row],[LLAVE]],ESTRATÉGICO!$C$3:$R$110,16,0)</f>
        <v>60</v>
      </c>
      <c r="F177" s="165">
        <v>56858433332</v>
      </c>
      <c r="G177" s="165">
        <v>56730295508</v>
      </c>
      <c r="H177" s="165">
        <v>44838144845</v>
      </c>
      <c r="I177" s="165">
        <v>2021</v>
      </c>
      <c r="K177" s="165">
        <v>77706</v>
      </c>
      <c r="L177" s="167">
        <v>7770</v>
      </c>
      <c r="M177" s="165">
        <v>6</v>
      </c>
      <c r="N177" s="165">
        <v>1254793919</v>
      </c>
      <c r="O177" s="165">
        <v>0</v>
      </c>
      <c r="P177" s="165">
        <v>1254793919</v>
      </c>
      <c r="Q177" s="165">
        <v>1253805593</v>
      </c>
      <c r="R177" s="165">
        <v>2022</v>
      </c>
    </row>
    <row r="178" spans="1:18" x14ac:dyDescent="0.3">
      <c r="A178" s="165" t="str">
        <f>presuvigencias[[#This Row],[PROYECTO]]&amp;presuvigencias[[#This Row],[METAPDD]]</f>
        <v>777049</v>
      </c>
      <c r="B178" s="165" t="str">
        <f>presuvigencias[[#This Row],[PROYECTO]]&amp;presuvigencias[[#This Row],[META]]</f>
        <v>77705</v>
      </c>
      <c r="C178" s="166">
        <v>7770</v>
      </c>
      <c r="D178" s="165">
        <v>5</v>
      </c>
      <c r="E178" s="165">
        <f>VLOOKUP(presuvigencias[[#This Row],[LLAVE]],ESTRATÉGICO!$C$3:$R$110,16,0)</f>
        <v>49</v>
      </c>
      <c r="F178" s="165">
        <v>572810800</v>
      </c>
      <c r="G178" s="165">
        <v>551432800</v>
      </c>
      <c r="H178" s="165">
        <v>393802985</v>
      </c>
      <c r="I178" s="165">
        <v>2021</v>
      </c>
      <c r="K178" s="165">
        <v>77711</v>
      </c>
      <c r="L178" s="166">
        <v>7771</v>
      </c>
      <c r="M178" s="165">
        <v>1</v>
      </c>
      <c r="N178" s="165">
        <v>513640550</v>
      </c>
      <c r="O178" s="165">
        <v>0</v>
      </c>
      <c r="P178" s="165">
        <v>513640550</v>
      </c>
      <c r="Q178" s="165">
        <v>453658449</v>
      </c>
      <c r="R178" s="165">
        <v>2022</v>
      </c>
    </row>
    <row r="179" spans="1:18" x14ac:dyDescent="0.3">
      <c r="A179" s="165" t="str">
        <f>presuvigencias[[#This Row],[PROYECTO]]&amp;presuvigencias[[#This Row],[METAPDD]]</f>
        <v>777060</v>
      </c>
      <c r="B179" s="165" t="str">
        <f>presuvigencias[[#This Row],[PROYECTO]]&amp;presuvigencias[[#This Row],[META]]</f>
        <v>77706</v>
      </c>
      <c r="C179" s="167">
        <v>7770</v>
      </c>
      <c r="D179" s="165">
        <v>6</v>
      </c>
      <c r="E179" s="165">
        <f>VLOOKUP(presuvigencias[[#This Row],[LLAVE]],ESTRATÉGICO!$C$3:$R$110,16,0)</f>
        <v>60</v>
      </c>
      <c r="F179" s="165">
        <v>4547493149</v>
      </c>
      <c r="G179" s="165">
        <v>4541214257</v>
      </c>
      <c r="H179" s="165">
        <v>3286420338</v>
      </c>
      <c r="I179" s="165">
        <v>2021</v>
      </c>
      <c r="K179" s="165">
        <v>77712</v>
      </c>
      <c r="L179" s="166">
        <v>7771</v>
      </c>
      <c r="M179" s="165">
        <v>2</v>
      </c>
      <c r="N179" s="165">
        <v>12882858852</v>
      </c>
      <c r="O179" s="165">
        <v>567756771</v>
      </c>
      <c r="P179" s="165">
        <v>12315102081</v>
      </c>
      <c r="Q179" s="165">
        <v>11284255090</v>
      </c>
      <c r="R179" s="165">
        <v>2022</v>
      </c>
    </row>
    <row r="180" spans="1:18" x14ac:dyDescent="0.3">
      <c r="A180" s="165" t="str">
        <f>presuvigencias[[#This Row],[PROYECTO]]&amp;presuvigencias[[#This Row],[METAPDD]]</f>
        <v>777157</v>
      </c>
      <c r="B180" s="165" t="str">
        <f>presuvigencias[[#This Row],[PROYECTO]]&amp;presuvigencias[[#This Row],[META]]</f>
        <v>77711</v>
      </c>
      <c r="C180" s="166">
        <v>7771</v>
      </c>
      <c r="D180" s="165">
        <v>1</v>
      </c>
      <c r="E180" s="165">
        <f>VLOOKUP(presuvigencias[[#This Row],[LLAVE]],ESTRATÉGICO!$C$3:$R$110,16,0)</f>
        <v>57</v>
      </c>
      <c r="F180" s="165">
        <v>2136782404</v>
      </c>
      <c r="G180" s="165">
        <v>2127118974</v>
      </c>
      <c r="H180" s="165">
        <v>1613478424</v>
      </c>
      <c r="I180" s="165">
        <v>2021</v>
      </c>
      <c r="K180" s="165">
        <v>77713</v>
      </c>
      <c r="L180" s="166">
        <v>7771</v>
      </c>
      <c r="M180" s="165">
        <v>3</v>
      </c>
      <c r="N180" s="165">
        <v>86468450</v>
      </c>
      <c r="O180" s="165">
        <v>0</v>
      </c>
      <c r="P180" s="165">
        <v>86468450</v>
      </c>
      <c r="Q180" s="165">
        <v>79231250</v>
      </c>
      <c r="R180" s="165">
        <v>2022</v>
      </c>
    </row>
    <row r="181" spans="1:18" x14ac:dyDescent="0.3">
      <c r="A181" s="165" t="str">
        <f>presuvigencias[[#This Row],[PROYECTO]]&amp;presuvigencias[[#This Row],[METAPDD]]</f>
        <v>777158</v>
      </c>
      <c r="B181" s="165" t="str">
        <f>presuvigencias[[#This Row],[PROYECTO]]&amp;presuvigencias[[#This Row],[META]]</f>
        <v>77712</v>
      </c>
      <c r="C181" s="166">
        <v>7771</v>
      </c>
      <c r="D181" s="165">
        <v>2</v>
      </c>
      <c r="E181" s="165">
        <f>VLOOKUP(presuvigencias[[#This Row],[LLAVE]],ESTRATÉGICO!$C$3:$R$110,16,0)</f>
        <v>58</v>
      </c>
      <c r="F181" s="165">
        <v>58518581279</v>
      </c>
      <c r="G181" s="165">
        <v>58451848001</v>
      </c>
      <c r="H181" s="165">
        <v>45568989149</v>
      </c>
      <c r="I181" s="165">
        <v>2021</v>
      </c>
      <c r="K181" s="165">
        <v>77714</v>
      </c>
      <c r="L181" s="166">
        <v>7771</v>
      </c>
      <c r="M181" s="165">
        <v>4</v>
      </c>
      <c r="N181" s="165">
        <v>73054683</v>
      </c>
      <c r="O181" s="165">
        <v>0</v>
      </c>
      <c r="P181" s="165">
        <v>73054683</v>
      </c>
      <c r="Q181" s="165">
        <v>38058183</v>
      </c>
      <c r="R181" s="165">
        <v>2022</v>
      </c>
    </row>
    <row r="182" spans="1:18" x14ac:dyDescent="0.3">
      <c r="A182" s="165" t="str">
        <f>presuvigencias[[#This Row],[PROYECTO]]&amp;presuvigencias[[#This Row],[METAPDD]]</f>
        <v>777159</v>
      </c>
      <c r="B182" s="165" t="str">
        <f>presuvigencias[[#This Row],[PROYECTO]]&amp;presuvigencias[[#This Row],[META]]</f>
        <v>77713</v>
      </c>
      <c r="C182" s="166">
        <v>7771</v>
      </c>
      <c r="D182" s="165">
        <v>3</v>
      </c>
      <c r="E182" s="165">
        <f>VLOOKUP(presuvigencias[[#This Row],[LLAVE]],ESTRATÉGICO!$C$3:$R$110,16,0)</f>
        <v>59</v>
      </c>
      <c r="F182" s="165">
        <v>287696250</v>
      </c>
      <c r="G182" s="165">
        <v>258356250</v>
      </c>
      <c r="H182" s="165">
        <v>171887800</v>
      </c>
      <c r="I182" s="165">
        <v>2021</v>
      </c>
      <c r="K182" s="165">
        <v>77715</v>
      </c>
      <c r="L182" s="167">
        <v>7771</v>
      </c>
      <c r="M182" s="165">
        <v>5</v>
      </c>
      <c r="N182" s="165">
        <v>66295665</v>
      </c>
      <c r="O182" s="165">
        <v>0</v>
      </c>
      <c r="P182" s="165">
        <v>66295665</v>
      </c>
      <c r="Q182" s="165">
        <v>66295665</v>
      </c>
      <c r="R182" s="165">
        <v>2022</v>
      </c>
    </row>
    <row r="183" spans="1:18" x14ac:dyDescent="0.3">
      <c r="A183" s="165" t="str">
        <f>presuvigencias[[#This Row],[PROYECTO]]&amp;presuvigencias[[#This Row],[METAPDD]]</f>
        <v>777159</v>
      </c>
      <c r="B183" s="165" t="str">
        <f>presuvigencias[[#This Row],[PROYECTO]]&amp;presuvigencias[[#This Row],[META]]</f>
        <v>77714</v>
      </c>
      <c r="C183" s="166">
        <v>7771</v>
      </c>
      <c r="D183" s="165">
        <v>4</v>
      </c>
      <c r="E183" s="165">
        <f>VLOOKUP(presuvigencias[[#This Row],[LLAVE]],ESTRATÉGICO!$C$3:$R$110,16,0)</f>
        <v>59</v>
      </c>
      <c r="F183" s="165">
        <v>202007283</v>
      </c>
      <c r="G183" s="165">
        <v>202007283</v>
      </c>
      <c r="H183" s="165">
        <v>128952600</v>
      </c>
      <c r="I183" s="165">
        <v>2021</v>
      </c>
      <c r="K183" s="165">
        <v>75641</v>
      </c>
      <c r="L183" s="166">
        <v>7564</v>
      </c>
      <c r="M183" s="165">
        <v>1</v>
      </c>
      <c r="N183" s="165">
        <v>1908150448</v>
      </c>
      <c r="O183" s="165">
        <v>0</v>
      </c>
      <c r="P183" s="165">
        <f>Reservas[[#This Row],[Suma de VALOR_INICIAL]]-Reservas[[#This Row],[Suma de TOTAL LIBERACIONES]]</f>
        <v>1908150448</v>
      </c>
      <c r="Q183" s="165">
        <v>1907979026</v>
      </c>
      <c r="R183" s="165">
        <v>2023</v>
      </c>
    </row>
    <row r="184" spans="1:18" x14ac:dyDescent="0.3">
      <c r="A184" s="165" t="str">
        <f>presuvigencias[[#This Row],[PROYECTO]]&amp;presuvigencias[[#This Row],[METAPDD]]</f>
        <v>777159</v>
      </c>
      <c r="B184" s="165" t="str">
        <f>presuvigencias[[#This Row],[PROYECTO]]&amp;presuvigencias[[#This Row],[META]]</f>
        <v>77715</v>
      </c>
      <c r="C184" s="167">
        <v>7771</v>
      </c>
      <c r="D184" s="165">
        <v>5</v>
      </c>
      <c r="E184" s="165">
        <f>VLOOKUP(presuvigencias[[#This Row],[LLAVE]],ESTRATÉGICO!$C$3:$R$110,16,0)</f>
        <v>59</v>
      </c>
      <c r="F184" s="165">
        <v>274600049</v>
      </c>
      <c r="G184" s="165">
        <v>274600049</v>
      </c>
      <c r="H184" s="165">
        <v>208304384</v>
      </c>
      <c r="I184" s="165">
        <v>2021</v>
      </c>
      <c r="K184" s="165">
        <v>75642</v>
      </c>
      <c r="L184" s="167">
        <v>7564</v>
      </c>
      <c r="M184" s="165">
        <v>2</v>
      </c>
      <c r="N184" s="165">
        <v>2946751413</v>
      </c>
      <c r="O184" s="165">
        <v>131419266</v>
      </c>
      <c r="P184" s="165">
        <f>Reservas[[#This Row],[Suma de VALOR_INICIAL]]-Reservas[[#This Row],[Suma de TOTAL LIBERACIONES]]</f>
        <v>2815332147</v>
      </c>
      <c r="Q184" s="165">
        <v>2790844747</v>
      </c>
      <c r="R184" s="165">
        <v>2023</v>
      </c>
    </row>
    <row r="185" spans="1:18" x14ac:dyDescent="0.3">
      <c r="A185" s="165" t="str">
        <f>presuvigencias[[#This Row],[PROYECTO]]&amp;presuvigencias[[#This Row],[METAPDD]]</f>
        <v>7564364</v>
      </c>
      <c r="B185" s="165" t="str">
        <f>presuvigencias[[#This Row],[PROYECTO]]&amp;presuvigencias[[#This Row],[META]]</f>
        <v>75641</v>
      </c>
      <c r="C185" s="168">
        <v>7564</v>
      </c>
      <c r="D185" s="165">
        <v>1</v>
      </c>
      <c r="E185" s="165">
        <f>VLOOKUP(presuvigencias[[#This Row],[LLAVE]],ESTRATÉGICO!$C$3:$R$110,16,0)</f>
        <v>364</v>
      </c>
      <c r="F185" s="165">
        <v>2765239034</v>
      </c>
      <c r="G185" s="165">
        <v>2444305772</v>
      </c>
      <c r="H185" s="165">
        <v>536155324</v>
      </c>
      <c r="I185" s="165">
        <v>2022</v>
      </c>
      <c r="K185" s="165">
        <v>75651</v>
      </c>
      <c r="L185" s="166">
        <v>7565</v>
      </c>
      <c r="M185" s="165">
        <v>1</v>
      </c>
      <c r="N185" s="165">
        <v>18222941</v>
      </c>
      <c r="O185" s="165">
        <v>0</v>
      </c>
      <c r="P185" s="165">
        <f>Reservas[[#This Row],[Suma de VALOR_INICIAL]]-Reservas[[#This Row],[Suma de TOTAL LIBERACIONES]]</f>
        <v>18222941</v>
      </c>
      <c r="Q185" s="165">
        <v>18222941</v>
      </c>
      <c r="R185" s="165">
        <v>2023</v>
      </c>
    </row>
    <row r="186" spans="1:18" x14ac:dyDescent="0.3">
      <c r="A186" s="165" t="str">
        <f>presuvigencias[[#This Row],[PROYECTO]]&amp;presuvigencias[[#This Row],[METAPDD]]</f>
        <v>7564364</v>
      </c>
      <c r="B186" s="165" t="str">
        <f>presuvigencias[[#This Row],[PROYECTO]]&amp;presuvigencias[[#This Row],[META]]</f>
        <v>75642</v>
      </c>
      <c r="C186" s="169">
        <v>7564</v>
      </c>
      <c r="D186" s="165">
        <v>2</v>
      </c>
      <c r="E186" s="165">
        <f>VLOOKUP(presuvigencias[[#This Row],[LLAVE]],ESTRATÉGICO!$C$3:$R$110,16,0)</f>
        <v>364</v>
      </c>
      <c r="F186" s="165">
        <v>16507141966</v>
      </c>
      <c r="G186" s="165">
        <v>16222388579</v>
      </c>
      <c r="H186" s="165">
        <v>13275637166</v>
      </c>
      <c r="I186" s="165">
        <v>2022</v>
      </c>
      <c r="K186" s="165">
        <v>75655</v>
      </c>
      <c r="L186" s="166">
        <v>7565</v>
      </c>
      <c r="M186" s="165">
        <v>5</v>
      </c>
      <c r="N186" s="165">
        <v>1260707140</v>
      </c>
      <c r="O186" s="165">
        <v>0</v>
      </c>
      <c r="P186" s="165">
        <f>Reservas[[#This Row],[Suma de VALOR_INICIAL]]-Reservas[[#This Row],[Suma de TOTAL LIBERACIONES]]</f>
        <v>1260707140</v>
      </c>
      <c r="Q186" s="165">
        <v>1260707140</v>
      </c>
      <c r="R186" s="165">
        <v>2023</v>
      </c>
    </row>
    <row r="187" spans="1:18" x14ac:dyDescent="0.3">
      <c r="A187" s="165" t="str">
        <f>presuvigencias[[#This Row],[PROYECTO]]&amp;presuvigencias[[#This Row],[METAPDD]]</f>
        <v>756562</v>
      </c>
      <c r="B187" s="165" t="str">
        <f>presuvigencias[[#This Row],[PROYECTO]]&amp;presuvigencias[[#This Row],[META]]</f>
        <v>75651</v>
      </c>
      <c r="C187" s="168">
        <v>7565</v>
      </c>
      <c r="D187" s="165">
        <v>1</v>
      </c>
      <c r="E187" s="165">
        <f>VLOOKUP(presuvigencias[[#This Row],[LLAVE]],ESTRATÉGICO!$C$3:$R$110,16,0)</f>
        <v>62</v>
      </c>
      <c r="F187" s="165">
        <v>1678138172</v>
      </c>
      <c r="G187" s="165">
        <v>991375708</v>
      </c>
      <c r="H187" s="165">
        <v>973152767</v>
      </c>
      <c r="I187" s="165">
        <v>2022</v>
      </c>
      <c r="K187" s="165">
        <v>75656</v>
      </c>
      <c r="L187" s="166">
        <v>7565</v>
      </c>
      <c r="M187" s="165">
        <v>6</v>
      </c>
      <c r="N187" s="165">
        <v>159635352.32999998</v>
      </c>
      <c r="O187" s="165">
        <v>0</v>
      </c>
      <c r="P187" s="165">
        <f>Reservas[[#This Row],[Suma de VALOR_INICIAL]]-Reservas[[#This Row],[Suma de TOTAL LIBERACIONES]]</f>
        <v>159635352.32999998</v>
      </c>
      <c r="Q187" s="165">
        <v>159635352.32999998</v>
      </c>
      <c r="R187" s="165">
        <v>2023</v>
      </c>
    </row>
    <row r="188" spans="1:18" x14ac:dyDescent="0.3">
      <c r="A188" s="165" t="str">
        <f>presuvigencias[[#This Row],[PROYECTO]]&amp;presuvigencias[[#This Row],[METAPDD]]</f>
        <v>756562</v>
      </c>
      <c r="B188" s="165" t="str">
        <f>presuvigencias[[#This Row],[PROYECTO]]&amp;presuvigencias[[#This Row],[META]]</f>
        <v>75655</v>
      </c>
      <c r="C188" s="168">
        <v>7565</v>
      </c>
      <c r="D188" s="165">
        <v>5</v>
      </c>
      <c r="E188" s="165">
        <f>VLOOKUP(presuvigencias[[#This Row],[LLAVE]],ESTRATÉGICO!$C$3:$R$110,16,0)</f>
        <v>62</v>
      </c>
      <c r="F188" s="165">
        <v>2499583082</v>
      </c>
      <c r="G188" s="165">
        <v>2499583082</v>
      </c>
      <c r="H188" s="165">
        <v>1238875942</v>
      </c>
      <c r="I188" s="165">
        <v>2022</v>
      </c>
      <c r="K188" s="165">
        <v>75657</v>
      </c>
      <c r="L188" s="166">
        <v>7565</v>
      </c>
      <c r="M188" s="165">
        <v>7</v>
      </c>
      <c r="N188" s="165">
        <v>17771946157.669998</v>
      </c>
      <c r="O188" s="165">
        <v>106558337</v>
      </c>
      <c r="P188" s="165">
        <f>Reservas[[#This Row],[Suma de VALOR_INICIAL]]-Reservas[[#This Row],[Suma de TOTAL LIBERACIONES]]</f>
        <v>17665387820.669998</v>
      </c>
      <c r="Q188" s="165">
        <v>17617994726.669998</v>
      </c>
      <c r="R188" s="165">
        <v>2023</v>
      </c>
    </row>
    <row r="189" spans="1:18" x14ac:dyDescent="0.3">
      <c r="A189" s="165" t="str">
        <f>presuvigencias[[#This Row],[PROYECTO]]&amp;presuvigencias[[#This Row],[METAPDD]]</f>
        <v>756562</v>
      </c>
      <c r="B189" s="165" t="str">
        <f>presuvigencias[[#This Row],[PROYECTO]]&amp;presuvigencias[[#This Row],[META]]</f>
        <v>75656</v>
      </c>
      <c r="C189" s="168">
        <v>7565</v>
      </c>
      <c r="D189" s="165">
        <v>6</v>
      </c>
      <c r="E189" s="165">
        <f>VLOOKUP(presuvigencias[[#This Row],[LLAVE]],ESTRATÉGICO!$C$3:$R$110,16,0)</f>
        <v>62</v>
      </c>
      <c r="F189" s="165">
        <v>827008000</v>
      </c>
      <c r="G189" s="165">
        <v>827008000</v>
      </c>
      <c r="H189" s="165">
        <v>360175195.22209889</v>
      </c>
      <c r="I189" s="165">
        <v>2022</v>
      </c>
      <c r="K189" s="165">
        <v>75658</v>
      </c>
      <c r="L189" s="166">
        <v>7565</v>
      </c>
      <c r="M189" s="165">
        <v>8</v>
      </c>
      <c r="N189" s="165">
        <v>1428100732</v>
      </c>
      <c r="O189" s="165">
        <v>52345057</v>
      </c>
      <c r="P189" s="165">
        <f>Reservas[[#This Row],[Suma de VALOR_INICIAL]]-Reservas[[#This Row],[Suma de TOTAL LIBERACIONES]]</f>
        <v>1375755675</v>
      </c>
      <c r="Q189" s="165">
        <v>1369659075</v>
      </c>
      <c r="R189" s="165">
        <v>2023</v>
      </c>
    </row>
    <row r="190" spans="1:18" x14ac:dyDescent="0.3">
      <c r="A190" s="165" t="str">
        <f>presuvigencias[[#This Row],[PROYECTO]]&amp;presuvigencias[[#This Row],[METAPDD]]</f>
        <v>756562</v>
      </c>
      <c r="B190" s="165" t="str">
        <f>presuvigencias[[#This Row],[PROYECTO]]&amp;presuvigencias[[#This Row],[META]]</f>
        <v>75657</v>
      </c>
      <c r="C190" s="168">
        <v>7565</v>
      </c>
      <c r="D190" s="165">
        <v>7</v>
      </c>
      <c r="E190" s="165">
        <f>VLOOKUP(presuvigencias[[#This Row],[LLAVE]],ESTRATÉGICO!$C$3:$R$110,16,0)</f>
        <v>62</v>
      </c>
      <c r="F190" s="165">
        <v>32128919796</v>
      </c>
      <c r="G190" s="165">
        <v>31664783014</v>
      </c>
      <c r="H190" s="165">
        <v>14200034308.777901</v>
      </c>
      <c r="I190" s="165">
        <v>2022</v>
      </c>
      <c r="K190" s="165">
        <v>75659</v>
      </c>
      <c r="L190" s="166">
        <v>7565</v>
      </c>
      <c r="M190" s="165">
        <v>9</v>
      </c>
      <c r="N190" s="165">
        <v>61732400</v>
      </c>
      <c r="O190" s="165">
        <v>1245079</v>
      </c>
      <c r="P190" s="165">
        <f>Reservas[[#This Row],[Suma de VALOR_INICIAL]]-Reservas[[#This Row],[Suma de TOTAL LIBERACIONES]]</f>
        <v>60487321</v>
      </c>
      <c r="Q190" s="165">
        <v>60487321</v>
      </c>
      <c r="R190" s="165">
        <v>2023</v>
      </c>
    </row>
    <row r="191" spans="1:18" x14ac:dyDescent="0.3">
      <c r="A191" s="165" t="str">
        <f>presuvigencias[[#This Row],[PROYECTO]]&amp;presuvigencias[[#This Row],[METAPDD]]</f>
        <v>756562</v>
      </c>
      <c r="B191" s="165" t="str">
        <f>presuvigencias[[#This Row],[PROYECTO]]&amp;presuvigencias[[#This Row],[META]]</f>
        <v>75658</v>
      </c>
      <c r="C191" s="168">
        <v>7565</v>
      </c>
      <c r="D191" s="165">
        <v>8</v>
      </c>
      <c r="E191" s="165">
        <f>VLOOKUP(presuvigencias[[#This Row],[LLAVE]],ESTRATÉGICO!$C$3:$R$110,16,0)</f>
        <v>62</v>
      </c>
      <c r="F191" s="165">
        <v>13669116541</v>
      </c>
      <c r="G191" s="165">
        <v>13394281730</v>
      </c>
      <c r="H191" s="165">
        <v>11966180998</v>
      </c>
      <c r="I191" s="165">
        <v>2022</v>
      </c>
      <c r="K191" s="165">
        <v>756511</v>
      </c>
      <c r="L191" s="166">
        <v>7565</v>
      </c>
      <c r="M191" s="165">
        <v>11</v>
      </c>
      <c r="N191" s="165">
        <v>3433512435</v>
      </c>
      <c r="O191" s="165">
        <v>0</v>
      </c>
      <c r="P191" s="165">
        <f>Reservas[[#This Row],[Suma de VALOR_INICIAL]]-Reservas[[#This Row],[Suma de TOTAL LIBERACIONES]]</f>
        <v>3433512435</v>
      </c>
      <c r="Q191" s="165">
        <v>3433512435</v>
      </c>
      <c r="R191" s="165">
        <v>2023</v>
      </c>
    </row>
    <row r="192" spans="1:18" x14ac:dyDescent="0.3">
      <c r="A192" s="165" t="str">
        <f>presuvigencias[[#This Row],[PROYECTO]]&amp;presuvigencias[[#This Row],[METAPDD]]</f>
        <v>756562</v>
      </c>
      <c r="B192" s="165" t="str">
        <f>presuvigencias[[#This Row],[PROYECTO]]&amp;presuvigencias[[#This Row],[META]]</f>
        <v>75659</v>
      </c>
      <c r="C192" s="168">
        <v>7565</v>
      </c>
      <c r="D192" s="165">
        <v>9</v>
      </c>
      <c r="E192" s="165">
        <f>VLOOKUP(presuvigencias[[#This Row],[LLAVE]],ESTRATÉGICO!$C$3:$R$110,16,0)</f>
        <v>62</v>
      </c>
      <c r="F192" s="165">
        <v>131528000</v>
      </c>
      <c r="G192" s="165">
        <v>131528000</v>
      </c>
      <c r="H192" s="165">
        <v>69795600</v>
      </c>
      <c r="I192" s="165">
        <v>2022</v>
      </c>
      <c r="K192" s="165">
        <v>756512</v>
      </c>
      <c r="L192" s="167">
        <v>7565</v>
      </c>
      <c r="M192" s="165">
        <v>12</v>
      </c>
      <c r="N192" s="165">
        <v>30664531988</v>
      </c>
      <c r="O192" s="165">
        <v>0</v>
      </c>
      <c r="P192" s="165">
        <f>Reservas[[#This Row],[Suma de VALOR_INICIAL]]-Reservas[[#This Row],[Suma de TOTAL LIBERACIONES]]</f>
        <v>30664531988</v>
      </c>
      <c r="Q192" s="165">
        <v>30164143242</v>
      </c>
      <c r="R192" s="165">
        <v>2023</v>
      </c>
    </row>
    <row r="193" spans="1:18" x14ac:dyDescent="0.3">
      <c r="A193" s="165" t="str">
        <f>presuvigencias[[#This Row],[PROYECTO]]&amp;presuvigencias[[#This Row],[METAPDD]]</f>
        <v>756562</v>
      </c>
      <c r="B193" s="165" t="str">
        <f>presuvigencias[[#This Row],[PROYECTO]]&amp;presuvigencias[[#This Row],[META]]</f>
        <v>756511</v>
      </c>
      <c r="C193" s="168">
        <v>7565</v>
      </c>
      <c r="D193" s="165">
        <v>11</v>
      </c>
      <c r="E193" s="165">
        <f>VLOOKUP(presuvigencias[[#This Row],[LLAVE]],ESTRATÉGICO!$C$3:$R$110,16,0)</f>
        <v>62</v>
      </c>
      <c r="F193" s="165">
        <v>4804473728</v>
      </c>
      <c r="G193" s="165">
        <v>3661721488</v>
      </c>
      <c r="H193" s="165">
        <v>228209053</v>
      </c>
      <c r="I193" s="165">
        <v>2022</v>
      </c>
      <c r="K193" s="165">
        <v>77301</v>
      </c>
      <c r="L193" s="166">
        <v>7730</v>
      </c>
      <c r="M193" s="165">
        <v>1</v>
      </c>
      <c r="N193" s="165">
        <v>65002300</v>
      </c>
      <c r="O193" s="165">
        <v>0</v>
      </c>
      <c r="P193" s="165">
        <f>Reservas[[#This Row],[Suma de VALOR_INICIAL]]-Reservas[[#This Row],[Suma de TOTAL LIBERACIONES]]</f>
        <v>65002300</v>
      </c>
      <c r="Q193" s="165">
        <v>62534333</v>
      </c>
      <c r="R193" s="165">
        <v>2023</v>
      </c>
    </row>
    <row r="194" spans="1:18" x14ac:dyDescent="0.3">
      <c r="A194" s="165" t="str">
        <f>presuvigencias[[#This Row],[PROYECTO]]&amp;presuvigencias[[#This Row],[METAPDD]]</f>
        <v>756562</v>
      </c>
      <c r="B194" s="165" t="str">
        <f>presuvigencias[[#This Row],[PROYECTO]]&amp;presuvigencias[[#This Row],[META]]</f>
        <v>756512</v>
      </c>
      <c r="C194" s="169">
        <v>7565</v>
      </c>
      <c r="D194" s="165">
        <v>12</v>
      </c>
      <c r="E194" s="165">
        <f>VLOOKUP(presuvigencias[[#This Row],[LLAVE]],ESTRATÉGICO!$C$3:$R$110,16,0)</f>
        <v>62</v>
      </c>
      <c r="F194" s="165">
        <v>33193952892</v>
      </c>
      <c r="G194" s="165">
        <v>33193952892</v>
      </c>
      <c r="H194" s="165">
        <v>2529420904</v>
      </c>
      <c r="I194" s="165">
        <v>2022</v>
      </c>
      <c r="K194" s="165">
        <v>77302</v>
      </c>
      <c r="L194" s="166">
        <v>7730</v>
      </c>
      <c r="M194" s="165">
        <v>2</v>
      </c>
      <c r="N194" s="165">
        <v>75051367</v>
      </c>
      <c r="O194" s="165">
        <v>0</v>
      </c>
      <c r="P194" s="165">
        <f>Reservas[[#This Row],[Suma de VALOR_INICIAL]]-Reservas[[#This Row],[Suma de TOTAL LIBERACIONES]]</f>
        <v>75051367</v>
      </c>
      <c r="Q194" s="165">
        <v>74573367</v>
      </c>
      <c r="R194" s="165">
        <v>2023</v>
      </c>
    </row>
    <row r="195" spans="1:18" x14ac:dyDescent="0.3">
      <c r="A195" s="165" t="str">
        <f>presuvigencias[[#This Row],[PROYECTO]]&amp;presuvigencias[[#This Row],[METAPDD]]</f>
        <v>773021</v>
      </c>
      <c r="B195" s="165" t="str">
        <f>presuvigencias[[#This Row],[PROYECTO]]&amp;presuvigencias[[#This Row],[META]]</f>
        <v>77301</v>
      </c>
      <c r="C195" s="168">
        <v>7730</v>
      </c>
      <c r="D195" s="165">
        <v>1</v>
      </c>
      <c r="E195" s="165">
        <f>VLOOKUP(presuvigencias[[#This Row],[LLAVE]],ESTRATÉGICO!$C$3:$R$110,16,0)</f>
        <v>21</v>
      </c>
      <c r="F195" s="165">
        <v>257747000</v>
      </c>
      <c r="G195" s="165">
        <v>256093540</v>
      </c>
      <c r="H195" s="165">
        <v>191091240</v>
      </c>
      <c r="I195" s="165">
        <v>2022</v>
      </c>
      <c r="K195" s="165">
        <v>77303</v>
      </c>
      <c r="L195" s="167">
        <v>7730</v>
      </c>
      <c r="M195" s="165">
        <v>3</v>
      </c>
      <c r="N195" s="165">
        <v>201882788</v>
      </c>
      <c r="O195" s="165">
        <v>2737800</v>
      </c>
      <c r="P195" s="165">
        <f>Reservas[[#This Row],[Suma de VALOR_INICIAL]]-Reservas[[#This Row],[Suma de TOTAL LIBERACIONES]]</f>
        <v>199144988</v>
      </c>
      <c r="Q195" s="165">
        <v>198934944</v>
      </c>
      <c r="R195" s="165">
        <v>2023</v>
      </c>
    </row>
    <row r="196" spans="1:18" x14ac:dyDescent="0.3">
      <c r="A196" s="165" t="str">
        <f>presuvigencias[[#This Row],[PROYECTO]]&amp;presuvigencias[[#This Row],[METAPDD]]</f>
        <v>773021</v>
      </c>
      <c r="B196" s="165" t="str">
        <f>presuvigencias[[#This Row],[PROYECTO]]&amp;presuvigencias[[#This Row],[META]]</f>
        <v>77302</v>
      </c>
      <c r="C196" s="168">
        <v>7730</v>
      </c>
      <c r="D196" s="165">
        <v>2</v>
      </c>
      <c r="E196" s="165">
        <f>VLOOKUP(presuvigencias[[#This Row],[LLAVE]],ESTRATÉGICO!$C$3:$R$110,16,0)</f>
        <v>21</v>
      </c>
      <c r="F196" s="165">
        <v>254096000</v>
      </c>
      <c r="G196" s="165">
        <v>247025500</v>
      </c>
      <c r="H196" s="165">
        <v>171974133</v>
      </c>
      <c r="I196" s="165">
        <v>2022</v>
      </c>
      <c r="K196" s="165">
        <v>77331</v>
      </c>
      <c r="L196" s="166">
        <v>7733</v>
      </c>
      <c r="M196" s="165">
        <v>1</v>
      </c>
      <c r="N196" s="165">
        <v>316474420</v>
      </c>
      <c r="O196" s="165">
        <v>10755824</v>
      </c>
      <c r="P196" s="165">
        <f>Reservas[[#This Row],[Suma de VALOR_INICIAL]]-Reservas[[#This Row],[Suma de TOTAL LIBERACIONES]]</f>
        <v>305718596</v>
      </c>
      <c r="Q196" s="165">
        <v>305566498</v>
      </c>
      <c r="R196" s="165">
        <v>2023</v>
      </c>
    </row>
    <row r="197" spans="1:18" x14ac:dyDescent="0.3">
      <c r="A197" s="165" t="str">
        <f>presuvigencias[[#This Row],[PROYECTO]]&amp;presuvigencias[[#This Row],[METAPDD]]</f>
        <v>773021</v>
      </c>
      <c r="B197" s="165" t="str">
        <f>presuvigencias[[#This Row],[PROYECTO]]&amp;presuvigencias[[#This Row],[META]]</f>
        <v>77303</v>
      </c>
      <c r="C197" s="169">
        <v>7730</v>
      </c>
      <c r="D197" s="165">
        <v>3</v>
      </c>
      <c r="E197" s="165">
        <f>VLOOKUP(presuvigencias[[#This Row],[LLAVE]],ESTRATÉGICO!$C$3:$R$110,16,0)</f>
        <v>21</v>
      </c>
      <c r="F197" s="165">
        <v>1645866444</v>
      </c>
      <c r="G197" s="165">
        <v>711582548</v>
      </c>
      <c r="H197" s="165">
        <v>509699760</v>
      </c>
      <c r="I197" s="165">
        <v>2022</v>
      </c>
      <c r="K197" s="165">
        <v>77332</v>
      </c>
      <c r="L197" s="166">
        <v>7733</v>
      </c>
      <c r="M197" s="165">
        <v>2</v>
      </c>
      <c r="N197" s="165">
        <v>298928933</v>
      </c>
      <c r="O197" s="165">
        <v>27180714</v>
      </c>
      <c r="P197" s="165">
        <f>Reservas[[#This Row],[Suma de VALOR_INICIAL]]-Reservas[[#This Row],[Suma de TOTAL LIBERACIONES]]</f>
        <v>271748219</v>
      </c>
      <c r="Q197" s="165">
        <v>271748219</v>
      </c>
      <c r="R197" s="165">
        <v>2023</v>
      </c>
    </row>
    <row r="198" spans="1:18" x14ac:dyDescent="0.3">
      <c r="A198" s="165" t="str">
        <f>presuvigencias[[#This Row],[PROYECTO]]&amp;presuvigencias[[#This Row],[METAPDD]]</f>
        <v>7733484</v>
      </c>
      <c r="B198" s="165" t="str">
        <f>presuvigencias[[#This Row],[PROYECTO]]&amp;presuvigencias[[#This Row],[META]]</f>
        <v>77331</v>
      </c>
      <c r="C198" s="168">
        <v>7733</v>
      </c>
      <c r="D198" s="165">
        <v>1</v>
      </c>
      <c r="E198" s="165">
        <f>VLOOKUP(presuvigencias[[#This Row],[LLAVE]],ESTRATÉGICO!$C$3:$R$110,16,0)</f>
        <v>484</v>
      </c>
      <c r="F198" s="165">
        <v>1911231513</v>
      </c>
      <c r="G198" s="165">
        <v>1911182926</v>
      </c>
      <c r="H198" s="165">
        <v>1594708506</v>
      </c>
      <c r="I198" s="165">
        <v>2022</v>
      </c>
      <c r="K198" s="165">
        <v>77333</v>
      </c>
      <c r="L198" s="166">
        <v>7733</v>
      </c>
      <c r="M198" s="165">
        <v>3</v>
      </c>
      <c r="N198" s="165">
        <v>138055663</v>
      </c>
      <c r="O198" s="165">
        <v>15177115</v>
      </c>
      <c r="P198" s="165">
        <f>Reservas[[#This Row],[Suma de VALOR_INICIAL]]-Reservas[[#This Row],[Suma de TOTAL LIBERACIONES]]</f>
        <v>122878548</v>
      </c>
      <c r="Q198" s="165">
        <v>122878548</v>
      </c>
      <c r="R198" s="165">
        <v>2023</v>
      </c>
    </row>
    <row r="199" spans="1:18" x14ac:dyDescent="0.3">
      <c r="A199" s="165" t="str">
        <f>presuvigencias[[#This Row],[PROYECTO]]&amp;presuvigencias[[#This Row],[METAPDD]]</f>
        <v>7733481</v>
      </c>
      <c r="B199" s="165" t="str">
        <f>presuvigencias[[#This Row],[PROYECTO]]&amp;presuvigencias[[#This Row],[META]]</f>
        <v>77332</v>
      </c>
      <c r="C199" s="168">
        <v>7733</v>
      </c>
      <c r="D199" s="165">
        <v>2</v>
      </c>
      <c r="E199" s="165">
        <f>VLOOKUP(presuvigencias[[#This Row],[LLAVE]],ESTRATÉGICO!$C$3:$R$110,16,0)</f>
        <v>481</v>
      </c>
      <c r="F199" s="165">
        <v>1546677882</v>
      </c>
      <c r="G199" s="165">
        <v>1546598746</v>
      </c>
      <c r="H199" s="165">
        <v>1247669813</v>
      </c>
      <c r="I199" s="165">
        <v>2022</v>
      </c>
      <c r="K199" s="165">
        <v>77334</v>
      </c>
      <c r="L199" s="167">
        <v>7733</v>
      </c>
      <c r="M199" s="165">
        <v>4</v>
      </c>
      <c r="N199" s="165">
        <v>82956724</v>
      </c>
      <c r="O199" s="165">
        <v>1</v>
      </c>
      <c r="P199" s="165">
        <f>Reservas[[#This Row],[Suma de VALOR_INICIAL]]-Reservas[[#This Row],[Suma de TOTAL LIBERACIONES]]</f>
        <v>82956723</v>
      </c>
      <c r="Q199" s="165">
        <v>82956723</v>
      </c>
      <c r="R199" s="165">
        <v>2023</v>
      </c>
    </row>
    <row r="200" spans="1:18" x14ac:dyDescent="0.3">
      <c r="A200" s="165" t="str">
        <f>presuvigencias[[#This Row],[PROYECTO]]&amp;presuvigencias[[#This Row],[METAPDD]]</f>
        <v>7733481</v>
      </c>
      <c r="B200" s="165" t="str">
        <f>presuvigencias[[#This Row],[PROYECTO]]&amp;presuvigencias[[#This Row],[META]]</f>
        <v>77333</v>
      </c>
      <c r="C200" s="168">
        <v>7733</v>
      </c>
      <c r="D200" s="165">
        <v>3</v>
      </c>
      <c r="E200" s="165">
        <f>VLOOKUP(presuvigencias[[#This Row],[LLAVE]],ESTRATÉGICO!$C$3:$R$110,16,0)</f>
        <v>481</v>
      </c>
      <c r="F200" s="165">
        <v>952684411</v>
      </c>
      <c r="G200" s="165">
        <v>950704848</v>
      </c>
      <c r="H200" s="165">
        <v>812649185</v>
      </c>
      <c r="I200" s="165">
        <v>2022</v>
      </c>
      <c r="K200" s="165">
        <v>77351</v>
      </c>
      <c r="L200" s="166">
        <v>7735</v>
      </c>
      <c r="M200" s="165">
        <v>1</v>
      </c>
      <c r="N200" s="165">
        <v>214262201</v>
      </c>
      <c r="O200" s="165">
        <v>0</v>
      </c>
      <c r="P200" s="165">
        <f>Reservas[[#This Row],[Suma de VALOR_INICIAL]]-Reservas[[#This Row],[Suma de TOTAL LIBERACIONES]]</f>
        <v>214262201</v>
      </c>
      <c r="Q200" s="165">
        <v>200248934</v>
      </c>
      <c r="R200" s="165">
        <v>2023</v>
      </c>
    </row>
    <row r="201" spans="1:18" x14ac:dyDescent="0.3">
      <c r="A201" s="165" t="str">
        <f>presuvigencias[[#This Row],[PROYECTO]]&amp;presuvigencias[[#This Row],[METAPDD]]</f>
        <v>7733481</v>
      </c>
      <c r="B201" s="165" t="str">
        <f>presuvigencias[[#This Row],[PROYECTO]]&amp;presuvigencias[[#This Row],[META]]</f>
        <v>77334</v>
      </c>
      <c r="C201" s="169">
        <v>7733</v>
      </c>
      <c r="D201" s="165">
        <v>4</v>
      </c>
      <c r="E201" s="165">
        <f>VLOOKUP(presuvigencias[[#This Row],[LLAVE]],ESTRATÉGICO!$C$3:$R$110,16,0)</f>
        <v>481</v>
      </c>
      <c r="F201" s="165">
        <v>506558194</v>
      </c>
      <c r="G201" s="165">
        <v>506558194</v>
      </c>
      <c r="H201" s="165">
        <v>423601470</v>
      </c>
      <c r="I201" s="165">
        <v>2022</v>
      </c>
      <c r="K201" s="165">
        <v>77352</v>
      </c>
      <c r="L201" s="166">
        <v>7735</v>
      </c>
      <c r="M201" s="165">
        <v>2</v>
      </c>
      <c r="N201" s="165">
        <v>451195715</v>
      </c>
      <c r="O201" s="165">
        <v>0</v>
      </c>
      <c r="P201" s="165">
        <f>Reservas[[#This Row],[Suma de VALOR_INICIAL]]-Reservas[[#This Row],[Suma de TOTAL LIBERACIONES]]</f>
        <v>451195715</v>
      </c>
      <c r="Q201" s="165">
        <v>442108315</v>
      </c>
      <c r="R201" s="165">
        <v>2023</v>
      </c>
    </row>
    <row r="202" spans="1:18" x14ac:dyDescent="0.3">
      <c r="A202" s="165" t="str">
        <f>presuvigencias[[#This Row],[PROYECTO]]&amp;presuvigencias[[#This Row],[METAPDD]]</f>
        <v>7735545</v>
      </c>
      <c r="B202" s="165" t="str">
        <f>presuvigencias[[#This Row],[PROYECTO]]&amp;presuvigencias[[#This Row],[META]]</f>
        <v>77351</v>
      </c>
      <c r="C202" s="168">
        <v>7735</v>
      </c>
      <c r="D202" s="165">
        <v>1</v>
      </c>
      <c r="E202" s="165">
        <f>VLOOKUP(presuvigencias[[#This Row],[LLAVE]],ESTRATÉGICO!$C$3:$R$110,16,0)</f>
        <v>545</v>
      </c>
      <c r="F202" s="165">
        <v>607176370</v>
      </c>
      <c r="G202" s="165">
        <v>596383120</v>
      </c>
      <c r="H202" s="165">
        <v>382120919</v>
      </c>
      <c r="I202" s="165">
        <v>2022</v>
      </c>
      <c r="K202" s="165">
        <v>77353</v>
      </c>
      <c r="L202" s="166">
        <v>7735</v>
      </c>
      <c r="M202" s="165">
        <v>3</v>
      </c>
      <c r="N202" s="165">
        <v>215732334</v>
      </c>
      <c r="O202" s="165">
        <v>0</v>
      </c>
      <c r="P202" s="165">
        <f>Reservas[[#This Row],[Suma de VALOR_INICIAL]]-Reservas[[#This Row],[Suma de TOTAL LIBERACIONES]]</f>
        <v>215732334</v>
      </c>
      <c r="Q202" s="165">
        <v>199585901</v>
      </c>
      <c r="R202" s="165">
        <v>2023</v>
      </c>
    </row>
    <row r="203" spans="1:18" x14ac:dyDescent="0.3">
      <c r="A203" s="165" t="str">
        <f>presuvigencias[[#This Row],[PROYECTO]]&amp;presuvigencias[[#This Row],[METAPDD]]</f>
        <v>7735545</v>
      </c>
      <c r="B203" s="165" t="str">
        <f>presuvigencias[[#This Row],[PROYECTO]]&amp;presuvigencias[[#This Row],[META]]</f>
        <v>77352</v>
      </c>
      <c r="C203" s="168">
        <v>7735</v>
      </c>
      <c r="D203" s="165">
        <v>2</v>
      </c>
      <c r="E203" s="165">
        <f>VLOOKUP(presuvigencias[[#This Row],[LLAVE]],ESTRATÉGICO!$C$3:$R$110,16,0)</f>
        <v>545</v>
      </c>
      <c r="F203" s="165">
        <v>1483242482</v>
      </c>
      <c r="G203" s="165">
        <v>1404165888</v>
      </c>
      <c r="H203" s="165">
        <v>952970173</v>
      </c>
      <c r="I203" s="165">
        <v>2022</v>
      </c>
      <c r="K203" s="165">
        <v>77354</v>
      </c>
      <c r="L203" s="166">
        <v>7735</v>
      </c>
      <c r="M203" s="165">
        <v>4</v>
      </c>
      <c r="N203" s="165">
        <v>558232734</v>
      </c>
      <c r="O203" s="165">
        <v>3537000</v>
      </c>
      <c r="P203" s="165">
        <f>Reservas[[#This Row],[Suma de VALOR_INICIAL]]-Reservas[[#This Row],[Suma de TOTAL LIBERACIONES]]</f>
        <v>554695734</v>
      </c>
      <c r="Q203" s="165">
        <v>550633484</v>
      </c>
      <c r="R203" s="165">
        <v>2023</v>
      </c>
    </row>
    <row r="204" spans="1:18" x14ac:dyDescent="0.3">
      <c r="A204" s="165" t="str">
        <f>presuvigencias[[#This Row],[PROYECTO]]&amp;presuvigencias[[#This Row],[METAPDD]]</f>
        <v>7735546</v>
      </c>
      <c r="B204" s="165" t="str">
        <f>presuvigencias[[#This Row],[PROYECTO]]&amp;presuvigencias[[#This Row],[META]]</f>
        <v>77353</v>
      </c>
      <c r="C204" s="168">
        <v>7735</v>
      </c>
      <c r="D204" s="165">
        <v>3</v>
      </c>
      <c r="E204" s="165">
        <f>VLOOKUP(presuvigencias[[#This Row],[LLAVE]],ESTRATÉGICO!$C$3:$R$110,16,0)</f>
        <v>546</v>
      </c>
      <c r="F204" s="165">
        <v>578809470</v>
      </c>
      <c r="G204" s="165">
        <v>538809470</v>
      </c>
      <c r="H204" s="165">
        <v>323077136</v>
      </c>
      <c r="I204" s="165">
        <v>2022</v>
      </c>
      <c r="K204" s="165">
        <v>77355</v>
      </c>
      <c r="L204" s="167">
        <v>7735</v>
      </c>
      <c r="M204" s="165">
        <v>5</v>
      </c>
      <c r="N204" s="165">
        <v>409266198</v>
      </c>
      <c r="O204" s="165">
        <v>0</v>
      </c>
      <c r="P204" s="165">
        <f>Reservas[[#This Row],[Suma de VALOR_INICIAL]]-Reservas[[#This Row],[Suma de TOTAL LIBERACIONES]]</f>
        <v>409266198</v>
      </c>
      <c r="Q204" s="165">
        <v>378872875</v>
      </c>
      <c r="R204" s="165">
        <v>2023</v>
      </c>
    </row>
    <row r="205" spans="1:18" x14ac:dyDescent="0.3">
      <c r="A205" s="165" t="str">
        <f>presuvigencias[[#This Row],[PROYECTO]]&amp;presuvigencias[[#This Row],[METAPDD]]</f>
        <v>7735545</v>
      </c>
      <c r="B205" s="165" t="str">
        <f>presuvigencias[[#This Row],[PROYECTO]]&amp;presuvigencias[[#This Row],[META]]</f>
        <v>77354</v>
      </c>
      <c r="C205" s="168">
        <v>7735</v>
      </c>
      <c r="D205" s="165">
        <v>4</v>
      </c>
      <c r="E205" s="165">
        <f>VLOOKUP(presuvigencias[[#This Row],[LLAVE]],ESTRATÉGICO!$C$3:$R$110,16,0)</f>
        <v>545</v>
      </c>
      <c r="F205" s="165">
        <v>2785866077</v>
      </c>
      <c r="G205" s="165">
        <v>2380050999</v>
      </c>
      <c r="H205" s="165">
        <v>1821818265</v>
      </c>
      <c r="I205" s="165">
        <v>2022</v>
      </c>
      <c r="K205" s="165">
        <v>77401</v>
      </c>
      <c r="L205" s="166">
        <v>7740</v>
      </c>
      <c r="M205" s="165">
        <v>1</v>
      </c>
      <c r="N205" s="165">
        <v>100911267</v>
      </c>
      <c r="O205" s="165">
        <v>6964100</v>
      </c>
      <c r="P205" s="165">
        <f>Reservas[[#This Row],[Suma de VALOR_INICIAL]]-Reservas[[#This Row],[Suma de TOTAL LIBERACIONES]]</f>
        <v>93947167</v>
      </c>
      <c r="Q205" s="165">
        <v>93947167</v>
      </c>
      <c r="R205" s="165">
        <v>2023</v>
      </c>
    </row>
    <row r="206" spans="1:18" x14ac:dyDescent="0.3">
      <c r="A206" s="165" t="str">
        <f>presuvigencias[[#This Row],[PROYECTO]]&amp;presuvigencias[[#This Row],[METAPDD]]</f>
        <v>7735545</v>
      </c>
      <c r="B206" s="165" t="str">
        <f>presuvigencias[[#This Row],[PROYECTO]]&amp;presuvigencias[[#This Row],[META]]</f>
        <v>77355</v>
      </c>
      <c r="C206" s="169">
        <v>7735</v>
      </c>
      <c r="D206" s="165">
        <v>5</v>
      </c>
      <c r="E206" s="165">
        <f>VLOOKUP(presuvigencias[[#This Row],[LLAVE]],ESTRATÉGICO!$C$3:$R$110,16,0)</f>
        <v>545</v>
      </c>
      <c r="F206" s="165">
        <v>1142023430</v>
      </c>
      <c r="G206" s="165">
        <v>1134038930</v>
      </c>
      <c r="H206" s="165">
        <v>724772732</v>
      </c>
      <c r="I206" s="165">
        <v>2022</v>
      </c>
      <c r="K206" s="165">
        <v>77402</v>
      </c>
      <c r="L206" s="166">
        <v>7740</v>
      </c>
      <c r="M206" s="165">
        <v>2</v>
      </c>
      <c r="N206" s="165">
        <v>29948067</v>
      </c>
      <c r="O206" s="165">
        <v>0</v>
      </c>
      <c r="P206" s="165">
        <f>Reservas[[#This Row],[Suma de VALOR_INICIAL]]-Reservas[[#This Row],[Suma de TOTAL LIBERACIONES]]</f>
        <v>29948067</v>
      </c>
      <c r="Q206" s="165">
        <v>29948067</v>
      </c>
      <c r="R206" s="165">
        <v>2023</v>
      </c>
    </row>
    <row r="207" spans="1:18" x14ac:dyDescent="0.3">
      <c r="A207" s="165" t="str">
        <f>presuvigencias[[#This Row],[PROYECTO]]&amp;presuvigencias[[#This Row],[METAPDD]]</f>
        <v>7740114</v>
      </c>
      <c r="B207" s="165" t="str">
        <f>presuvigencias[[#This Row],[PROYECTO]]&amp;presuvigencias[[#This Row],[META]]</f>
        <v>77401</v>
      </c>
      <c r="C207" s="168">
        <v>7740</v>
      </c>
      <c r="D207" s="165">
        <v>1</v>
      </c>
      <c r="E207" s="165">
        <f>VLOOKUP(presuvigencias[[#This Row],[LLAVE]],ESTRATÉGICO!$C$3:$R$110,16,0)</f>
        <v>114</v>
      </c>
      <c r="F207" s="165">
        <v>909689500</v>
      </c>
      <c r="G207" s="165">
        <v>892530499.85000002</v>
      </c>
      <c r="H207" s="165">
        <v>791466949.31437695</v>
      </c>
      <c r="I207" s="165">
        <v>2022</v>
      </c>
      <c r="K207" s="165">
        <v>77403</v>
      </c>
      <c r="L207" s="166">
        <v>7740</v>
      </c>
      <c r="M207" s="165">
        <v>3</v>
      </c>
      <c r="N207" s="165">
        <v>651021364</v>
      </c>
      <c r="O207" s="165">
        <v>131000</v>
      </c>
      <c r="P207" s="165">
        <f>Reservas[[#This Row],[Suma de VALOR_INICIAL]]-Reservas[[#This Row],[Suma de TOTAL LIBERACIONES]]</f>
        <v>650890364</v>
      </c>
      <c r="Q207" s="165">
        <v>579652301</v>
      </c>
      <c r="R207" s="165">
        <v>2023</v>
      </c>
    </row>
    <row r="208" spans="1:18" x14ac:dyDescent="0.3">
      <c r="A208" s="165" t="str">
        <f>presuvigencias[[#This Row],[PROYECTO]]&amp;presuvigencias[[#This Row],[METAPDD]]</f>
        <v>7740114</v>
      </c>
      <c r="B208" s="165" t="str">
        <f>presuvigencias[[#This Row],[PROYECTO]]&amp;presuvigencias[[#This Row],[META]]</f>
        <v>77402</v>
      </c>
      <c r="C208" s="168">
        <v>7740</v>
      </c>
      <c r="D208" s="165">
        <v>2</v>
      </c>
      <c r="E208" s="165">
        <f>VLOOKUP(presuvigencias[[#This Row],[LLAVE]],ESTRATÉGICO!$C$3:$R$110,16,0)</f>
        <v>114</v>
      </c>
      <c r="F208" s="165">
        <v>298321500</v>
      </c>
      <c r="G208" s="165">
        <v>290461500</v>
      </c>
      <c r="H208" s="165">
        <v>260513433</v>
      </c>
      <c r="I208" s="165">
        <v>2022</v>
      </c>
      <c r="K208" s="165">
        <v>77404</v>
      </c>
      <c r="L208" s="166">
        <v>7740</v>
      </c>
      <c r="M208" s="165">
        <v>4</v>
      </c>
      <c r="N208" s="165">
        <v>658717392</v>
      </c>
      <c r="O208" s="165">
        <v>45067113</v>
      </c>
      <c r="P208" s="165">
        <f>Reservas[[#This Row],[Suma de VALOR_INICIAL]]-Reservas[[#This Row],[Suma de TOTAL LIBERACIONES]]</f>
        <v>613650279</v>
      </c>
      <c r="Q208" s="165">
        <v>583006715</v>
      </c>
      <c r="R208" s="165">
        <v>2023</v>
      </c>
    </row>
    <row r="209" spans="1:18" x14ac:dyDescent="0.3">
      <c r="A209" s="165" t="str">
        <f>presuvigencias[[#This Row],[PROYECTO]]&amp;presuvigencias[[#This Row],[METAPDD]]</f>
        <v>7740113</v>
      </c>
      <c r="B209" s="165" t="str">
        <f>presuvigencias[[#This Row],[PROYECTO]]&amp;presuvigencias[[#This Row],[META]]</f>
        <v>77403</v>
      </c>
      <c r="C209" s="168">
        <v>7740</v>
      </c>
      <c r="D209" s="165">
        <v>3</v>
      </c>
      <c r="E209" s="165">
        <f>VLOOKUP(presuvigencias[[#This Row],[LLAVE]],ESTRATÉGICO!$C$3:$R$110,16,0)</f>
        <v>113</v>
      </c>
      <c r="F209" s="165">
        <v>8700508500</v>
      </c>
      <c r="G209" s="165">
        <v>8700061839</v>
      </c>
      <c r="H209" s="165">
        <v>8049040475</v>
      </c>
      <c r="I209" s="165">
        <v>2022</v>
      </c>
      <c r="K209" s="165">
        <v>77405</v>
      </c>
      <c r="L209" s="167">
        <v>7740</v>
      </c>
      <c r="M209" s="165">
        <v>5</v>
      </c>
      <c r="N209" s="165">
        <v>336693070</v>
      </c>
      <c r="O209" s="165">
        <v>27164800</v>
      </c>
      <c r="P209" s="165">
        <f>Reservas[[#This Row],[Suma de VALOR_INICIAL]]-Reservas[[#This Row],[Suma de TOTAL LIBERACIONES]]</f>
        <v>309528270</v>
      </c>
      <c r="Q209" s="165">
        <v>309372273</v>
      </c>
      <c r="R209" s="165">
        <v>2023</v>
      </c>
    </row>
    <row r="210" spans="1:18" x14ac:dyDescent="0.3">
      <c r="A210" s="165" t="str">
        <f>presuvigencias[[#This Row],[PROYECTO]]&amp;presuvigencias[[#This Row],[METAPDD]]</f>
        <v>7740114</v>
      </c>
      <c r="B210" s="165" t="str">
        <f>presuvigencias[[#This Row],[PROYECTO]]&amp;presuvigencias[[#This Row],[META]]</f>
        <v>77404</v>
      </c>
      <c r="C210" s="168">
        <v>7740</v>
      </c>
      <c r="D210" s="165">
        <v>4</v>
      </c>
      <c r="E210" s="165">
        <f>VLOOKUP(presuvigencias[[#This Row],[LLAVE]],ESTRATÉGICO!$C$3:$R$110,16,0)</f>
        <v>114</v>
      </c>
      <c r="F210" s="165">
        <v>4047280660</v>
      </c>
      <c r="G210" s="165">
        <v>4001042650.1499996</v>
      </c>
      <c r="H210" s="165">
        <v>3342477541.6856232</v>
      </c>
      <c r="I210" s="165">
        <v>2022</v>
      </c>
      <c r="K210" s="165">
        <v>77411</v>
      </c>
      <c r="L210" s="166">
        <v>7741</v>
      </c>
      <c r="M210" s="165">
        <v>1</v>
      </c>
      <c r="N210" s="165">
        <v>2915387137</v>
      </c>
      <c r="O210" s="165">
        <v>22205375</v>
      </c>
      <c r="P210" s="165">
        <f>Reservas[[#This Row],[Suma de VALOR_INICIAL]]-Reservas[[#This Row],[Suma de TOTAL LIBERACIONES]]</f>
        <v>2893181762</v>
      </c>
      <c r="Q210" s="165">
        <v>2893181762</v>
      </c>
      <c r="R210" s="165">
        <v>2023</v>
      </c>
    </row>
    <row r="211" spans="1:18" x14ac:dyDescent="0.3">
      <c r="A211" s="165" t="str">
        <f>presuvigencias[[#This Row],[PROYECTO]]&amp;presuvigencias[[#This Row],[METAPDD]]</f>
        <v>7740110</v>
      </c>
      <c r="B211" s="165" t="str">
        <f>presuvigencias[[#This Row],[PROYECTO]]&amp;presuvigencias[[#This Row],[META]]</f>
        <v>77405</v>
      </c>
      <c r="C211" s="169">
        <v>7740</v>
      </c>
      <c r="D211" s="165">
        <v>5</v>
      </c>
      <c r="E211" s="165">
        <f>VLOOKUP(presuvigencias[[#This Row],[LLAVE]],ESTRATÉGICO!$C$3:$R$110,16,0)</f>
        <v>110</v>
      </c>
      <c r="F211" s="165">
        <v>2487187340</v>
      </c>
      <c r="G211" s="165">
        <v>2462917340</v>
      </c>
      <c r="H211" s="165">
        <v>2126224270</v>
      </c>
      <c r="I211" s="165">
        <v>2022</v>
      </c>
      <c r="K211" s="165">
        <v>77412</v>
      </c>
      <c r="L211" s="166">
        <v>7741</v>
      </c>
      <c r="M211" s="165">
        <v>2</v>
      </c>
      <c r="N211" s="165">
        <v>448562449</v>
      </c>
      <c r="O211" s="165">
        <v>17808500</v>
      </c>
      <c r="P211" s="165">
        <f>Reservas[[#This Row],[Suma de VALOR_INICIAL]]-Reservas[[#This Row],[Suma de TOTAL LIBERACIONES]]</f>
        <v>430753949</v>
      </c>
      <c r="Q211" s="165">
        <v>430753949</v>
      </c>
      <c r="R211" s="165">
        <v>2023</v>
      </c>
    </row>
    <row r="212" spans="1:18" x14ac:dyDescent="0.3">
      <c r="A212" s="165" t="str">
        <f>presuvigencias[[#This Row],[PROYECTO]]&amp;presuvigencias[[#This Row],[METAPDD]]</f>
        <v>7741412</v>
      </c>
      <c r="B212" s="165" t="str">
        <f>presuvigencias[[#This Row],[PROYECTO]]&amp;presuvigencias[[#This Row],[META]]</f>
        <v>77411</v>
      </c>
      <c r="C212" s="168">
        <v>7741</v>
      </c>
      <c r="D212" s="165">
        <v>1</v>
      </c>
      <c r="E212" s="165">
        <f>VLOOKUP(presuvigencias[[#This Row],[LLAVE]],ESTRATÉGICO!$C$3:$R$110,16,0)</f>
        <v>412</v>
      </c>
      <c r="F212" s="165">
        <v>8180402811</v>
      </c>
      <c r="G212" s="165">
        <v>8172508779</v>
      </c>
      <c r="H212" s="165">
        <v>5257121642</v>
      </c>
      <c r="I212" s="165">
        <v>2022</v>
      </c>
      <c r="K212" s="165">
        <v>77413</v>
      </c>
      <c r="L212" s="166">
        <v>7741</v>
      </c>
      <c r="M212" s="165">
        <v>3</v>
      </c>
      <c r="N212" s="165">
        <v>170069466</v>
      </c>
      <c r="O212" s="165">
        <v>0</v>
      </c>
      <c r="P212" s="165">
        <f>Reservas[[#This Row],[Suma de VALOR_INICIAL]]-Reservas[[#This Row],[Suma de TOTAL LIBERACIONES]]</f>
        <v>170069466</v>
      </c>
      <c r="Q212" s="165">
        <v>170069466</v>
      </c>
      <c r="R212" s="165">
        <v>2023</v>
      </c>
    </row>
    <row r="213" spans="1:18" x14ac:dyDescent="0.3">
      <c r="A213" s="165" t="str">
        <f>presuvigencias[[#This Row],[PROYECTO]]&amp;presuvigencias[[#This Row],[METAPDD]]</f>
        <v>7741412</v>
      </c>
      <c r="B213" s="165" t="str">
        <f>presuvigencias[[#This Row],[PROYECTO]]&amp;presuvigencias[[#This Row],[META]]</f>
        <v>77412</v>
      </c>
      <c r="C213" s="168">
        <v>7741</v>
      </c>
      <c r="D213" s="165">
        <v>2</v>
      </c>
      <c r="E213" s="165">
        <f>VLOOKUP(presuvigencias[[#This Row],[LLAVE]],ESTRATÉGICO!$C$3:$R$110,16,0)</f>
        <v>412</v>
      </c>
      <c r="F213" s="165">
        <v>4420378087</v>
      </c>
      <c r="G213" s="165">
        <v>4411206116</v>
      </c>
      <c r="H213" s="165">
        <v>3962643667</v>
      </c>
      <c r="I213" s="165">
        <v>2022</v>
      </c>
      <c r="K213" s="165">
        <v>77414</v>
      </c>
      <c r="L213" s="166">
        <v>7741</v>
      </c>
      <c r="M213" s="165">
        <v>4</v>
      </c>
      <c r="N213" s="165">
        <v>95506500</v>
      </c>
      <c r="O213" s="165">
        <v>0</v>
      </c>
      <c r="P213" s="165">
        <f>Reservas[[#This Row],[Suma de VALOR_INICIAL]]-Reservas[[#This Row],[Suma de TOTAL LIBERACIONES]]</f>
        <v>95506500</v>
      </c>
      <c r="Q213" s="165">
        <v>95506500</v>
      </c>
      <c r="R213" s="165">
        <v>2023</v>
      </c>
    </row>
    <row r="214" spans="1:18" x14ac:dyDescent="0.3">
      <c r="A214" s="165" t="str">
        <f>presuvigencias[[#This Row],[PROYECTO]]&amp;presuvigencias[[#This Row],[METAPDD]]</f>
        <v>7741411</v>
      </c>
      <c r="B214" s="165" t="str">
        <f>presuvigencias[[#This Row],[PROYECTO]]&amp;presuvigencias[[#This Row],[META]]</f>
        <v>77413</v>
      </c>
      <c r="C214" s="168">
        <v>7741</v>
      </c>
      <c r="D214" s="165">
        <v>3</v>
      </c>
      <c r="E214" s="165">
        <f>VLOOKUP(presuvigencias[[#This Row],[LLAVE]],ESTRATÉGICO!$C$3:$R$110,16,0)</f>
        <v>411</v>
      </c>
      <c r="F214" s="165">
        <v>1279802466</v>
      </c>
      <c r="G214" s="165">
        <v>1279802466</v>
      </c>
      <c r="H214" s="165">
        <v>1109733000</v>
      </c>
      <c r="I214" s="165">
        <v>2022</v>
      </c>
      <c r="K214" s="165">
        <v>77415</v>
      </c>
      <c r="L214" s="166">
        <v>7741</v>
      </c>
      <c r="M214" s="165">
        <v>5</v>
      </c>
      <c r="N214" s="165">
        <v>702646734</v>
      </c>
      <c r="O214" s="165">
        <v>10001000</v>
      </c>
      <c r="P214" s="165">
        <f>Reservas[[#This Row],[Suma de VALOR_INICIAL]]-Reservas[[#This Row],[Suma de TOTAL LIBERACIONES]]</f>
        <v>692645734</v>
      </c>
      <c r="Q214" s="165">
        <v>692645734</v>
      </c>
      <c r="R214" s="165">
        <v>2023</v>
      </c>
    </row>
    <row r="215" spans="1:18" x14ac:dyDescent="0.3">
      <c r="A215" s="165" t="str">
        <f>presuvigencias[[#This Row],[PROYECTO]]&amp;presuvigencias[[#This Row],[METAPDD]]</f>
        <v>7741411</v>
      </c>
      <c r="B215" s="165" t="str">
        <f>presuvigencias[[#This Row],[PROYECTO]]&amp;presuvigencias[[#This Row],[META]]</f>
        <v>77414</v>
      </c>
      <c r="C215" s="168">
        <v>7741</v>
      </c>
      <c r="D215" s="165">
        <v>4</v>
      </c>
      <c r="E215" s="165">
        <f>VLOOKUP(presuvigencias[[#This Row],[LLAVE]],ESTRATÉGICO!$C$3:$R$110,16,0)</f>
        <v>411</v>
      </c>
      <c r="F215" s="165">
        <v>649980466</v>
      </c>
      <c r="G215" s="165">
        <v>649980466</v>
      </c>
      <c r="H215" s="165">
        <v>554473966</v>
      </c>
      <c r="I215" s="165">
        <v>2022</v>
      </c>
      <c r="K215" s="165">
        <v>77416</v>
      </c>
      <c r="L215" s="166">
        <v>7741</v>
      </c>
      <c r="M215" s="165">
        <v>6</v>
      </c>
      <c r="N215" s="165">
        <v>91576100</v>
      </c>
      <c r="O215" s="165">
        <v>0</v>
      </c>
      <c r="P215" s="165">
        <f>Reservas[[#This Row],[Suma de VALOR_INICIAL]]-Reservas[[#This Row],[Suma de TOTAL LIBERACIONES]]</f>
        <v>91576100</v>
      </c>
      <c r="Q215" s="165">
        <v>91576100</v>
      </c>
      <c r="R215" s="165">
        <v>2023</v>
      </c>
    </row>
    <row r="216" spans="1:18" x14ac:dyDescent="0.3">
      <c r="A216" s="165" t="str">
        <f>presuvigencias[[#This Row],[PROYECTO]]&amp;presuvigencias[[#This Row],[METAPDD]]</f>
        <v>7741412</v>
      </c>
      <c r="B216" s="165" t="str">
        <f>presuvigencias[[#This Row],[PROYECTO]]&amp;presuvigencias[[#This Row],[META]]</f>
        <v>77415</v>
      </c>
      <c r="C216" s="168">
        <v>7741</v>
      </c>
      <c r="D216" s="165">
        <v>5</v>
      </c>
      <c r="E216" s="165">
        <f>VLOOKUP(presuvigencias[[#This Row],[LLAVE]],ESTRATÉGICO!$C$3:$R$110,16,0)</f>
        <v>412</v>
      </c>
      <c r="F216" s="165">
        <v>3652931433</v>
      </c>
      <c r="G216" s="165">
        <v>3652931433</v>
      </c>
      <c r="H216" s="165">
        <v>2950284699</v>
      </c>
      <c r="I216" s="165">
        <v>2022</v>
      </c>
      <c r="K216" s="165">
        <v>77417</v>
      </c>
      <c r="L216" s="166">
        <v>7741</v>
      </c>
      <c r="M216" s="165">
        <v>7</v>
      </c>
      <c r="N216" s="165">
        <v>21510000</v>
      </c>
      <c r="O216" s="165">
        <v>0</v>
      </c>
      <c r="P216" s="165">
        <f>Reservas[[#This Row],[Suma de VALOR_INICIAL]]-Reservas[[#This Row],[Suma de TOTAL LIBERACIONES]]</f>
        <v>21510000</v>
      </c>
      <c r="Q216" s="165">
        <v>21510000</v>
      </c>
      <c r="R216" s="165">
        <v>2023</v>
      </c>
    </row>
    <row r="217" spans="1:18" x14ac:dyDescent="0.3">
      <c r="A217" s="165" t="str">
        <f>presuvigencias[[#This Row],[PROYECTO]]&amp;presuvigencias[[#This Row],[METAPDD]]</f>
        <v>7741412</v>
      </c>
      <c r="B217" s="165" t="str">
        <f>presuvigencias[[#This Row],[PROYECTO]]&amp;presuvigencias[[#This Row],[META]]</f>
        <v>77416</v>
      </c>
      <c r="C217" s="168">
        <v>7741</v>
      </c>
      <c r="D217" s="165">
        <v>6</v>
      </c>
      <c r="E217" s="165">
        <f>VLOOKUP(presuvigencias[[#This Row],[LLAVE]],ESTRATÉGICO!$C$3:$R$110,16,0)</f>
        <v>412</v>
      </c>
      <c r="F217" s="165">
        <v>772120235</v>
      </c>
      <c r="G217" s="165">
        <v>772120235</v>
      </c>
      <c r="H217" s="165">
        <v>680544135</v>
      </c>
      <c r="I217" s="165">
        <v>2022</v>
      </c>
      <c r="K217" s="165">
        <v>77418</v>
      </c>
      <c r="L217" s="167">
        <v>7741</v>
      </c>
      <c r="M217" s="165">
        <v>8</v>
      </c>
      <c r="N217" s="165">
        <v>154006203</v>
      </c>
      <c r="O217" s="165">
        <v>2652300</v>
      </c>
      <c r="P217" s="165">
        <f>Reservas[[#This Row],[Suma de VALOR_INICIAL]]-Reservas[[#This Row],[Suma de TOTAL LIBERACIONES]]</f>
        <v>151353903</v>
      </c>
      <c r="Q217" s="165">
        <v>151353903</v>
      </c>
      <c r="R217" s="165">
        <v>2023</v>
      </c>
    </row>
    <row r="218" spans="1:18" x14ac:dyDescent="0.3">
      <c r="A218" s="165" t="str">
        <f>presuvigencias[[#This Row],[PROYECTO]]&amp;presuvigencias[[#This Row],[METAPDD]]</f>
        <v>7741412</v>
      </c>
      <c r="B218" s="165" t="str">
        <f>presuvigencias[[#This Row],[PROYECTO]]&amp;presuvigencias[[#This Row],[META]]</f>
        <v>77417</v>
      </c>
      <c r="C218" s="168">
        <v>7741</v>
      </c>
      <c r="D218" s="165">
        <v>7</v>
      </c>
      <c r="E218" s="165">
        <f>VLOOKUP(presuvigencias[[#This Row],[LLAVE]],ESTRATÉGICO!$C$3:$R$110,16,0)</f>
        <v>412</v>
      </c>
      <c r="F218" s="165">
        <v>244497000</v>
      </c>
      <c r="G218" s="165">
        <v>244497000</v>
      </c>
      <c r="H218" s="165">
        <v>222987000</v>
      </c>
      <c r="I218" s="165">
        <v>2022</v>
      </c>
      <c r="K218" s="165">
        <v>77441</v>
      </c>
      <c r="L218" s="166">
        <v>7744</v>
      </c>
      <c r="M218" s="165">
        <v>1</v>
      </c>
      <c r="N218" s="165">
        <v>262761746</v>
      </c>
      <c r="O218" s="165">
        <v>23696835</v>
      </c>
      <c r="P218" s="165">
        <f>Reservas[[#This Row],[Suma de VALOR_INICIAL]]-Reservas[[#This Row],[Suma de TOTAL LIBERACIONES]]</f>
        <v>239064911</v>
      </c>
      <c r="Q218" s="165">
        <v>234064785</v>
      </c>
      <c r="R218" s="165">
        <v>2023</v>
      </c>
    </row>
    <row r="219" spans="1:18" x14ac:dyDescent="0.3">
      <c r="A219" s="165" t="str">
        <f>presuvigencias[[#This Row],[PROYECTO]]&amp;presuvigencias[[#This Row],[METAPDD]]</f>
        <v>7741412</v>
      </c>
      <c r="B219" s="165" t="str">
        <f>presuvigencias[[#This Row],[PROYECTO]]&amp;presuvigencias[[#This Row],[META]]</f>
        <v>77418</v>
      </c>
      <c r="C219" s="169">
        <v>7741</v>
      </c>
      <c r="D219" s="165">
        <v>8</v>
      </c>
      <c r="E219" s="165">
        <f>VLOOKUP(presuvigencias[[#This Row],[LLAVE]],ESTRATÉGICO!$C$3:$R$110,16,0)</f>
        <v>412</v>
      </c>
      <c r="F219" s="165">
        <v>1797362502</v>
      </c>
      <c r="G219" s="165">
        <v>1797362502</v>
      </c>
      <c r="H219" s="165">
        <v>1643356299</v>
      </c>
      <c r="I219" s="165">
        <v>2022</v>
      </c>
      <c r="K219" s="165">
        <v>77442</v>
      </c>
      <c r="L219" s="166">
        <v>7744</v>
      </c>
      <c r="M219" s="165">
        <v>2</v>
      </c>
      <c r="N219" s="165">
        <v>29770596236</v>
      </c>
      <c r="O219" s="165">
        <v>1868088620</v>
      </c>
      <c r="P219" s="165">
        <f>Reservas[[#This Row],[Suma de VALOR_INICIAL]]-Reservas[[#This Row],[Suma de TOTAL LIBERACIONES]]</f>
        <v>27902507616</v>
      </c>
      <c r="Q219" s="165">
        <v>25641266446</v>
      </c>
      <c r="R219" s="165">
        <v>2023</v>
      </c>
    </row>
    <row r="220" spans="1:18" x14ac:dyDescent="0.3">
      <c r="A220" s="165" t="str">
        <f>presuvigencias[[#This Row],[PROYECTO]]&amp;presuvigencias[[#This Row],[METAPDD]]</f>
        <v>774441</v>
      </c>
      <c r="B220" s="165" t="str">
        <f>presuvigencias[[#This Row],[PROYECTO]]&amp;presuvigencias[[#This Row],[META]]</f>
        <v>77441</v>
      </c>
      <c r="C220" s="168">
        <v>7744</v>
      </c>
      <c r="D220" s="165">
        <v>1</v>
      </c>
      <c r="E220" s="165">
        <f>VLOOKUP(presuvigencias[[#This Row],[LLAVE]],ESTRATÉGICO!$C$3:$R$110,16,0)</f>
        <v>41</v>
      </c>
      <c r="F220" s="165">
        <v>1768323258</v>
      </c>
      <c r="G220" s="165">
        <v>1757351424</v>
      </c>
      <c r="H220" s="165">
        <v>1495376257.4406054</v>
      </c>
      <c r="I220" s="165">
        <v>2022</v>
      </c>
      <c r="K220" s="165">
        <v>77443</v>
      </c>
      <c r="L220" s="166">
        <v>7744</v>
      </c>
      <c r="M220" s="165">
        <v>3</v>
      </c>
      <c r="N220" s="165">
        <v>993634831</v>
      </c>
      <c r="O220" s="165">
        <v>51611768</v>
      </c>
      <c r="P220" s="165">
        <f>Reservas[[#This Row],[Suma de VALOR_INICIAL]]-Reservas[[#This Row],[Suma de TOTAL LIBERACIONES]]</f>
        <v>942023063</v>
      </c>
      <c r="Q220" s="165">
        <v>894923745</v>
      </c>
      <c r="R220" s="165">
        <v>2023</v>
      </c>
    </row>
    <row r="221" spans="1:18" x14ac:dyDescent="0.3">
      <c r="A221" s="165" t="str">
        <f>presuvigencias[[#This Row],[PROYECTO]]&amp;presuvigencias[[#This Row],[METAPDD]]</f>
        <v>774442</v>
      </c>
      <c r="B221" s="165" t="str">
        <f>presuvigencias[[#This Row],[PROYECTO]]&amp;presuvigencias[[#This Row],[META]]</f>
        <v>77442</v>
      </c>
      <c r="C221" s="168">
        <v>7744</v>
      </c>
      <c r="D221" s="165">
        <v>2</v>
      </c>
      <c r="E221" s="165">
        <f>VLOOKUP(presuvigencias[[#This Row],[LLAVE]],ESTRATÉGICO!$C$3:$R$110,16,0)</f>
        <v>42</v>
      </c>
      <c r="F221" s="165">
        <v>169291650207</v>
      </c>
      <c r="G221" s="165">
        <v>166277543019.98001</v>
      </c>
      <c r="H221" s="165">
        <v>136506596777.67625</v>
      </c>
      <c r="I221" s="165">
        <v>2022</v>
      </c>
      <c r="K221" s="165">
        <v>77444</v>
      </c>
      <c r="L221" s="166">
        <v>7744</v>
      </c>
      <c r="M221" s="165">
        <v>4</v>
      </c>
      <c r="N221" s="165">
        <v>39322666</v>
      </c>
      <c r="O221" s="165">
        <v>0</v>
      </c>
      <c r="P221" s="165">
        <f>Reservas[[#This Row],[Suma de VALOR_INICIAL]]-Reservas[[#This Row],[Suma de TOTAL LIBERACIONES]]</f>
        <v>39322666</v>
      </c>
      <c r="Q221" s="165">
        <v>36779866</v>
      </c>
      <c r="R221" s="165">
        <v>2023</v>
      </c>
    </row>
    <row r="222" spans="1:18" x14ac:dyDescent="0.3">
      <c r="A222" s="165" t="str">
        <f>presuvigencias[[#This Row],[PROYECTO]]&amp;presuvigencias[[#This Row],[METAPDD]]</f>
        <v>774442</v>
      </c>
      <c r="B222" s="165" t="str">
        <f>presuvigencias[[#This Row],[PROYECTO]]&amp;presuvigencias[[#This Row],[META]]</f>
        <v>77443</v>
      </c>
      <c r="C222" s="168">
        <v>7744</v>
      </c>
      <c r="D222" s="165">
        <v>3</v>
      </c>
      <c r="E222" s="165">
        <f>VLOOKUP(presuvigencias[[#This Row],[LLAVE]],ESTRATÉGICO!$C$3:$R$110,16,0)</f>
        <v>42</v>
      </c>
      <c r="F222" s="165">
        <v>7365549557</v>
      </c>
      <c r="G222" s="165">
        <v>7289248125</v>
      </c>
      <c r="H222" s="165">
        <v>6295613294</v>
      </c>
      <c r="I222" s="165">
        <v>2022</v>
      </c>
      <c r="K222" s="165">
        <v>77445</v>
      </c>
      <c r="L222" s="166">
        <v>7744</v>
      </c>
      <c r="M222" s="165">
        <v>5</v>
      </c>
      <c r="N222" s="165">
        <v>1971681398</v>
      </c>
      <c r="O222" s="165">
        <v>202781133</v>
      </c>
      <c r="P222" s="165">
        <f>Reservas[[#This Row],[Suma de VALOR_INICIAL]]-Reservas[[#This Row],[Suma de TOTAL LIBERACIONES]]</f>
        <v>1768900265</v>
      </c>
      <c r="Q222" s="165">
        <v>1672109081</v>
      </c>
      <c r="R222" s="165">
        <v>2023</v>
      </c>
    </row>
    <row r="223" spans="1:18" x14ac:dyDescent="0.3">
      <c r="A223" s="165" t="str">
        <f>presuvigencias[[#This Row],[PROYECTO]]&amp;presuvigencias[[#This Row],[METAPDD]]</f>
        <v>774442</v>
      </c>
      <c r="B223" s="165" t="str">
        <f>presuvigencias[[#This Row],[PROYECTO]]&amp;presuvigencias[[#This Row],[META]]</f>
        <v>77444</v>
      </c>
      <c r="C223" s="168">
        <v>7744</v>
      </c>
      <c r="D223" s="165">
        <v>4</v>
      </c>
      <c r="E223" s="165">
        <f>VLOOKUP(presuvigencias[[#This Row],[LLAVE]],ESTRATÉGICO!$C$3:$R$110,16,0)</f>
        <v>42</v>
      </c>
      <c r="F223" s="165">
        <v>328785733</v>
      </c>
      <c r="G223" s="165">
        <v>319490333</v>
      </c>
      <c r="H223" s="165">
        <v>280167667</v>
      </c>
      <c r="I223" s="165">
        <v>2022</v>
      </c>
      <c r="K223" s="165">
        <v>77446</v>
      </c>
      <c r="L223" s="167">
        <v>7744</v>
      </c>
      <c r="M223" s="165">
        <v>6</v>
      </c>
      <c r="N223" s="165">
        <v>329433679</v>
      </c>
      <c r="O223" s="165">
        <v>10632667</v>
      </c>
      <c r="P223" s="165">
        <f>Reservas[[#This Row],[Suma de VALOR_INICIAL]]-Reservas[[#This Row],[Suma de TOTAL LIBERACIONES]]</f>
        <v>318801012</v>
      </c>
      <c r="Q223" s="165">
        <v>286101341</v>
      </c>
      <c r="R223" s="165">
        <v>2023</v>
      </c>
    </row>
    <row r="224" spans="1:18" x14ac:dyDescent="0.3">
      <c r="A224" s="165" t="str">
        <f>presuvigencias[[#This Row],[PROYECTO]]&amp;presuvigencias[[#This Row],[METAPDD]]</f>
        <v>774443</v>
      </c>
      <c r="B224" s="165" t="str">
        <f>presuvigencias[[#This Row],[PROYECTO]]&amp;presuvigencias[[#This Row],[META]]</f>
        <v>77445</v>
      </c>
      <c r="C224" s="168">
        <v>7744</v>
      </c>
      <c r="D224" s="165">
        <v>5</v>
      </c>
      <c r="E224" s="165">
        <f>VLOOKUP(presuvigencias[[#This Row],[LLAVE]],ESTRATÉGICO!$C$3:$R$110,16,0)</f>
        <v>43</v>
      </c>
      <c r="F224" s="165">
        <v>14193363318</v>
      </c>
      <c r="G224" s="165">
        <v>14080219050.02</v>
      </c>
      <c r="H224" s="165">
        <v>12108538067.500416</v>
      </c>
      <c r="I224" s="165">
        <v>2022</v>
      </c>
      <c r="K224" s="165">
        <v>77451</v>
      </c>
      <c r="L224" s="166">
        <v>7745</v>
      </c>
      <c r="M224" s="165">
        <v>1</v>
      </c>
      <c r="N224" s="165">
        <v>21168000</v>
      </c>
      <c r="O224" s="165">
        <v>0</v>
      </c>
      <c r="P224" s="165">
        <f>Reservas[[#This Row],[Suma de VALOR_INICIAL]]-Reservas[[#This Row],[Suma de TOTAL LIBERACIONES]]</f>
        <v>21168000</v>
      </c>
      <c r="Q224" s="165">
        <v>21168000</v>
      </c>
      <c r="R224" s="165">
        <v>2023</v>
      </c>
    </row>
    <row r="225" spans="1:18" x14ac:dyDescent="0.3">
      <c r="A225" s="165" t="str">
        <f>presuvigencias[[#This Row],[PROYECTO]]&amp;presuvigencias[[#This Row],[METAPDD]]</f>
        <v>774447</v>
      </c>
      <c r="B225" s="165" t="str">
        <f>presuvigencias[[#This Row],[PROYECTO]]&amp;presuvigencias[[#This Row],[META]]</f>
        <v>77446</v>
      </c>
      <c r="C225" s="169">
        <v>7744</v>
      </c>
      <c r="D225" s="165">
        <v>6</v>
      </c>
      <c r="E225" s="165">
        <f>VLOOKUP(presuvigencias[[#This Row],[LLAVE]],ESTRATÉGICO!$C$3:$R$110,16,0)</f>
        <v>47</v>
      </c>
      <c r="F225" s="165">
        <v>2326725245</v>
      </c>
      <c r="G225" s="165">
        <v>2315878707</v>
      </c>
      <c r="H225" s="165">
        <v>1986008039.3827193</v>
      </c>
      <c r="I225" s="165">
        <v>2022</v>
      </c>
      <c r="K225" s="165">
        <v>77452</v>
      </c>
      <c r="L225" s="166">
        <v>7745</v>
      </c>
      <c r="M225" s="165">
        <v>2</v>
      </c>
      <c r="N225" s="165">
        <v>26749551766</v>
      </c>
      <c r="O225" s="165">
        <v>1609288493</v>
      </c>
      <c r="P225" s="165">
        <f>Reservas[[#This Row],[Suma de VALOR_INICIAL]]-Reservas[[#This Row],[Suma de TOTAL LIBERACIONES]]</f>
        <v>25140263273</v>
      </c>
      <c r="Q225" s="165">
        <v>20420929866</v>
      </c>
      <c r="R225" s="165">
        <v>2023</v>
      </c>
    </row>
    <row r="226" spans="1:18" x14ac:dyDescent="0.3">
      <c r="A226" s="165" t="str">
        <f>presuvigencias[[#This Row],[PROYECTO]]&amp;presuvigencias[[#This Row],[METAPDD]]</f>
        <v>774546</v>
      </c>
      <c r="B226" s="165" t="str">
        <f>presuvigencias[[#This Row],[PROYECTO]]&amp;presuvigencias[[#This Row],[META]]</f>
        <v>77451</v>
      </c>
      <c r="C226" s="168">
        <v>7745</v>
      </c>
      <c r="D226" s="165">
        <v>1</v>
      </c>
      <c r="E226" s="165">
        <f>VLOOKUP(presuvigencias[[#This Row],[LLAVE]],ESTRATÉGICO!$C$3:$R$110,16,0)</f>
        <v>46</v>
      </c>
      <c r="F226" s="165">
        <v>564843200</v>
      </c>
      <c r="G226" s="165">
        <v>564843200</v>
      </c>
      <c r="H226" s="165">
        <v>543675200</v>
      </c>
      <c r="I226" s="165">
        <v>2022</v>
      </c>
      <c r="K226" s="165">
        <v>77454</v>
      </c>
      <c r="L226" s="166">
        <v>7745</v>
      </c>
      <c r="M226" s="165">
        <v>4</v>
      </c>
      <c r="N226" s="165">
        <v>8408875369</v>
      </c>
      <c r="O226" s="165">
        <v>638040535</v>
      </c>
      <c r="P226" s="165">
        <f>Reservas[[#This Row],[Suma de VALOR_INICIAL]]-Reservas[[#This Row],[Suma de TOTAL LIBERACIONES]]</f>
        <v>7770834834</v>
      </c>
      <c r="Q226" s="165">
        <v>5972636336.6999998</v>
      </c>
      <c r="R226" s="165">
        <v>2023</v>
      </c>
    </row>
    <row r="227" spans="1:18" x14ac:dyDescent="0.3">
      <c r="A227" s="165" t="str">
        <f>presuvigencias[[#This Row],[PROYECTO]]&amp;presuvigencias[[#This Row],[METAPDD]]</f>
        <v>774550</v>
      </c>
      <c r="B227" s="165" t="str">
        <f>presuvigencias[[#This Row],[PROYECTO]]&amp;presuvigencias[[#This Row],[META]]</f>
        <v>77452</v>
      </c>
      <c r="C227" s="168">
        <v>7745</v>
      </c>
      <c r="D227" s="165">
        <v>2</v>
      </c>
      <c r="E227" s="165">
        <f>VLOOKUP(presuvigencias[[#This Row],[LLAVE]],ESTRATÉGICO!$C$3:$R$110,16,0)</f>
        <v>50</v>
      </c>
      <c r="F227" s="165">
        <v>64942782795</v>
      </c>
      <c r="G227" s="165">
        <v>60908038600</v>
      </c>
      <c r="H227" s="165">
        <v>34158486833.999996</v>
      </c>
      <c r="I227" s="165">
        <v>2022</v>
      </c>
      <c r="K227" s="165">
        <v>77456</v>
      </c>
      <c r="L227" s="166">
        <v>7745</v>
      </c>
      <c r="M227" s="165">
        <v>6</v>
      </c>
      <c r="N227" s="165">
        <v>58198903</v>
      </c>
      <c r="O227" s="165">
        <v>0</v>
      </c>
      <c r="P227" s="165">
        <f>Reservas[[#This Row],[Suma de VALOR_INICIAL]]-Reservas[[#This Row],[Suma de TOTAL LIBERACIONES]]</f>
        <v>58198903</v>
      </c>
      <c r="Q227" s="165">
        <v>56746569</v>
      </c>
      <c r="R227" s="165">
        <v>2023</v>
      </c>
    </row>
    <row r="228" spans="1:18" x14ac:dyDescent="0.3">
      <c r="A228" s="165" t="str">
        <f>presuvigencias[[#This Row],[PROYECTO]]&amp;presuvigencias[[#This Row],[METAPDD]]</f>
        <v>774551</v>
      </c>
      <c r="B228" s="165" t="str">
        <f>presuvigencias[[#This Row],[PROYECTO]]&amp;presuvigencias[[#This Row],[META]]</f>
        <v>77454</v>
      </c>
      <c r="C228" s="168">
        <v>7745</v>
      </c>
      <c r="D228" s="165">
        <v>4</v>
      </c>
      <c r="E228" s="165">
        <f>VLOOKUP(presuvigencias[[#This Row],[LLAVE]],ESTRATÉGICO!$C$3:$R$110,16,0)</f>
        <v>51</v>
      </c>
      <c r="F228" s="165">
        <v>166237112398</v>
      </c>
      <c r="G228" s="165">
        <v>150104342747</v>
      </c>
      <c r="H228" s="165">
        <v>141648601506.603</v>
      </c>
      <c r="I228" s="165">
        <v>2022</v>
      </c>
      <c r="K228" s="165">
        <v>77457</v>
      </c>
      <c r="L228" s="166">
        <v>7745</v>
      </c>
      <c r="M228" s="165">
        <v>7</v>
      </c>
      <c r="N228" s="165">
        <v>557216237</v>
      </c>
      <c r="O228" s="165">
        <v>2</v>
      </c>
      <c r="P228" s="165">
        <f>Reservas[[#This Row],[Suma de VALOR_INICIAL]]-Reservas[[#This Row],[Suma de TOTAL LIBERACIONES]]</f>
        <v>557216235</v>
      </c>
      <c r="Q228" s="165">
        <v>556613685</v>
      </c>
      <c r="R228" s="165">
        <v>2023</v>
      </c>
    </row>
    <row r="229" spans="1:18" x14ac:dyDescent="0.3">
      <c r="A229" s="165" t="str">
        <f>presuvigencias[[#This Row],[PROYECTO]]&amp;presuvigencias[[#This Row],[METAPDD]]</f>
        <v>774564</v>
      </c>
      <c r="B229" s="165" t="str">
        <f>presuvigencias[[#This Row],[PROYECTO]]&amp;presuvigencias[[#This Row],[META]]</f>
        <v>77456</v>
      </c>
      <c r="C229" s="168">
        <v>7745</v>
      </c>
      <c r="D229" s="165">
        <v>6</v>
      </c>
      <c r="E229" s="165">
        <f>VLOOKUP(presuvigencias[[#This Row],[LLAVE]],ESTRATÉGICO!$C$3:$R$110,16,0)</f>
        <v>64</v>
      </c>
      <c r="F229" s="165">
        <v>3244961974</v>
      </c>
      <c r="G229" s="165">
        <v>2893360144</v>
      </c>
      <c r="H229" s="165">
        <v>2885243972.3770347</v>
      </c>
      <c r="I229" s="165">
        <v>2022</v>
      </c>
      <c r="K229" s="165">
        <v>77458</v>
      </c>
      <c r="L229" s="166">
        <v>7745</v>
      </c>
      <c r="M229" s="165">
        <v>8</v>
      </c>
      <c r="N229" s="165">
        <v>237112002</v>
      </c>
      <c r="O229" s="165">
        <v>2</v>
      </c>
      <c r="P229" s="165">
        <f>Reservas[[#This Row],[Suma de VALOR_INICIAL]]-Reservas[[#This Row],[Suma de TOTAL LIBERACIONES]]</f>
        <v>237112000</v>
      </c>
      <c r="Q229" s="165">
        <v>237112000</v>
      </c>
      <c r="R229" s="165">
        <v>2023</v>
      </c>
    </row>
    <row r="230" spans="1:18" x14ac:dyDescent="0.3">
      <c r="A230" s="165" t="str">
        <f>presuvigencias[[#This Row],[PROYECTO]]&amp;presuvigencias[[#This Row],[METAPDD]]</f>
        <v>774551</v>
      </c>
      <c r="B230" s="165" t="str">
        <f>presuvigencias[[#This Row],[PROYECTO]]&amp;presuvigencias[[#This Row],[META]]</f>
        <v>77457</v>
      </c>
      <c r="C230" s="168">
        <v>7745</v>
      </c>
      <c r="D230" s="165">
        <v>7</v>
      </c>
      <c r="E230" s="165">
        <f>VLOOKUP(presuvigencias[[#This Row],[LLAVE]],ESTRATÉGICO!$C$3:$R$110,16,0)</f>
        <v>51</v>
      </c>
      <c r="F230" s="165">
        <v>1464819936</v>
      </c>
      <c r="G230" s="165">
        <v>1456624869</v>
      </c>
      <c r="H230" s="165">
        <v>899408632</v>
      </c>
      <c r="I230" s="165">
        <v>2022</v>
      </c>
      <c r="K230" s="165">
        <v>77459</v>
      </c>
      <c r="L230" s="166">
        <v>7745</v>
      </c>
      <c r="M230" s="165">
        <v>9</v>
      </c>
      <c r="N230" s="165">
        <v>96205200</v>
      </c>
      <c r="O230" s="165">
        <v>14641200</v>
      </c>
      <c r="P230" s="165">
        <f>Reservas[[#This Row],[Suma de VALOR_INICIAL]]-Reservas[[#This Row],[Suma de TOTAL LIBERACIONES]]</f>
        <v>81564000</v>
      </c>
      <c r="Q230" s="165">
        <v>81564000</v>
      </c>
      <c r="R230" s="165">
        <v>2023</v>
      </c>
    </row>
    <row r="231" spans="1:18" x14ac:dyDescent="0.3">
      <c r="A231" s="165" t="str">
        <f>presuvigencias[[#This Row],[PROYECTO]]&amp;presuvigencias[[#This Row],[METAPDD]]</f>
        <v>774551</v>
      </c>
      <c r="B231" s="165" t="str">
        <f>presuvigencias[[#This Row],[PROYECTO]]&amp;presuvigencias[[#This Row],[META]]</f>
        <v>77458</v>
      </c>
      <c r="C231" s="168">
        <v>7745</v>
      </c>
      <c r="D231" s="165">
        <v>8</v>
      </c>
      <c r="E231" s="165">
        <f>VLOOKUP(presuvigencias[[#This Row],[LLAVE]],ESTRATÉGICO!$C$3:$R$110,16,0)</f>
        <v>51</v>
      </c>
      <c r="F231" s="165">
        <v>631703002</v>
      </c>
      <c r="G231" s="165">
        <v>631703002</v>
      </c>
      <c r="H231" s="165">
        <v>394591000</v>
      </c>
      <c r="I231" s="165">
        <v>2022</v>
      </c>
      <c r="K231" s="165">
        <v>774510</v>
      </c>
      <c r="L231" s="166">
        <v>7745</v>
      </c>
      <c r="M231" s="165">
        <v>10</v>
      </c>
      <c r="N231" s="165">
        <v>79130400</v>
      </c>
      <c r="O231" s="165">
        <v>0</v>
      </c>
      <c r="P231" s="165">
        <f>Reservas[[#This Row],[Suma de VALOR_INICIAL]]-Reservas[[#This Row],[Suma de TOTAL LIBERACIONES]]</f>
        <v>79130400</v>
      </c>
      <c r="Q231" s="165">
        <v>49848000</v>
      </c>
      <c r="R231" s="165">
        <v>2023</v>
      </c>
    </row>
    <row r="232" spans="1:18" x14ac:dyDescent="0.3">
      <c r="A232" s="165" t="str">
        <f>presuvigencias[[#This Row],[PROYECTO]]&amp;presuvigencias[[#This Row],[METAPDD]]</f>
        <v>774554</v>
      </c>
      <c r="B232" s="165" t="str">
        <f>presuvigencias[[#This Row],[PROYECTO]]&amp;presuvigencias[[#This Row],[META]]</f>
        <v>77459</v>
      </c>
      <c r="C232" s="168">
        <v>7745</v>
      </c>
      <c r="D232" s="165">
        <v>9</v>
      </c>
      <c r="E232" s="165">
        <f>VLOOKUP(presuvigencias[[#This Row],[LLAVE]],ESTRATÉGICO!$C$3:$R$110,16,0)</f>
        <v>54</v>
      </c>
      <c r="F232" s="165">
        <v>298333600</v>
      </c>
      <c r="G232" s="165">
        <v>297804400</v>
      </c>
      <c r="H232" s="165">
        <v>201599200</v>
      </c>
      <c r="I232" s="165">
        <v>2022</v>
      </c>
      <c r="K232" s="165">
        <v>774511</v>
      </c>
      <c r="L232" s="167">
        <v>7745</v>
      </c>
      <c r="M232" s="165">
        <v>11</v>
      </c>
      <c r="N232" s="165">
        <v>85322650</v>
      </c>
      <c r="O232" s="165">
        <v>1</v>
      </c>
      <c r="P232" s="165">
        <f>Reservas[[#This Row],[Suma de VALOR_INICIAL]]-Reservas[[#This Row],[Suma de TOTAL LIBERACIONES]]</f>
        <v>85322649</v>
      </c>
      <c r="Q232" s="165">
        <v>85322649</v>
      </c>
      <c r="R232" s="165">
        <v>2023</v>
      </c>
    </row>
    <row r="233" spans="1:18" x14ac:dyDescent="0.3">
      <c r="A233" s="165" t="str">
        <f>presuvigencias[[#This Row],[PROYECTO]]&amp;presuvigencias[[#This Row],[METAPDD]]</f>
        <v>774554</v>
      </c>
      <c r="B233" s="165" t="str">
        <f>presuvigencias[[#This Row],[PROYECTO]]&amp;presuvigencias[[#This Row],[META]]</f>
        <v>774510</v>
      </c>
      <c r="C233" s="168">
        <v>7745</v>
      </c>
      <c r="D233" s="165">
        <v>10</v>
      </c>
      <c r="E233" s="165">
        <f>VLOOKUP(presuvigencias[[#This Row],[LLAVE]],ESTRATÉGICO!$C$3:$R$110,16,0)</f>
        <v>54</v>
      </c>
      <c r="F233" s="165">
        <v>215792319</v>
      </c>
      <c r="G233" s="165">
        <v>159298800</v>
      </c>
      <c r="H233" s="165">
        <v>80168400</v>
      </c>
      <c r="I233" s="165">
        <v>2022</v>
      </c>
      <c r="K233" s="165">
        <v>77481</v>
      </c>
      <c r="L233" s="166">
        <v>7748</v>
      </c>
      <c r="M233" s="165">
        <v>1</v>
      </c>
      <c r="N233" s="165">
        <v>14801991245</v>
      </c>
      <c r="O233" s="165">
        <v>416236133</v>
      </c>
      <c r="P233" s="165">
        <f>Reservas[[#This Row],[Suma de VALOR_INICIAL]]-Reservas[[#This Row],[Suma de TOTAL LIBERACIONES]]</f>
        <v>14385755112</v>
      </c>
      <c r="Q233" s="165">
        <v>14064197261</v>
      </c>
      <c r="R233" s="165">
        <v>2023</v>
      </c>
    </row>
    <row r="234" spans="1:18" x14ac:dyDescent="0.3">
      <c r="A234" s="165" t="str">
        <f>presuvigencias[[#This Row],[PROYECTO]]&amp;presuvigencias[[#This Row],[METAPDD]]</f>
        <v>774545</v>
      </c>
      <c r="B234" s="165" t="str">
        <f>presuvigencias[[#This Row],[PROYECTO]]&amp;presuvigencias[[#This Row],[META]]</f>
        <v>774511</v>
      </c>
      <c r="C234" s="169">
        <v>7745</v>
      </c>
      <c r="D234" s="165">
        <v>11</v>
      </c>
      <c r="E234" s="165">
        <f>VLOOKUP(presuvigencias[[#This Row],[LLAVE]],ESTRATÉGICO!$C$3:$R$110,16,0)</f>
        <v>45</v>
      </c>
      <c r="F234" s="165">
        <v>19773647125</v>
      </c>
      <c r="G234" s="165">
        <v>19773647124</v>
      </c>
      <c r="H234" s="165">
        <v>19685107614.02</v>
      </c>
      <c r="I234" s="165">
        <v>2022</v>
      </c>
      <c r="K234" s="165">
        <v>77482</v>
      </c>
      <c r="L234" s="166">
        <v>7748</v>
      </c>
      <c r="M234" s="165">
        <v>2</v>
      </c>
      <c r="N234" s="165">
        <v>687736290</v>
      </c>
      <c r="O234" s="165">
        <v>12691669</v>
      </c>
      <c r="P234" s="165">
        <f>Reservas[[#This Row],[Suma de VALOR_INICIAL]]-Reservas[[#This Row],[Suma de TOTAL LIBERACIONES]]</f>
        <v>675044621</v>
      </c>
      <c r="Q234" s="165">
        <v>636860272</v>
      </c>
      <c r="R234" s="165">
        <v>2023</v>
      </c>
    </row>
    <row r="235" spans="1:18" x14ac:dyDescent="0.3">
      <c r="A235" s="165" t="str">
        <f>presuvigencias[[#This Row],[PROYECTO]]&amp;presuvigencias[[#This Row],[METAPDD]]</f>
        <v>7748513</v>
      </c>
      <c r="B235" s="165" t="str">
        <f>presuvigencias[[#This Row],[PROYECTO]]&amp;presuvigencias[[#This Row],[META]]</f>
        <v>77481</v>
      </c>
      <c r="C235" s="168">
        <v>7748</v>
      </c>
      <c r="D235" s="165">
        <v>1</v>
      </c>
      <c r="E235" s="165">
        <f>VLOOKUP(presuvigencias[[#This Row],[LLAVE]],ESTRATÉGICO!$C$3:$R$110,16,0)</f>
        <v>513</v>
      </c>
      <c r="F235" s="165">
        <v>143616730444</v>
      </c>
      <c r="G235" s="165">
        <v>143550551959</v>
      </c>
      <c r="H235" s="165">
        <v>128748560714</v>
      </c>
      <c r="I235" s="165">
        <v>2022</v>
      </c>
      <c r="K235" s="165">
        <v>77483</v>
      </c>
      <c r="L235" s="166">
        <v>7748</v>
      </c>
      <c r="M235" s="165">
        <v>3</v>
      </c>
      <c r="N235" s="165">
        <v>254554566</v>
      </c>
      <c r="O235" s="165">
        <v>3322812</v>
      </c>
      <c r="P235" s="165">
        <f>Reservas[[#This Row],[Suma de VALOR_INICIAL]]-Reservas[[#This Row],[Suma de TOTAL LIBERACIONES]]</f>
        <v>251231754</v>
      </c>
      <c r="Q235" s="165">
        <v>245939754</v>
      </c>
      <c r="R235" s="165">
        <v>2023</v>
      </c>
    </row>
    <row r="236" spans="1:18" x14ac:dyDescent="0.3">
      <c r="A236" s="165" t="str">
        <f>presuvigencias[[#This Row],[PROYECTO]]&amp;presuvigencias[[#This Row],[METAPDD]]</f>
        <v>7748513</v>
      </c>
      <c r="B236" s="165" t="str">
        <f>presuvigencias[[#This Row],[PROYECTO]]&amp;presuvigencias[[#This Row],[META]]</f>
        <v>77482</v>
      </c>
      <c r="C236" s="168">
        <v>7748</v>
      </c>
      <c r="D236" s="165">
        <v>2</v>
      </c>
      <c r="E236" s="165">
        <f>VLOOKUP(presuvigencias[[#This Row],[LLAVE]],ESTRATÉGICO!$C$3:$R$110,16,0)</f>
        <v>513</v>
      </c>
      <c r="F236" s="165">
        <v>1464680542</v>
      </c>
      <c r="G236" s="165">
        <v>1464680278</v>
      </c>
      <c r="H236" s="165">
        <v>776943988</v>
      </c>
      <c r="I236" s="165">
        <v>2022</v>
      </c>
      <c r="K236" s="165">
        <v>77484</v>
      </c>
      <c r="L236" s="166">
        <v>7748</v>
      </c>
      <c r="M236" s="165">
        <v>4</v>
      </c>
      <c r="N236" s="165">
        <v>5984523219</v>
      </c>
      <c r="O236" s="165">
        <v>77332224</v>
      </c>
      <c r="P236" s="165">
        <f>Reservas[[#This Row],[Suma de VALOR_INICIAL]]-Reservas[[#This Row],[Suma de TOTAL LIBERACIONES]]</f>
        <v>5907190995</v>
      </c>
      <c r="Q236" s="165">
        <v>5882953793</v>
      </c>
      <c r="R236" s="165">
        <v>2023</v>
      </c>
    </row>
    <row r="237" spans="1:18" x14ac:dyDescent="0.3">
      <c r="A237" s="165" t="str">
        <f>presuvigencias[[#This Row],[PROYECTO]]&amp;presuvigencias[[#This Row],[METAPDD]]</f>
        <v>7748513</v>
      </c>
      <c r="B237" s="165" t="str">
        <f>presuvigencias[[#This Row],[PROYECTO]]&amp;presuvigencias[[#This Row],[META]]</f>
        <v>77483</v>
      </c>
      <c r="C237" s="168">
        <v>7748</v>
      </c>
      <c r="D237" s="165">
        <v>3</v>
      </c>
      <c r="E237" s="165">
        <f>VLOOKUP(presuvigencias[[#This Row],[LLAVE]],ESTRATÉGICO!$C$3:$R$110,16,0)</f>
        <v>513</v>
      </c>
      <c r="F237" s="165">
        <v>700022806</v>
      </c>
      <c r="G237" s="165">
        <v>690701500</v>
      </c>
      <c r="H237" s="165">
        <v>436146934</v>
      </c>
      <c r="I237" s="165">
        <v>2022</v>
      </c>
      <c r="K237" s="165">
        <v>77486</v>
      </c>
      <c r="L237" s="166">
        <v>7748</v>
      </c>
      <c r="M237" s="165">
        <v>6</v>
      </c>
      <c r="N237" s="165">
        <v>555763050</v>
      </c>
      <c r="O237" s="165">
        <v>31385100</v>
      </c>
      <c r="P237" s="165">
        <f>Reservas[[#This Row],[Suma de VALOR_INICIAL]]-Reservas[[#This Row],[Suma de TOTAL LIBERACIONES]]</f>
        <v>524377950</v>
      </c>
      <c r="Q237" s="165">
        <v>524335888</v>
      </c>
      <c r="R237" s="165">
        <v>2023</v>
      </c>
    </row>
    <row r="238" spans="1:18" x14ac:dyDescent="0.3">
      <c r="A238" s="165" t="str">
        <f>presuvigencias[[#This Row],[PROYECTO]]&amp;presuvigencias[[#This Row],[METAPDD]]</f>
        <v>7748519</v>
      </c>
      <c r="B238" s="165" t="str">
        <f>presuvigencias[[#This Row],[PROYECTO]]&amp;presuvigencias[[#This Row],[META]]</f>
        <v>77484</v>
      </c>
      <c r="C238" s="168">
        <v>7748</v>
      </c>
      <c r="D238" s="165">
        <v>4</v>
      </c>
      <c r="E238" s="165">
        <f>VLOOKUP(presuvigencias[[#This Row],[LLAVE]],ESTRATÉGICO!$C$3:$R$110,16,0)</f>
        <v>519</v>
      </c>
      <c r="F238" s="165">
        <v>157240147933</v>
      </c>
      <c r="G238" s="165">
        <v>157080762738</v>
      </c>
      <c r="H238" s="165">
        <v>151096239519</v>
      </c>
      <c r="I238" s="165">
        <v>2022</v>
      </c>
      <c r="K238" s="165">
        <v>77487</v>
      </c>
      <c r="L238" s="167">
        <v>7748</v>
      </c>
      <c r="M238" s="165">
        <v>7</v>
      </c>
      <c r="N238" s="165">
        <v>211562000</v>
      </c>
      <c r="O238" s="165">
        <v>195600</v>
      </c>
      <c r="P238" s="165">
        <f>Reservas[[#This Row],[Suma de VALOR_INICIAL]]-Reservas[[#This Row],[Suma de TOTAL LIBERACIONES]]</f>
        <v>211366400</v>
      </c>
      <c r="Q238" s="165">
        <v>211366400</v>
      </c>
      <c r="R238" s="165">
        <v>2023</v>
      </c>
    </row>
    <row r="239" spans="1:18" x14ac:dyDescent="0.3">
      <c r="A239" s="165" t="str">
        <f>presuvigencias[[#This Row],[PROYECTO]]&amp;presuvigencias[[#This Row],[METAPDD]]</f>
        <v>7748519</v>
      </c>
      <c r="B239" s="165" t="str">
        <f>presuvigencias[[#This Row],[PROYECTO]]&amp;presuvigencias[[#This Row],[META]]</f>
        <v>77485</v>
      </c>
      <c r="C239" s="168">
        <v>7748</v>
      </c>
      <c r="D239" s="165">
        <v>5</v>
      </c>
      <c r="E239" s="165">
        <f>VLOOKUP(presuvigencias[[#This Row],[LLAVE]],ESTRATÉGICO!$C$3:$R$110,16,0)</f>
        <v>519</v>
      </c>
      <c r="F239" s="165">
        <v>30530200</v>
      </c>
      <c r="G239" s="165">
        <v>30530200</v>
      </c>
      <c r="H239" s="165">
        <v>30530200</v>
      </c>
      <c r="I239" s="165">
        <v>2022</v>
      </c>
      <c r="K239" s="165">
        <v>77491</v>
      </c>
      <c r="L239" s="166">
        <v>7749</v>
      </c>
      <c r="M239" s="165">
        <v>1</v>
      </c>
      <c r="N239" s="165">
        <v>89872733</v>
      </c>
      <c r="O239" s="165">
        <v>0</v>
      </c>
      <c r="P239" s="165">
        <f>Reservas[[#This Row],[Suma de VALOR_INICIAL]]-Reservas[[#This Row],[Suma de TOTAL LIBERACIONES]]</f>
        <v>89872733</v>
      </c>
      <c r="Q239" s="165">
        <v>83980133</v>
      </c>
      <c r="R239" s="165">
        <v>2023</v>
      </c>
    </row>
    <row r="240" spans="1:18" x14ac:dyDescent="0.3">
      <c r="A240" s="165" t="str">
        <f>presuvigencias[[#This Row],[PROYECTO]]&amp;presuvigencias[[#This Row],[METAPDD]]</f>
        <v>7748519</v>
      </c>
      <c r="B240" s="165" t="str">
        <f>presuvigencias[[#This Row],[PROYECTO]]&amp;presuvigencias[[#This Row],[META]]</f>
        <v>77486</v>
      </c>
      <c r="C240" s="168">
        <v>7748</v>
      </c>
      <c r="D240" s="165">
        <v>6</v>
      </c>
      <c r="E240" s="165">
        <f>VLOOKUP(presuvigencias[[#This Row],[LLAVE]],ESTRATÉGICO!$C$3:$R$110,16,0)</f>
        <v>519</v>
      </c>
      <c r="F240" s="165">
        <v>1293989976</v>
      </c>
      <c r="G240" s="165">
        <v>1252688442</v>
      </c>
      <c r="H240" s="165">
        <v>696925392</v>
      </c>
      <c r="I240" s="165">
        <v>2022</v>
      </c>
      <c r="K240" s="165">
        <v>77492</v>
      </c>
      <c r="L240" s="166">
        <v>7749</v>
      </c>
      <c r="M240" s="165">
        <v>2</v>
      </c>
      <c r="N240" s="165">
        <v>96527434</v>
      </c>
      <c r="O240" s="165">
        <v>0</v>
      </c>
      <c r="P240" s="165">
        <f>Reservas[[#This Row],[Suma de VALOR_INICIAL]]-Reservas[[#This Row],[Suma de TOTAL LIBERACIONES]]</f>
        <v>96527434</v>
      </c>
      <c r="Q240" s="165">
        <v>96527434</v>
      </c>
      <c r="R240" s="165">
        <v>2023</v>
      </c>
    </row>
    <row r="241" spans="1:18" x14ac:dyDescent="0.3">
      <c r="A241" s="165" t="str">
        <f>presuvigencias[[#This Row],[PROYECTO]]&amp;presuvigencias[[#This Row],[METAPDD]]</f>
        <v>7748519</v>
      </c>
      <c r="B241" s="165" t="str">
        <f>presuvigencias[[#This Row],[PROYECTO]]&amp;presuvigencias[[#This Row],[META]]</f>
        <v>77487</v>
      </c>
      <c r="C241" s="169">
        <v>7748</v>
      </c>
      <c r="D241" s="165">
        <v>7</v>
      </c>
      <c r="E241" s="165">
        <f>VLOOKUP(presuvigencias[[#This Row],[LLAVE]],ESTRATÉGICO!$C$3:$R$110,16,0)</f>
        <v>519</v>
      </c>
      <c r="F241" s="165">
        <v>388895464</v>
      </c>
      <c r="G241" s="165">
        <v>388895464</v>
      </c>
      <c r="H241" s="165">
        <v>177333464</v>
      </c>
      <c r="I241" s="165">
        <v>2022</v>
      </c>
      <c r="K241" s="165">
        <v>77493</v>
      </c>
      <c r="L241" s="166">
        <v>7749</v>
      </c>
      <c r="M241" s="165">
        <v>3</v>
      </c>
      <c r="N241" s="165">
        <v>2054129977</v>
      </c>
      <c r="O241" s="165">
        <v>19354700</v>
      </c>
      <c r="P241" s="165">
        <f>Reservas[[#This Row],[Suma de VALOR_INICIAL]]-Reservas[[#This Row],[Suma de TOTAL LIBERACIONES]]</f>
        <v>2034775277</v>
      </c>
      <c r="Q241" s="165">
        <v>1611256336</v>
      </c>
      <c r="R241" s="165">
        <v>2023</v>
      </c>
    </row>
    <row r="242" spans="1:18" x14ac:dyDescent="0.3">
      <c r="A242" s="165" t="str">
        <f>presuvigencias[[#This Row],[PROYECTO]]&amp;presuvigencias[[#This Row],[METAPDD]]</f>
        <v>774963</v>
      </c>
      <c r="B242" s="165" t="str">
        <f>presuvigencias[[#This Row],[PROYECTO]]&amp;presuvigencias[[#This Row],[META]]</f>
        <v>77491</v>
      </c>
      <c r="C242" s="168">
        <v>7749</v>
      </c>
      <c r="D242" s="165">
        <v>1</v>
      </c>
      <c r="E242" s="165">
        <f>VLOOKUP(presuvigencias[[#This Row],[LLAVE]],ESTRATÉGICO!$C$3:$R$110,16,0)</f>
        <v>63</v>
      </c>
      <c r="F242" s="165">
        <v>245940000</v>
      </c>
      <c r="G242" s="165">
        <v>245940000</v>
      </c>
      <c r="H242" s="165">
        <v>156067267</v>
      </c>
      <c r="I242" s="165">
        <v>2022</v>
      </c>
      <c r="K242" s="165">
        <v>77494</v>
      </c>
      <c r="L242" s="167">
        <v>7749</v>
      </c>
      <c r="M242" s="165">
        <v>4</v>
      </c>
      <c r="N242" s="165">
        <v>46094280</v>
      </c>
      <c r="O242" s="165">
        <v>0</v>
      </c>
      <c r="P242" s="165">
        <f>Reservas[[#This Row],[Suma de VALOR_INICIAL]]-Reservas[[#This Row],[Suma de TOTAL LIBERACIONES]]</f>
        <v>46094280</v>
      </c>
      <c r="Q242" s="165">
        <v>46094280</v>
      </c>
      <c r="R242" s="165">
        <v>2023</v>
      </c>
    </row>
    <row r="243" spans="1:18" x14ac:dyDescent="0.3">
      <c r="A243" s="165" t="str">
        <f>presuvigencias[[#This Row],[PROYECTO]]&amp;presuvigencias[[#This Row],[METAPDD]]</f>
        <v>774963</v>
      </c>
      <c r="B243" s="165" t="str">
        <f>presuvigencias[[#This Row],[PROYECTO]]&amp;presuvigencias[[#This Row],[META]]</f>
        <v>77492</v>
      </c>
      <c r="C243" s="168">
        <v>7749</v>
      </c>
      <c r="D243" s="165">
        <v>2</v>
      </c>
      <c r="E243" s="165">
        <f>VLOOKUP(presuvigencias[[#This Row],[LLAVE]],ESTRATÉGICO!$C$3:$R$110,16,0)</f>
        <v>63</v>
      </c>
      <c r="F243" s="165">
        <v>233126240</v>
      </c>
      <c r="G243" s="165">
        <v>233126240</v>
      </c>
      <c r="H243" s="165">
        <v>136598806</v>
      </c>
      <c r="I243" s="165">
        <v>2022</v>
      </c>
      <c r="K243" s="165">
        <v>77521</v>
      </c>
      <c r="L243" s="166">
        <v>7752</v>
      </c>
      <c r="M243" s="165">
        <v>1</v>
      </c>
      <c r="N243" s="165">
        <v>985240347</v>
      </c>
      <c r="O243" s="165">
        <v>9742601</v>
      </c>
      <c r="P243" s="165">
        <f>Reservas[[#This Row],[Suma de VALOR_INICIAL]]-Reservas[[#This Row],[Suma de TOTAL LIBERACIONES]]</f>
        <v>975497746</v>
      </c>
      <c r="Q243" s="165">
        <v>974687545</v>
      </c>
      <c r="R243" s="165">
        <v>2023</v>
      </c>
    </row>
    <row r="244" spans="1:18" x14ac:dyDescent="0.3">
      <c r="A244" s="165" t="str">
        <f>presuvigencias[[#This Row],[PROYECTO]]&amp;presuvigencias[[#This Row],[METAPDD]]</f>
        <v>774963</v>
      </c>
      <c r="B244" s="165" t="str">
        <f>presuvigencias[[#This Row],[PROYECTO]]&amp;presuvigencias[[#This Row],[META]]</f>
        <v>77493</v>
      </c>
      <c r="C244" s="168">
        <v>7749</v>
      </c>
      <c r="D244" s="165">
        <v>3</v>
      </c>
      <c r="E244" s="165">
        <f>VLOOKUP(presuvigencias[[#This Row],[LLAVE]],ESTRATÉGICO!$C$3:$R$110,16,0)</f>
        <v>63</v>
      </c>
      <c r="F244" s="165">
        <v>4991850928</v>
      </c>
      <c r="G244" s="165">
        <v>4947800924</v>
      </c>
      <c r="H244" s="165">
        <v>2893670947</v>
      </c>
      <c r="I244" s="165">
        <v>2022</v>
      </c>
      <c r="K244" s="165">
        <v>77522</v>
      </c>
      <c r="L244" s="166">
        <v>7752</v>
      </c>
      <c r="M244" s="165">
        <v>2</v>
      </c>
      <c r="N244" s="165">
        <v>54242400</v>
      </c>
      <c r="O244" s="165">
        <v>0</v>
      </c>
      <c r="P244" s="165">
        <f>Reservas[[#This Row],[Suma de VALOR_INICIAL]]-Reservas[[#This Row],[Suma de TOTAL LIBERACIONES]]</f>
        <v>54242400</v>
      </c>
      <c r="Q244" s="165">
        <v>54242400</v>
      </c>
      <c r="R244" s="165">
        <v>2023</v>
      </c>
    </row>
    <row r="245" spans="1:18" x14ac:dyDescent="0.3">
      <c r="A245" s="165" t="str">
        <f>presuvigencias[[#This Row],[PROYECTO]]&amp;presuvigencias[[#This Row],[METAPDD]]</f>
        <v>774963</v>
      </c>
      <c r="B245" s="165" t="str">
        <f>presuvigencias[[#This Row],[PROYECTO]]&amp;presuvigencias[[#This Row],[META]]</f>
        <v>77494</v>
      </c>
      <c r="C245" s="169">
        <v>7749</v>
      </c>
      <c r="D245" s="165">
        <v>4</v>
      </c>
      <c r="E245" s="165">
        <f>VLOOKUP(presuvigencias[[#This Row],[LLAVE]],ESTRATÉGICO!$C$3:$R$110,16,0)</f>
        <v>63</v>
      </c>
      <c r="F245" s="165">
        <v>85497500</v>
      </c>
      <c r="G245" s="165">
        <v>46094280</v>
      </c>
      <c r="H245" s="165">
        <v>0</v>
      </c>
      <c r="I245" s="165">
        <v>2022</v>
      </c>
      <c r="K245" s="165">
        <v>77523</v>
      </c>
      <c r="L245" s="167">
        <v>7752</v>
      </c>
      <c r="M245" s="165">
        <v>3</v>
      </c>
      <c r="N245" s="165">
        <v>45202801</v>
      </c>
      <c r="O245" s="165">
        <v>0</v>
      </c>
      <c r="P245" s="165">
        <f>Reservas[[#This Row],[Suma de VALOR_INICIAL]]-Reservas[[#This Row],[Suma de TOTAL LIBERACIONES]]</f>
        <v>45202801</v>
      </c>
      <c r="Q245" s="165">
        <v>45202801</v>
      </c>
      <c r="R245" s="165">
        <v>2023</v>
      </c>
    </row>
    <row r="246" spans="1:18" x14ac:dyDescent="0.3">
      <c r="A246" s="165" t="str">
        <f>presuvigencias[[#This Row],[PROYECTO]]&amp;presuvigencias[[#This Row],[METAPDD]]</f>
        <v>775244</v>
      </c>
      <c r="B246" s="165" t="str">
        <f>presuvigencias[[#This Row],[PROYECTO]]&amp;presuvigencias[[#This Row],[META]]</f>
        <v>77521</v>
      </c>
      <c r="C246" s="168">
        <v>7752</v>
      </c>
      <c r="D246" s="165">
        <v>1</v>
      </c>
      <c r="E246" s="165">
        <f>VLOOKUP(presuvigencias[[#This Row],[LLAVE]],ESTRATÉGICO!$C$3:$R$110,16,0)</f>
        <v>44</v>
      </c>
      <c r="F246" s="165">
        <v>4042721199</v>
      </c>
      <c r="G246" s="165">
        <v>4002324773</v>
      </c>
      <c r="H246" s="165">
        <v>3017084426</v>
      </c>
      <c r="I246" s="165">
        <v>2022</v>
      </c>
      <c r="K246" s="165">
        <v>77531</v>
      </c>
      <c r="L246" s="166">
        <v>7753</v>
      </c>
      <c r="M246" s="165">
        <v>1</v>
      </c>
      <c r="N246" s="165">
        <v>3650400</v>
      </c>
      <c r="O246" s="165">
        <v>0</v>
      </c>
      <c r="P246" s="165">
        <f>Reservas[[#This Row],[Suma de VALOR_INICIAL]]-Reservas[[#This Row],[Suma de TOTAL LIBERACIONES]]</f>
        <v>3650400</v>
      </c>
      <c r="Q246" s="165">
        <v>3650400</v>
      </c>
      <c r="R246" s="165">
        <v>2023</v>
      </c>
    </row>
    <row r="247" spans="1:18" x14ac:dyDescent="0.3">
      <c r="A247" s="165" t="str">
        <f>presuvigencias[[#This Row],[PROYECTO]]&amp;presuvigencias[[#This Row],[METAPDD]]</f>
        <v>775255</v>
      </c>
      <c r="B247" s="165" t="str">
        <f>presuvigencias[[#This Row],[PROYECTO]]&amp;presuvigencias[[#This Row],[META]]</f>
        <v>77522</v>
      </c>
      <c r="C247" s="168">
        <v>7752</v>
      </c>
      <c r="D247" s="165">
        <v>2</v>
      </c>
      <c r="E247" s="165">
        <f>VLOOKUP(presuvigencias[[#This Row],[LLAVE]],ESTRATÉGICO!$C$3:$R$110,16,0)</f>
        <v>55</v>
      </c>
      <c r="F247" s="165">
        <v>370908034</v>
      </c>
      <c r="G247" s="165">
        <v>370908034</v>
      </c>
      <c r="H247" s="165">
        <v>316665634</v>
      </c>
      <c r="I247" s="165">
        <v>2022</v>
      </c>
      <c r="K247" s="165">
        <v>77532</v>
      </c>
      <c r="L247" s="166">
        <v>7753</v>
      </c>
      <c r="M247" s="165">
        <v>2</v>
      </c>
      <c r="N247" s="165">
        <v>70182000</v>
      </c>
      <c r="O247" s="165">
        <v>0</v>
      </c>
      <c r="P247" s="165">
        <f>Reservas[[#This Row],[Suma de VALOR_INICIAL]]-Reservas[[#This Row],[Suma de TOTAL LIBERACIONES]]</f>
        <v>70182000</v>
      </c>
      <c r="Q247" s="165">
        <v>70182000</v>
      </c>
      <c r="R247" s="165">
        <v>2023</v>
      </c>
    </row>
    <row r="248" spans="1:18" x14ac:dyDescent="0.3">
      <c r="A248" s="165" t="str">
        <f>presuvigencias[[#This Row],[PROYECTO]]&amp;presuvigencias[[#This Row],[METAPDD]]</f>
        <v>775255</v>
      </c>
      <c r="B248" s="165" t="str">
        <f>presuvigencias[[#This Row],[PROYECTO]]&amp;presuvigencias[[#This Row],[META]]</f>
        <v>77523</v>
      </c>
      <c r="C248" s="169">
        <v>7752</v>
      </c>
      <c r="D248" s="165">
        <v>3</v>
      </c>
      <c r="E248" s="165">
        <f>VLOOKUP(presuvigencias[[#This Row],[LLAVE]],ESTRATÉGICO!$C$3:$R$110,16,0)</f>
        <v>55</v>
      </c>
      <c r="F248" s="165">
        <v>438724767</v>
      </c>
      <c r="G248" s="165">
        <v>438648967</v>
      </c>
      <c r="H248" s="165">
        <v>393446166</v>
      </c>
      <c r="I248" s="165">
        <v>2022</v>
      </c>
      <c r="K248" s="165">
        <v>77533</v>
      </c>
      <c r="L248" s="167">
        <v>7753</v>
      </c>
      <c r="M248" s="165">
        <v>3</v>
      </c>
      <c r="N248" s="165">
        <v>30687000</v>
      </c>
      <c r="O248" s="165">
        <v>0</v>
      </c>
      <c r="P248" s="165">
        <f>Reservas[[#This Row],[Suma de VALOR_INICIAL]]-Reservas[[#This Row],[Suma de TOTAL LIBERACIONES]]</f>
        <v>30687000</v>
      </c>
      <c r="Q248" s="165">
        <v>29977267</v>
      </c>
      <c r="R248" s="165">
        <v>2023</v>
      </c>
    </row>
    <row r="249" spans="1:18" x14ac:dyDescent="0.3">
      <c r="A249" s="165" t="str">
        <f>presuvigencias[[#This Row],[PROYECTO]]&amp;presuvigencias[[#This Row],[METAPDD]]</f>
        <v>775373</v>
      </c>
      <c r="B249" s="165" t="str">
        <f>presuvigencias[[#This Row],[PROYECTO]]&amp;presuvigencias[[#This Row],[META]]</f>
        <v>77531</v>
      </c>
      <c r="C249" s="168">
        <v>7753</v>
      </c>
      <c r="D249" s="165">
        <v>1</v>
      </c>
      <c r="E249" s="165">
        <f>VLOOKUP(presuvigencias[[#This Row],[LLAVE]],ESTRATÉGICO!$C$3:$R$110,16,0)</f>
        <v>73</v>
      </c>
      <c r="F249" s="165">
        <v>113236359</v>
      </c>
      <c r="G249" s="165">
        <v>99789800</v>
      </c>
      <c r="H249" s="165">
        <v>96139400</v>
      </c>
      <c r="I249" s="165">
        <v>2022</v>
      </c>
      <c r="K249" s="165">
        <v>77561</v>
      </c>
      <c r="L249" s="166">
        <v>7756</v>
      </c>
      <c r="M249" s="165">
        <v>1</v>
      </c>
      <c r="N249" s="165">
        <v>301388360</v>
      </c>
      <c r="O249" s="165">
        <v>0</v>
      </c>
      <c r="P249" s="165">
        <f>Reservas[[#This Row],[Suma de VALOR_INICIAL]]-Reservas[[#This Row],[Suma de TOTAL LIBERACIONES]]</f>
        <v>301388360</v>
      </c>
      <c r="Q249" s="165">
        <v>301388360.77999997</v>
      </c>
      <c r="R249" s="165">
        <v>2023</v>
      </c>
    </row>
    <row r="250" spans="1:18" x14ac:dyDescent="0.3">
      <c r="A250" s="165" t="str">
        <f>presuvigencias[[#This Row],[PROYECTO]]&amp;presuvigencias[[#This Row],[METAPDD]]</f>
        <v>775373</v>
      </c>
      <c r="B250" s="165" t="str">
        <f>presuvigencias[[#This Row],[PROYECTO]]&amp;presuvigencias[[#This Row],[META]]</f>
        <v>77532</v>
      </c>
      <c r="C250" s="168">
        <v>7753</v>
      </c>
      <c r="D250" s="165">
        <v>2</v>
      </c>
      <c r="E250" s="165">
        <f>VLOOKUP(presuvigencias[[#This Row],[LLAVE]],ESTRATÉGICO!$C$3:$R$110,16,0)</f>
        <v>73</v>
      </c>
      <c r="F250" s="165">
        <v>567789141</v>
      </c>
      <c r="G250" s="165">
        <v>556944641</v>
      </c>
      <c r="H250" s="165">
        <v>486762641</v>
      </c>
      <c r="I250" s="165">
        <v>2022</v>
      </c>
      <c r="K250" s="165">
        <v>77562</v>
      </c>
      <c r="L250" s="166">
        <v>7756</v>
      </c>
      <c r="M250" s="165">
        <v>2</v>
      </c>
      <c r="N250" s="165">
        <v>163376948</v>
      </c>
      <c r="O250" s="165">
        <v>0</v>
      </c>
      <c r="P250" s="165">
        <f>Reservas[[#This Row],[Suma de VALOR_INICIAL]]-Reservas[[#This Row],[Suma de TOTAL LIBERACIONES]]</f>
        <v>163376948</v>
      </c>
      <c r="Q250" s="165">
        <v>163376948</v>
      </c>
      <c r="R250" s="165">
        <v>2023</v>
      </c>
    </row>
    <row r="251" spans="1:18" x14ac:dyDescent="0.3">
      <c r="A251" s="165" t="str">
        <f>presuvigencias[[#This Row],[PROYECTO]]&amp;presuvigencias[[#This Row],[METAPDD]]</f>
        <v>775373</v>
      </c>
      <c r="B251" s="165" t="str">
        <f>presuvigencias[[#This Row],[PROYECTO]]&amp;presuvigencias[[#This Row],[META]]</f>
        <v>77533</v>
      </c>
      <c r="C251" s="168">
        <v>7753</v>
      </c>
      <c r="D251" s="165">
        <v>3</v>
      </c>
      <c r="E251" s="165">
        <f>VLOOKUP(presuvigencias[[#This Row],[LLAVE]],ESTRATÉGICO!$C$3:$R$110,16,0)</f>
        <v>73</v>
      </c>
      <c r="F251" s="165">
        <v>181276000</v>
      </c>
      <c r="G251" s="165">
        <v>181276000</v>
      </c>
      <c r="H251" s="165">
        <v>150589000</v>
      </c>
      <c r="I251" s="165">
        <v>2022</v>
      </c>
      <c r="K251" s="165">
        <v>77563</v>
      </c>
      <c r="L251" s="166">
        <v>7756</v>
      </c>
      <c r="M251" s="165">
        <v>3</v>
      </c>
      <c r="N251" s="165">
        <v>48585755</v>
      </c>
      <c r="O251" s="165">
        <v>0</v>
      </c>
      <c r="P251" s="165">
        <f>Reservas[[#This Row],[Suma de VALOR_INICIAL]]-Reservas[[#This Row],[Suma de TOTAL LIBERACIONES]]</f>
        <v>48585755</v>
      </c>
      <c r="Q251" s="165">
        <v>48585754.670000002</v>
      </c>
      <c r="R251" s="165">
        <v>2023</v>
      </c>
    </row>
    <row r="252" spans="1:18" x14ac:dyDescent="0.3">
      <c r="A252" s="165" t="str">
        <f>presuvigencias[[#This Row],[PROYECTO]]&amp;presuvigencias[[#This Row],[METAPDD]]</f>
        <v>775373</v>
      </c>
      <c r="B252" s="165" t="str">
        <f>presuvigencias[[#This Row],[PROYECTO]]&amp;presuvigencias[[#This Row],[META]]</f>
        <v>77534</v>
      </c>
      <c r="C252" s="169">
        <v>7753</v>
      </c>
      <c r="D252" s="165">
        <v>4</v>
      </c>
      <c r="E252" s="165">
        <f>VLOOKUP(presuvigencias[[#This Row],[LLAVE]],ESTRATÉGICO!$C$3:$R$110,16,0)</f>
        <v>73</v>
      </c>
      <c r="F252" s="165">
        <v>160912000</v>
      </c>
      <c r="G252" s="165">
        <v>160912000</v>
      </c>
      <c r="H252" s="165">
        <v>160912000</v>
      </c>
      <c r="I252" s="165">
        <v>2022</v>
      </c>
      <c r="K252" s="165">
        <v>77564</v>
      </c>
      <c r="L252" s="166">
        <v>7756</v>
      </c>
      <c r="M252" s="165">
        <v>4</v>
      </c>
      <c r="N252" s="165">
        <v>58283010</v>
      </c>
      <c r="O252" s="165">
        <v>3</v>
      </c>
      <c r="P252" s="165">
        <f>Reservas[[#This Row],[Suma de VALOR_INICIAL]]-Reservas[[#This Row],[Suma de TOTAL LIBERACIONES]]</f>
        <v>58283007</v>
      </c>
      <c r="Q252" s="165">
        <v>58283007</v>
      </c>
      <c r="R252" s="165">
        <v>2023</v>
      </c>
    </row>
    <row r="253" spans="1:18" x14ac:dyDescent="0.3">
      <c r="A253" s="165" t="str">
        <f>presuvigencias[[#This Row],[PROYECTO]]&amp;presuvigencias[[#This Row],[METAPDD]]</f>
        <v>775631</v>
      </c>
      <c r="B253" s="165" t="str">
        <f>presuvigencias[[#This Row],[PROYECTO]]&amp;presuvigencias[[#This Row],[META]]</f>
        <v>77561</v>
      </c>
      <c r="C253" s="168">
        <v>7756</v>
      </c>
      <c r="D253" s="165">
        <v>1</v>
      </c>
      <c r="E253" s="165">
        <f>VLOOKUP(presuvigencias[[#This Row],[LLAVE]],ESTRATÉGICO!$C$3:$R$110,16,0)</f>
        <v>31</v>
      </c>
      <c r="F253" s="165">
        <v>895660362</v>
      </c>
      <c r="G253" s="165">
        <v>843561094.56999993</v>
      </c>
      <c r="H253" s="165">
        <v>537131464.47000003</v>
      </c>
      <c r="I253" s="165">
        <v>2022</v>
      </c>
      <c r="K253" s="165">
        <v>77565</v>
      </c>
      <c r="L253" s="167">
        <v>7756</v>
      </c>
      <c r="M253" s="165">
        <v>5</v>
      </c>
      <c r="N253" s="165">
        <v>433075357</v>
      </c>
      <c r="O253" s="165">
        <v>33238563</v>
      </c>
      <c r="P253" s="165">
        <f>Reservas[[#This Row],[Suma de VALOR_INICIAL]]-Reservas[[#This Row],[Suma de TOTAL LIBERACIONES]]</f>
        <v>399836794</v>
      </c>
      <c r="Q253" s="165">
        <v>379097786.55000001</v>
      </c>
      <c r="R253" s="165">
        <v>2023</v>
      </c>
    </row>
    <row r="254" spans="1:18" x14ac:dyDescent="0.3">
      <c r="A254" s="165" t="str">
        <f>presuvigencias[[#This Row],[PROYECTO]]&amp;presuvigencias[[#This Row],[METAPDD]]</f>
        <v>775631</v>
      </c>
      <c r="B254" s="165" t="str">
        <f>presuvigencias[[#This Row],[PROYECTO]]&amp;presuvigencias[[#This Row],[META]]</f>
        <v>77562</v>
      </c>
      <c r="C254" s="168">
        <v>7756</v>
      </c>
      <c r="D254" s="165">
        <v>2</v>
      </c>
      <c r="E254" s="165">
        <f>VLOOKUP(presuvigencias[[#This Row],[LLAVE]],ESTRATÉGICO!$C$3:$R$110,16,0)</f>
        <v>31</v>
      </c>
      <c r="F254" s="165">
        <v>1600052547</v>
      </c>
      <c r="G254" s="165">
        <v>1278257227</v>
      </c>
      <c r="H254" s="165">
        <v>1117660841.3699999</v>
      </c>
      <c r="I254" s="165">
        <v>2022</v>
      </c>
      <c r="K254" s="165">
        <v>77571</v>
      </c>
      <c r="L254" s="166">
        <v>7757</v>
      </c>
      <c r="M254" s="165">
        <v>1</v>
      </c>
      <c r="N254" s="165">
        <v>328731871.39999998</v>
      </c>
      <c r="O254" s="165">
        <v>73500420.400000006</v>
      </c>
      <c r="P254" s="165">
        <f>Reservas[[#This Row],[Suma de VALOR_INICIAL]]-Reservas[[#This Row],[Suma de TOTAL LIBERACIONES]]</f>
        <v>255231450.99999997</v>
      </c>
      <c r="Q254" s="165">
        <v>221259484.11000001</v>
      </c>
      <c r="R254" s="165">
        <v>2023</v>
      </c>
    </row>
    <row r="255" spans="1:18" x14ac:dyDescent="0.3">
      <c r="A255" s="165" t="str">
        <f>presuvigencias[[#This Row],[PROYECTO]]&amp;presuvigencias[[#This Row],[METAPDD]]</f>
        <v>775625</v>
      </c>
      <c r="B255" s="165" t="str">
        <f>presuvigencias[[#This Row],[PROYECTO]]&amp;presuvigencias[[#This Row],[META]]</f>
        <v>77563</v>
      </c>
      <c r="C255" s="168">
        <v>7756</v>
      </c>
      <c r="D255" s="165">
        <v>3</v>
      </c>
      <c r="E255" s="165">
        <f>VLOOKUP(presuvigencias[[#This Row],[LLAVE]],ESTRATÉGICO!$C$3:$R$110,16,0)</f>
        <v>25</v>
      </c>
      <c r="F255" s="165">
        <v>125187605</v>
      </c>
      <c r="G255" s="165">
        <v>125187605</v>
      </c>
      <c r="H255" s="165">
        <v>76601850.329999998</v>
      </c>
      <c r="I255" s="165">
        <v>2022</v>
      </c>
      <c r="K255" s="165">
        <v>77572</v>
      </c>
      <c r="L255" s="166">
        <v>7757</v>
      </c>
      <c r="M255" s="165">
        <v>2</v>
      </c>
      <c r="N255" s="165">
        <v>259131979.59999999</v>
      </c>
      <c r="O255" s="165">
        <v>22504079.600000001</v>
      </c>
      <c r="P255" s="165">
        <f>Reservas[[#This Row],[Suma de VALOR_INICIAL]]-Reservas[[#This Row],[Suma de TOTAL LIBERACIONES]]</f>
        <v>236627900</v>
      </c>
      <c r="Q255" s="165">
        <v>236371700</v>
      </c>
      <c r="R255" s="165">
        <v>2023</v>
      </c>
    </row>
    <row r="256" spans="1:18" x14ac:dyDescent="0.3">
      <c r="A256" s="165" t="str">
        <f>presuvigencias[[#This Row],[PROYECTO]]&amp;presuvigencias[[#This Row],[METAPDD]]</f>
        <v>775625</v>
      </c>
      <c r="B256" s="165" t="str">
        <f>presuvigencias[[#This Row],[PROYECTO]]&amp;presuvigencias[[#This Row],[META]]</f>
        <v>77564</v>
      </c>
      <c r="C256" s="168">
        <v>7756</v>
      </c>
      <c r="D256" s="165">
        <v>4</v>
      </c>
      <c r="E256" s="165">
        <f>VLOOKUP(presuvigencias[[#This Row],[LLAVE]],ESTRATÉGICO!$C$3:$R$110,16,0)</f>
        <v>25</v>
      </c>
      <c r="F256" s="165">
        <v>360982483</v>
      </c>
      <c r="G256" s="165">
        <v>268834312.44999999</v>
      </c>
      <c r="H256" s="165">
        <v>198389009.51000002</v>
      </c>
      <c r="I256" s="165">
        <v>2022</v>
      </c>
      <c r="K256" s="165">
        <v>77573</v>
      </c>
      <c r="L256" s="166">
        <v>7757</v>
      </c>
      <c r="M256" s="165">
        <v>3</v>
      </c>
      <c r="N256" s="165">
        <v>1073092204</v>
      </c>
      <c r="O256" s="165">
        <v>42696867</v>
      </c>
      <c r="P256" s="165">
        <f>Reservas[[#This Row],[Suma de VALOR_INICIAL]]-Reservas[[#This Row],[Suma de TOTAL LIBERACIONES]]</f>
        <v>1030395337</v>
      </c>
      <c r="Q256" s="165">
        <v>973411486.12</v>
      </c>
      <c r="R256" s="165">
        <v>2023</v>
      </c>
    </row>
    <row r="257" spans="1:18" x14ac:dyDescent="0.3">
      <c r="A257" s="165" t="str">
        <f>presuvigencias[[#This Row],[PROYECTO]]&amp;presuvigencias[[#This Row],[METAPDD]]</f>
        <v>775625</v>
      </c>
      <c r="B257" s="165" t="str">
        <f>presuvigencias[[#This Row],[PROYECTO]]&amp;presuvigencias[[#This Row],[META]]</f>
        <v>77565</v>
      </c>
      <c r="C257" s="169">
        <v>7756</v>
      </c>
      <c r="D257" s="165">
        <v>5</v>
      </c>
      <c r="E257" s="165">
        <f>VLOOKUP(presuvigencias[[#This Row],[LLAVE]],ESTRATÉGICO!$C$3:$R$110,16,0)</f>
        <v>25</v>
      </c>
      <c r="F257" s="165">
        <v>1824604003</v>
      </c>
      <c r="G257" s="165">
        <v>1788552095.98</v>
      </c>
      <c r="H257" s="165">
        <v>1369899739.3199999</v>
      </c>
      <c r="I257" s="165">
        <v>2022</v>
      </c>
      <c r="K257" s="165">
        <v>77574</v>
      </c>
      <c r="L257" s="166">
        <v>7757</v>
      </c>
      <c r="M257" s="165">
        <v>4</v>
      </c>
      <c r="N257" s="165">
        <v>3673393798.1700001</v>
      </c>
      <c r="O257" s="165">
        <v>76733128</v>
      </c>
      <c r="P257" s="165">
        <f>Reservas[[#This Row],[Suma de VALOR_INICIAL]]-Reservas[[#This Row],[Suma de TOTAL LIBERACIONES]]</f>
        <v>3596660670.1700001</v>
      </c>
      <c r="Q257" s="165">
        <v>3483774336.77</v>
      </c>
      <c r="R257" s="165">
        <v>2023</v>
      </c>
    </row>
    <row r="258" spans="1:18" x14ac:dyDescent="0.3">
      <c r="A258" s="165" t="str">
        <f>presuvigencias[[#This Row],[PROYECTO]]&amp;presuvigencias[[#This Row],[METAPDD]]</f>
        <v>775713</v>
      </c>
      <c r="B258" s="165" t="str">
        <f>presuvigencias[[#This Row],[PROYECTO]]&amp;presuvigencias[[#This Row],[META]]</f>
        <v>77571</v>
      </c>
      <c r="C258" s="168">
        <v>7757</v>
      </c>
      <c r="D258" s="165">
        <v>1</v>
      </c>
      <c r="E258" s="165">
        <f>VLOOKUP(presuvigencias[[#This Row],[LLAVE]],ESTRATÉGICO!$C$3:$R$110,16,0)</f>
        <v>13</v>
      </c>
      <c r="F258" s="165">
        <v>1602891700</v>
      </c>
      <c r="G258" s="165">
        <v>1581456296.3800001</v>
      </c>
      <c r="H258" s="165">
        <v>1290242843.072089</v>
      </c>
      <c r="I258" s="165">
        <v>2022</v>
      </c>
      <c r="K258" s="165">
        <v>77575</v>
      </c>
      <c r="L258" s="167">
        <v>7757</v>
      </c>
      <c r="M258" s="165">
        <v>5</v>
      </c>
      <c r="N258" s="165">
        <v>91888782</v>
      </c>
      <c r="O258" s="165">
        <v>1520314</v>
      </c>
      <c r="P258" s="165">
        <f>Reservas[[#This Row],[Suma de VALOR_INICIAL]]-Reservas[[#This Row],[Suma de TOTAL LIBERACIONES]]</f>
        <v>90368468</v>
      </c>
      <c r="Q258" s="165">
        <v>81160909</v>
      </c>
      <c r="R258" s="165">
        <v>2023</v>
      </c>
    </row>
    <row r="259" spans="1:18" x14ac:dyDescent="0.3">
      <c r="A259" s="165" t="str">
        <f>presuvigencias[[#This Row],[PROYECTO]]&amp;presuvigencias[[#This Row],[METAPDD]]</f>
        <v>775713</v>
      </c>
      <c r="B259" s="165" t="str">
        <f>presuvigencias[[#This Row],[PROYECTO]]&amp;presuvigencias[[#This Row],[META]]</f>
        <v>77572</v>
      </c>
      <c r="C259" s="168">
        <v>7757</v>
      </c>
      <c r="D259" s="165">
        <v>2</v>
      </c>
      <c r="E259" s="165">
        <f>VLOOKUP(presuvigencias[[#This Row],[LLAVE]],ESTRATÉGICO!$C$3:$R$110,16,0)</f>
        <v>13</v>
      </c>
      <c r="F259" s="165">
        <v>1340244946</v>
      </c>
      <c r="G259" s="165">
        <v>1305863621.45</v>
      </c>
      <c r="H259" s="165">
        <v>1052059107.039749</v>
      </c>
      <c r="I259" s="165">
        <v>2022</v>
      </c>
      <c r="K259" s="165">
        <v>77681</v>
      </c>
      <c r="L259" s="166">
        <v>7768</v>
      </c>
      <c r="M259" s="165">
        <v>1</v>
      </c>
      <c r="N259" s="165">
        <v>302421900</v>
      </c>
      <c r="O259" s="165">
        <v>0</v>
      </c>
      <c r="P259" s="165">
        <f>Reservas[[#This Row],[Suma de VALOR_INICIAL]]-Reservas[[#This Row],[Suma de TOTAL LIBERACIONES]]</f>
        <v>302421900</v>
      </c>
      <c r="Q259" s="165">
        <v>291921900</v>
      </c>
      <c r="R259" s="165">
        <v>2023</v>
      </c>
    </row>
    <row r="260" spans="1:18" x14ac:dyDescent="0.3">
      <c r="A260" s="165" t="str">
        <f>presuvigencias[[#This Row],[PROYECTO]]&amp;presuvigencias[[#This Row],[METAPDD]]</f>
        <v>775716</v>
      </c>
      <c r="B260" s="165" t="str">
        <f>presuvigencias[[#This Row],[PROYECTO]]&amp;presuvigencias[[#This Row],[META]]</f>
        <v>77573</v>
      </c>
      <c r="C260" s="168">
        <v>7757</v>
      </c>
      <c r="D260" s="165">
        <v>3</v>
      </c>
      <c r="E260" s="165">
        <f>VLOOKUP(presuvigencias[[#This Row],[LLAVE]],ESTRATÉGICO!$C$3:$R$110,16,0)</f>
        <v>16</v>
      </c>
      <c r="F260" s="165">
        <v>5291225595</v>
      </c>
      <c r="G260" s="165">
        <v>5078305469.6800003</v>
      </c>
      <c r="H260" s="165">
        <v>3992858238.4061937</v>
      </c>
      <c r="I260" s="165">
        <v>2022</v>
      </c>
      <c r="K260" s="165">
        <v>77682</v>
      </c>
      <c r="L260" s="166">
        <v>7768</v>
      </c>
      <c r="M260" s="165">
        <v>2</v>
      </c>
      <c r="N260" s="165">
        <v>1403387968</v>
      </c>
      <c r="O260" s="165">
        <v>0</v>
      </c>
      <c r="P260" s="165">
        <f>Reservas[[#This Row],[Suma de VALOR_INICIAL]]-Reservas[[#This Row],[Suma de TOTAL LIBERACIONES]]</f>
        <v>1403387968</v>
      </c>
      <c r="Q260" s="165">
        <v>1388611255</v>
      </c>
      <c r="R260" s="165">
        <v>2023</v>
      </c>
    </row>
    <row r="261" spans="1:18" x14ac:dyDescent="0.3">
      <c r="A261" s="165" t="str">
        <f>presuvigencias[[#This Row],[PROYECTO]]&amp;presuvigencias[[#This Row],[METAPDD]]</f>
        <v>775717</v>
      </c>
      <c r="B261" s="165" t="str">
        <f>presuvigencias[[#This Row],[PROYECTO]]&amp;presuvigencias[[#This Row],[META]]</f>
        <v>77574</v>
      </c>
      <c r="C261" s="168">
        <v>7757</v>
      </c>
      <c r="D261" s="165">
        <v>4</v>
      </c>
      <c r="E261" s="165">
        <f>VLOOKUP(presuvigencias[[#This Row],[LLAVE]],ESTRATÉGICO!$C$3:$R$110,16,0)</f>
        <v>17</v>
      </c>
      <c r="F261" s="165">
        <v>35006156669</v>
      </c>
      <c r="G261" s="165">
        <v>34549242043.489998</v>
      </c>
      <c r="H261" s="165">
        <v>30845357389.481964</v>
      </c>
      <c r="I261" s="165">
        <v>2022</v>
      </c>
      <c r="K261" s="165">
        <v>77683</v>
      </c>
      <c r="L261" s="166">
        <v>7768</v>
      </c>
      <c r="M261" s="165">
        <v>3</v>
      </c>
      <c r="N261" s="165">
        <v>268555533</v>
      </c>
      <c r="O261" s="165">
        <v>0</v>
      </c>
      <c r="P261" s="165">
        <f>Reservas[[#This Row],[Suma de VALOR_INICIAL]]-Reservas[[#This Row],[Suma de TOTAL LIBERACIONES]]</f>
        <v>268555533</v>
      </c>
      <c r="Q261" s="165">
        <v>261131173</v>
      </c>
      <c r="R261" s="165">
        <v>2023</v>
      </c>
    </row>
    <row r="262" spans="1:18" x14ac:dyDescent="0.3">
      <c r="A262" s="165" t="str">
        <f>presuvigencias[[#This Row],[PROYECTO]]&amp;presuvigencias[[#This Row],[METAPDD]]</f>
        <v>775717</v>
      </c>
      <c r="B262" s="165" t="str">
        <f>presuvigencias[[#This Row],[PROYECTO]]&amp;presuvigencias[[#This Row],[META]]</f>
        <v>77575</v>
      </c>
      <c r="C262" s="169">
        <v>7757</v>
      </c>
      <c r="D262" s="165">
        <v>5</v>
      </c>
      <c r="E262" s="165">
        <f>VLOOKUP(presuvigencias[[#This Row],[LLAVE]],ESTRATÉGICO!$C$3:$R$110,16,0)</f>
        <v>17</v>
      </c>
      <c r="F262" s="165">
        <v>403433090</v>
      </c>
      <c r="G262" s="165">
        <v>401760659</v>
      </c>
      <c r="H262" s="165">
        <v>309871877</v>
      </c>
      <c r="I262" s="165">
        <v>2022</v>
      </c>
      <c r="K262" s="165">
        <v>77684</v>
      </c>
      <c r="L262" s="167">
        <v>7768</v>
      </c>
      <c r="M262" s="165">
        <v>4</v>
      </c>
      <c r="N262" s="165">
        <v>99621233</v>
      </c>
      <c r="O262" s="165">
        <v>0</v>
      </c>
      <c r="P262" s="165">
        <f>Reservas[[#This Row],[Suma de VALOR_INICIAL]]-Reservas[[#This Row],[Suma de TOTAL LIBERACIONES]]</f>
        <v>99621233</v>
      </c>
      <c r="Q262" s="165">
        <v>93755033</v>
      </c>
      <c r="R262" s="165">
        <v>2023</v>
      </c>
    </row>
    <row r="263" spans="1:18" x14ac:dyDescent="0.3">
      <c r="A263" s="165" t="str">
        <f>presuvigencias[[#This Row],[PROYECTO]]&amp;presuvigencias[[#This Row],[METAPDD]]</f>
        <v>776815</v>
      </c>
      <c r="B263" s="165" t="str">
        <f>presuvigencias[[#This Row],[PROYECTO]]&amp;presuvigencias[[#This Row],[META]]</f>
        <v>77681</v>
      </c>
      <c r="C263" s="168">
        <v>7768</v>
      </c>
      <c r="D263" s="165">
        <v>1</v>
      </c>
      <c r="E263" s="165">
        <f>VLOOKUP(presuvigencias[[#This Row],[LLAVE]],ESTRATÉGICO!$C$3:$R$110,16,0)</f>
        <v>15</v>
      </c>
      <c r="F263" s="165">
        <v>873748873</v>
      </c>
      <c r="G263" s="165">
        <v>857872873</v>
      </c>
      <c r="H263" s="165">
        <v>555450973</v>
      </c>
      <c r="I263" s="165">
        <v>2022</v>
      </c>
      <c r="K263" s="165">
        <v>77701</v>
      </c>
      <c r="L263" s="166">
        <v>7770</v>
      </c>
      <c r="M263" s="165">
        <v>1</v>
      </c>
      <c r="N263" s="165">
        <v>1831578785</v>
      </c>
      <c r="O263" s="165">
        <v>0</v>
      </c>
      <c r="P263" s="165">
        <f>Reservas[[#This Row],[Suma de VALOR_INICIAL]]-Reservas[[#This Row],[Suma de TOTAL LIBERACIONES]]</f>
        <v>1831578785</v>
      </c>
      <c r="Q263" s="165">
        <v>1801686743</v>
      </c>
      <c r="R263" s="165">
        <v>2023</v>
      </c>
    </row>
    <row r="264" spans="1:18" x14ac:dyDescent="0.3">
      <c r="A264" s="165" t="str">
        <f>presuvigencias[[#This Row],[PROYECTO]]&amp;presuvigencias[[#This Row],[METAPDD]]</f>
        <v>776815</v>
      </c>
      <c r="B264" s="165" t="str">
        <f>presuvigencias[[#This Row],[PROYECTO]]&amp;presuvigencias[[#This Row],[META]]</f>
        <v>77682</v>
      </c>
      <c r="C264" s="168">
        <v>7768</v>
      </c>
      <c r="D264" s="165">
        <v>2</v>
      </c>
      <c r="E264" s="165">
        <f>VLOOKUP(presuvigencias[[#This Row],[LLAVE]],ESTRATÉGICO!$C$3:$R$110,16,0)</f>
        <v>15</v>
      </c>
      <c r="F264" s="165">
        <v>2513650077</v>
      </c>
      <c r="G264" s="165">
        <v>2433716594</v>
      </c>
      <c r="H264" s="165">
        <v>1030328626</v>
      </c>
      <c r="I264" s="165">
        <v>2022</v>
      </c>
      <c r="K264" s="165">
        <v>77702</v>
      </c>
      <c r="L264" s="166">
        <v>7770</v>
      </c>
      <c r="M264" s="165">
        <v>2</v>
      </c>
      <c r="N264" s="165">
        <v>9738242531</v>
      </c>
      <c r="O264" s="165">
        <v>232223176</v>
      </c>
      <c r="P264" s="165">
        <f>Reservas[[#This Row],[Suma de VALOR_INICIAL]]-Reservas[[#This Row],[Suma de TOTAL LIBERACIONES]]</f>
        <v>9506019355</v>
      </c>
      <c r="Q264" s="165">
        <v>8201057731</v>
      </c>
      <c r="R264" s="165">
        <v>2023</v>
      </c>
    </row>
    <row r="265" spans="1:18" x14ac:dyDescent="0.3">
      <c r="A265" s="165" t="str">
        <f>presuvigencias[[#This Row],[PROYECTO]]&amp;presuvigencias[[#This Row],[METAPDD]]</f>
        <v>776815</v>
      </c>
      <c r="B265" s="165" t="str">
        <f>presuvigencias[[#This Row],[PROYECTO]]&amp;presuvigencias[[#This Row],[META]]</f>
        <v>77683</v>
      </c>
      <c r="C265" s="168">
        <v>7768</v>
      </c>
      <c r="D265" s="165">
        <v>3</v>
      </c>
      <c r="E265" s="165">
        <f>VLOOKUP(presuvigencias[[#This Row],[LLAVE]],ESTRATÉGICO!$C$3:$R$110,16,0)</f>
        <v>15</v>
      </c>
      <c r="F265" s="165">
        <v>1291473748</v>
      </c>
      <c r="G265" s="165">
        <v>1271725659</v>
      </c>
      <c r="H265" s="165">
        <v>1003170126</v>
      </c>
      <c r="I265" s="165">
        <v>2022</v>
      </c>
      <c r="K265" s="165">
        <v>77703</v>
      </c>
      <c r="L265" s="166">
        <v>7770</v>
      </c>
      <c r="M265" s="165">
        <v>3</v>
      </c>
      <c r="N265" s="165">
        <v>2902196456</v>
      </c>
      <c r="O265" s="165">
        <v>3092313</v>
      </c>
      <c r="P265" s="165">
        <f>Reservas[[#This Row],[Suma de VALOR_INICIAL]]-Reservas[[#This Row],[Suma de TOTAL LIBERACIONES]]</f>
        <v>2899104143</v>
      </c>
      <c r="Q265" s="165">
        <v>2847211889</v>
      </c>
      <c r="R265" s="165">
        <v>2023</v>
      </c>
    </row>
    <row r="266" spans="1:18" x14ac:dyDescent="0.3">
      <c r="A266" s="165" t="str">
        <f>presuvigencias[[#This Row],[PROYECTO]]&amp;presuvigencias[[#This Row],[METAPDD]]</f>
        <v>776814</v>
      </c>
      <c r="B266" s="165" t="str">
        <f>presuvigencias[[#This Row],[PROYECTO]]&amp;presuvigencias[[#This Row],[META]]</f>
        <v>77684</v>
      </c>
      <c r="C266" s="169">
        <v>7768</v>
      </c>
      <c r="D266" s="165">
        <v>4</v>
      </c>
      <c r="E266" s="165">
        <f>VLOOKUP(presuvigencias[[#This Row],[LLAVE]],ESTRATÉGICO!$C$3:$R$110,16,0)</f>
        <v>14</v>
      </c>
      <c r="F266" s="165">
        <v>1718434000</v>
      </c>
      <c r="G266" s="165">
        <v>1712948868</v>
      </c>
      <c r="H266" s="165">
        <v>1613327635</v>
      </c>
      <c r="I266" s="165">
        <v>2022</v>
      </c>
      <c r="K266" s="165">
        <v>77704</v>
      </c>
      <c r="L266" s="166">
        <v>7770</v>
      </c>
      <c r="M266" s="165">
        <v>4</v>
      </c>
      <c r="N266" s="165">
        <v>10300979135</v>
      </c>
      <c r="O266" s="165">
        <v>80952434</v>
      </c>
      <c r="P266" s="165">
        <f>Reservas[[#This Row],[Suma de VALOR_INICIAL]]-Reservas[[#This Row],[Suma de TOTAL LIBERACIONES]]</f>
        <v>10220026701</v>
      </c>
      <c r="Q266" s="165">
        <v>10094871813</v>
      </c>
      <c r="R266" s="165">
        <v>2023</v>
      </c>
    </row>
    <row r="267" spans="1:18" x14ac:dyDescent="0.3">
      <c r="A267" s="165" t="str">
        <f>presuvigencias[[#This Row],[PROYECTO]]&amp;presuvigencias[[#This Row],[METAPDD]]</f>
        <v>777061</v>
      </c>
      <c r="B267" s="165" t="str">
        <f>presuvigencias[[#This Row],[PROYECTO]]&amp;presuvigencias[[#This Row],[META]]</f>
        <v>77701</v>
      </c>
      <c r="C267" s="168">
        <v>7770</v>
      </c>
      <c r="D267" s="165">
        <v>1</v>
      </c>
      <c r="E267" s="165">
        <f>VLOOKUP(presuvigencias[[#This Row],[LLAVE]],ESTRATÉGICO!$C$3:$R$110,16,0)</f>
        <v>61</v>
      </c>
      <c r="F267" s="165">
        <v>97083327000</v>
      </c>
      <c r="G267" s="165">
        <v>96979759000</v>
      </c>
      <c r="H267" s="165">
        <v>95148180215</v>
      </c>
      <c r="I267" s="165">
        <v>2022</v>
      </c>
      <c r="K267" s="165">
        <v>77705</v>
      </c>
      <c r="L267" s="166">
        <v>7770</v>
      </c>
      <c r="M267" s="165">
        <v>5</v>
      </c>
      <c r="N267" s="165">
        <v>206801834</v>
      </c>
      <c r="O267" s="165">
        <v>36582000</v>
      </c>
      <c r="P267" s="165">
        <f>Reservas[[#This Row],[Suma de VALOR_INICIAL]]-Reservas[[#This Row],[Suma de TOTAL LIBERACIONES]]</f>
        <v>170219834</v>
      </c>
      <c r="Q267" s="165">
        <v>170219834</v>
      </c>
      <c r="R267" s="165">
        <v>2023</v>
      </c>
    </row>
    <row r="268" spans="1:18" x14ac:dyDescent="0.3">
      <c r="A268" s="165" t="str">
        <f>presuvigencias[[#This Row],[PROYECTO]]&amp;presuvigencias[[#This Row],[METAPDD]]</f>
        <v>777060</v>
      </c>
      <c r="B268" s="165" t="str">
        <f>presuvigencias[[#This Row],[PROYECTO]]&amp;presuvigencias[[#This Row],[META]]</f>
        <v>77702</v>
      </c>
      <c r="C268" s="168">
        <v>7770</v>
      </c>
      <c r="D268" s="165">
        <v>2</v>
      </c>
      <c r="E268" s="165">
        <f>VLOOKUP(presuvigencias[[#This Row],[LLAVE]],ESTRATÉGICO!$C$3:$R$110,16,0)</f>
        <v>60</v>
      </c>
      <c r="F268" s="165">
        <v>28184725235</v>
      </c>
      <c r="G268" s="165">
        <v>24541751830.25</v>
      </c>
      <c r="H268" s="165">
        <v>14803509299.25</v>
      </c>
      <c r="I268" s="165">
        <v>2022</v>
      </c>
      <c r="K268" s="165">
        <v>77706</v>
      </c>
      <c r="L268" s="166">
        <v>7770</v>
      </c>
      <c r="M268" s="165">
        <v>6</v>
      </c>
      <c r="N268" s="165">
        <v>976090950</v>
      </c>
      <c r="O268" s="165">
        <v>10248642</v>
      </c>
      <c r="P268" s="165">
        <f>Reservas[[#This Row],[Suma de VALOR_INICIAL]]-Reservas[[#This Row],[Suma de TOTAL LIBERACIONES]]</f>
        <v>965842308</v>
      </c>
      <c r="Q268" s="165">
        <v>910124433</v>
      </c>
      <c r="R268" s="165">
        <v>2023</v>
      </c>
    </row>
    <row r="269" spans="1:18" x14ac:dyDescent="0.3">
      <c r="A269" s="165" t="str">
        <f>presuvigencias[[#This Row],[PROYECTO]]&amp;presuvigencias[[#This Row],[METAPDD]]</f>
        <v>777060</v>
      </c>
      <c r="B269" s="165" t="str">
        <f>presuvigencias[[#This Row],[PROYECTO]]&amp;presuvigencias[[#This Row],[META]]</f>
        <v>77703</v>
      </c>
      <c r="C269" s="168">
        <v>7770</v>
      </c>
      <c r="D269" s="165">
        <v>3</v>
      </c>
      <c r="E269" s="165">
        <f>VLOOKUP(presuvigencias[[#This Row],[LLAVE]],ESTRATÉGICO!$C$3:$R$110,16,0)</f>
        <v>60</v>
      </c>
      <c r="F269" s="165">
        <v>10693120507</v>
      </c>
      <c r="G269" s="165">
        <v>10566618971</v>
      </c>
      <c r="H269" s="165">
        <v>7664422515</v>
      </c>
      <c r="I269" s="165">
        <v>2022</v>
      </c>
      <c r="K269" s="165">
        <v>77707</v>
      </c>
      <c r="L269" s="167">
        <v>7770</v>
      </c>
      <c r="M269" s="165">
        <v>7</v>
      </c>
      <c r="N269" s="165">
        <v>19423000</v>
      </c>
      <c r="O269" s="165">
        <v>0</v>
      </c>
      <c r="P269" s="165">
        <f>Reservas[[#This Row],[Suma de VALOR_INICIAL]]-Reservas[[#This Row],[Suma de TOTAL LIBERACIONES]]</f>
        <v>19423000</v>
      </c>
      <c r="Q269" s="165">
        <v>19423000</v>
      </c>
      <c r="R269" s="165">
        <v>2023</v>
      </c>
    </row>
    <row r="270" spans="1:18" x14ac:dyDescent="0.3">
      <c r="A270" s="165" t="str">
        <f>presuvigencias[[#This Row],[PROYECTO]]&amp;presuvigencias[[#This Row],[METAPDD]]</f>
        <v>777060</v>
      </c>
      <c r="B270" s="165" t="str">
        <f>presuvigencias[[#This Row],[PROYECTO]]&amp;presuvigencias[[#This Row],[META]]</f>
        <v>77704</v>
      </c>
      <c r="C270" s="168">
        <v>7770</v>
      </c>
      <c r="D270" s="165">
        <v>4</v>
      </c>
      <c r="E270" s="165">
        <f>VLOOKUP(presuvigencias[[#This Row],[LLAVE]],ESTRATÉGICO!$C$3:$R$110,16,0)</f>
        <v>60</v>
      </c>
      <c r="F270" s="165">
        <v>71276898162</v>
      </c>
      <c r="G270" s="165">
        <v>70203430738.75</v>
      </c>
      <c r="H270" s="165">
        <v>59902451603.75</v>
      </c>
      <c r="I270" s="165">
        <v>2022</v>
      </c>
      <c r="K270" s="165">
        <v>77711</v>
      </c>
      <c r="L270" s="166">
        <v>7771</v>
      </c>
      <c r="M270" s="165">
        <v>1</v>
      </c>
      <c r="N270" s="165">
        <v>815938439</v>
      </c>
      <c r="O270" s="165">
        <v>25907733</v>
      </c>
      <c r="P270" s="165">
        <f>Reservas[[#This Row],[Suma de VALOR_INICIAL]]-Reservas[[#This Row],[Suma de TOTAL LIBERACIONES]]</f>
        <v>790030706</v>
      </c>
      <c r="Q270" s="165">
        <v>754274500.94999993</v>
      </c>
      <c r="R270" s="165">
        <v>2023</v>
      </c>
    </row>
    <row r="271" spans="1:18" x14ac:dyDescent="0.3">
      <c r="A271" s="165" t="str">
        <f>presuvigencias[[#This Row],[PROYECTO]]&amp;presuvigencias[[#This Row],[METAPDD]]</f>
        <v>777049</v>
      </c>
      <c r="B271" s="165" t="str">
        <f>presuvigencias[[#This Row],[PROYECTO]]&amp;presuvigencias[[#This Row],[META]]</f>
        <v>77705</v>
      </c>
      <c r="C271" s="168">
        <v>7770</v>
      </c>
      <c r="D271" s="165">
        <v>5</v>
      </c>
      <c r="E271" s="165">
        <f>VLOOKUP(presuvigencias[[#This Row],[LLAVE]],ESTRATÉGICO!$C$3:$R$110,16,0)</f>
        <v>49</v>
      </c>
      <c r="F271" s="165">
        <v>639164500</v>
      </c>
      <c r="G271" s="165">
        <v>597528500</v>
      </c>
      <c r="H271" s="165">
        <v>390726666</v>
      </c>
      <c r="I271" s="165">
        <v>2022</v>
      </c>
      <c r="K271" s="165">
        <v>77712</v>
      </c>
      <c r="L271" s="166">
        <v>7771</v>
      </c>
      <c r="M271" s="165">
        <v>2</v>
      </c>
      <c r="N271" s="165">
        <v>14312297351</v>
      </c>
      <c r="O271" s="165">
        <v>465136422</v>
      </c>
      <c r="P271" s="165">
        <f>Reservas[[#This Row],[Suma de VALOR_INICIAL]]-Reservas[[#This Row],[Suma de TOTAL LIBERACIONES]]</f>
        <v>13847160929</v>
      </c>
      <c r="Q271" s="165">
        <v>12751163474.049999</v>
      </c>
      <c r="R271" s="165">
        <v>2023</v>
      </c>
    </row>
    <row r="272" spans="1:18" x14ac:dyDescent="0.3">
      <c r="A272" s="165" t="str">
        <f>presuvigencias[[#This Row],[PROYECTO]]&amp;presuvigencias[[#This Row],[METAPDD]]</f>
        <v>777060</v>
      </c>
      <c r="B272" s="165" t="str">
        <f>presuvigencias[[#This Row],[PROYECTO]]&amp;presuvigencias[[#This Row],[META]]</f>
        <v>77706</v>
      </c>
      <c r="C272" s="168">
        <v>7770</v>
      </c>
      <c r="D272" s="165">
        <v>6</v>
      </c>
      <c r="E272" s="165">
        <f>VLOOKUP(presuvigencias[[#This Row],[LLAVE]],ESTRATÉGICO!$C$3:$R$110,16,0)</f>
        <v>60</v>
      </c>
      <c r="F272" s="165">
        <v>4667619744</v>
      </c>
      <c r="G272" s="165">
        <v>4622359602</v>
      </c>
      <c r="H272" s="165">
        <v>3646268652</v>
      </c>
      <c r="I272" s="165">
        <v>2022</v>
      </c>
      <c r="K272" s="165">
        <v>77713</v>
      </c>
      <c r="L272" s="166">
        <v>7771</v>
      </c>
      <c r="M272" s="165">
        <v>3</v>
      </c>
      <c r="N272" s="165">
        <v>52849357</v>
      </c>
      <c r="O272" s="165">
        <v>0</v>
      </c>
      <c r="P272" s="165">
        <f>Reservas[[#This Row],[Suma de VALOR_INICIAL]]-Reservas[[#This Row],[Suma de TOTAL LIBERACIONES]]</f>
        <v>52849357</v>
      </c>
      <c r="Q272" s="165">
        <v>47275840</v>
      </c>
      <c r="R272" s="165">
        <v>2023</v>
      </c>
    </row>
    <row r="273" spans="1:18" x14ac:dyDescent="0.3">
      <c r="A273" s="165" t="str">
        <f>presuvigencias[[#This Row],[PROYECTO]]&amp;presuvigencias[[#This Row],[METAPDD]]</f>
        <v>777060</v>
      </c>
      <c r="B273" s="165" t="str">
        <f>presuvigencias[[#This Row],[PROYECTO]]&amp;presuvigencias[[#This Row],[META]]</f>
        <v>77707</v>
      </c>
      <c r="C273" s="169">
        <v>7770</v>
      </c>
      <c r="D273" s="165">
        <v>7</v>
      </c>
      <c r="E273" s="165">
        <f>VLOOKUP(presuvigencias[[#This Row],[LLAVE]],ESTRATÉGICO!$C$3:$R$110,16,0)</f>
        <v>60</v>
      </c>
      <c r="F273" s="165">
        <v>213653000</v>
      </c>
      <c r="G273" s="165">
        <v>213653000</v>
      </c>
      <c r="H273" s="165">
        <v>194230000</v>
      </c>
      <c r="I273" s="165">
        <v>2022</v>
      </c>
      <c r="K273" s="165">
        <v>77714</v>
      </c>
      <c r="L273" s="166">
        <v>7771</v>
      </c>
      <c r="M273" s="165">
        <v>4</v>
      </c>
      <c r="N273" s="165">
        <v>40613400</v>
      </c>
      <c r="O273" s="165">
        <v>0</v>
      </c>
      <c r="P273" s="165">
        <f>Reservas[[#This Row],[Suma de VALOR_INICIAL]]-Reservas[[#This Row],[Suma de TOTAL LIBERACIONES]]</f>
        <v>40613400</v>
      </c>
      <c r="Q273" s="165">
        <v>40613400</v>
      </c>
      <c r="R273" s="165">
        <v>2023</v>
      </c>
    </row>
    <row r="274" spans="1:18" x14ac:dyDescent="0.3">
      <c r="A274" s="165" t="str">
        <f>presuvigencias[[#This Row],[PROYECTO]]&amp;presuvigencias[[#This Row],[METAPDD]]</f>
        <v>777157</v>
      </c>
      <c r="B274" s="165" t="str">
        <f>presuvigencias[[#This Row],[PROYECTO]]&amp;presuvigencias[[#This Row],[META]]</f>
        <v>77711</v>
      </c>
      <c r="C274" s="168">
        <v>7771</v>
      </c>
      <c r="D274" s="165">
        <v>1</v>
      </c>
      <c r="E274" s="165">
        <f>VLOOKUP(presuvigencias[[#This Row],[LLAVE]],ESTRATÉGICO!$C$3:$R$110,16,0)</f>
        <v>57</v>
      </c>
      <c r="F274" s="165">
        <v>4470096978</v>
      </c>
      <c r="G274" s="165">
        <v>2346221107</v>
      </c>
      <c r="H274" s="165">
        <v>1530282668</v>
      </c>
      <c r="I274" s="165">
        <v>2022</v>
      </c>
      <c r="K274" s="165">
        <v>77715</v>
      </c>
      <c r="L274" s="167">
        <v>7771</v>
      </c>
      <c r="M274" s="165">
        <v>5</v>
      </c>
      <c r="N274" s="165">
        <v>56905151</v>
      </c>
      <c r="O274" s="165">
        <v>1</v>
      </c>
      <c r="P274" s="165">
        <f>Reservas[[#This Row],[Suma de VALOR_INICIAL]]-Reservas[[#This Row],[Suma de TOTAL LIBERACIONES]]</f>
        <v>56905150</v>
      </c>
      <c r="Q274" s="165">
        <v>53675783</v>
      </c>
      <c r="R274" s="165">
        <v>2023</v>
      </c>
    </row>
    <row r="275" spans="1:18" x14ac:dyDescent="0.3">
      <c r="A275" s="165" t="str">
        <f>presuvigencias[[#This Row],[PROYECTO]]&amp;presuvigencias[[#This Row],[METAPDD]]</f>
        <v>777158</v>
      </c>
      <c r="B275" s="165" t="str">
        <f>presuvigencias[[#This Row],[PROYECTO]]&amp;presuvigencias[[#This Row],[META]]</f>
        <v>77712</v>
      </c>
      <c r="C275" s="168">
        <v>7771</v>
      </c>
      <c r="D275" s="165">
        <v>2</v>
      </c>
      <c r="E275" s="165">
        <f>VLOOKUP(presuvigencias[[#This Row],[LLAVE]],ESTRATÉGICO!$C$3:$R$110,16,0)</f>
        <v>58</v>
      </c>
      <c r="F275" s="165">
        <v>65467062610</v>
      </c>
      <c r="G275" s="165">
        <v>65284073996</v>
      </c>
      <c r="H275" s="165">
        <v>50971776645</v>
      </c>
      <c r="I275" s="165">
        <v>2022</v>
      </c>
    </row>
    <row r="276" spans="1:18" x14ac:dyDescent="0.3">
      <c r="A276" s="165" t="str">
        <f>presuvigencias[[#This Row],[PROYECTO]]&amp;presuvigencias[[#This Row],[METAPDD]]</f>
        <v>777159</v>
      </c>
      <c r="B276" s="165" t="str">
        <f>presuvigencias[[#This Row],[PROYECTO]]&amp;presuvigencias[[#This Row],[META]]</f>
        <v>77713</v>
      </c>
      <c r="C276" s="168">
        <v>7771</v>
      </c>
      <c r="D276" s="165">
        <v>3</v>
      </c>
      <c r="E276" s="165">
        <f>VLOOKUP(presuvigencias[[#This Row],[LLAVE]],ESTRATÉGICO!$C$3:$R$110,16,0)</f>
        <v>59</v>
      </c>
      <c r="F276" s="165">
        <v>199218000</v>
      </c>
      <c r="G276" s="165">
        <v>199218000</v>
      </c>
      <c r="H276" s="165">
        <v>146368643</v>
      </c>
      <c r="I276" s="165">
        <v>2022</v>
      </c>
    </row>
    <row r="277" spans="1:18" x14ac:dyDescent="0.3">
      <c r="A277" s="165" t="str">
        <f>presuvigencias[[#This Row],[PROYECTO]]&amp;presuvigencias[[#This Row],[METAPDD]]</f>
        <v>777159</v>
      </c>
      <c r="B277" s="165" t="str">
        <f>presuvigencias[[#This Row],[PROYECTO]]&amp;presuvigencias[[#This Row],[META]]</f>
        <v>77714</v>
      </c>
      <c r="C277" s="168">
        <v>7771</v>
      </c>
      <c r="D277" s="165">
        <v>4</v>
      </c>
      <c r="E277" s="165">
        <f>VLOOKUP(presuvigencias[[#This Row],[LLAVE]],ESTRATÉGICO!$C$3:$R$110,16,0)</f>
        <v>59</v>
      </c>
      <c r="F277" s="165">
        <v>265637200</v>
      </c>
      <c r="G277" s="165">
        <v>265637200</v>
      </c>
      <c r="H277" s="165">
        <v>225023800</v>
      </c>
      <c r="I277" s="165">
        <v>2022</v>
      </c>
    </row>
    <row r="278" spans="1:18" x14ac:dyDescent="0.3">
      <c r="A278" s="165" t="str">
        <f>presuvigencias[[#This Row],[PROYECTO]]&amp;presuvigencias[[#This Row],[METAPDD]]</f>
        <v>777159</v>
      </c>
      <c r="B278" s="165" t="str">
        <f>presuvigencias[[#This Row],[PROYECTO]]&amp;presuvigencias[[#This Row],[META]]</f>
        <v>77715</v>
      </c>
      <c r="C278" s="169">
        <v>7771</v>
      </c>
      <c r="D278" s="165">
        <v>5</v>
      </c>
      <c r="E278" s="165">
        <f>VLOOKUP(presuvigencias[[#This Row],[LLAVE]],ESTRATÉGICO!$C$3:$R$110,16,0)</f>
        <v>59</v>
      </c>
      <c r="F278" s="165">
        <v>338910461</v>
      </c>
      <c r="G278" s="165">
        <v>338910424</v>
      </c>
      <c r="H278" s="165">
        <v>282005273</v>
      </c>
      <c r="I278" s="165">
        <v>2022</v>
      </c>
    </row>
    <row r="279" spans="1:18" x14ac:dyDescent="0.3">
      <c r="A279" s="165" t="str">
        <f>presuvigencias[[#This Row],[PROYECTO]]&amp;presuvigencias[[#This Row],[METAPDD]]</f>
        <v>7564364</v>
      </c>
      <c r="B279" s="165" t="str">
        <f>presuvigencias[[#This Row],[PROYECTO]]&amp;presuvigencias[[#This Row],[META]]</f>
        <v>75641</v>
      </c>
      <c r="C279" s="168">
        <v>7564</v>
      </c>
      <c r="D279" s="165">
        <v>1</v>
      </c>
      <c r="E279" s="165">
        <f>VLOOKUP(presuvigencias[[#This Row],[LLAVE]],ESTRATÉGICO!$C$3:$R$110,16,0)</f>
        <v>364</v>
      </c>
      <c r="F279" s="165">
        <v>81257733</v>
      </c>
      <c r="G279" s="165">
        <v>81257733</v>
      </c>
      <c r="H279" s="165">
        <v>64962733</v>
      </c>
      <c r="I279" s="165">
        <v>2023</v>
      </c>
    </row>
    <row r="280" spans="1:18" x14ac:dyDescent="0.3">
      <c r="A280" s="165" t="str">
        <f>presuvigencias[[#This Row],[PROYECTO]]&amp;presuvigencias[[#This Row],[METAPDD]]</f>
        <v>7564364</v>
      </c>
      <c r="B280" s="165" t="str">
        <f>presuvigencias[[#This Row],[PROYECTO]]&amp;presuvigencias[[#This Row],[META]]</f>
        <v>75642</v>
      </c>
      <c r="C280" s="169">
        <v>7564</v>
      </c>
      <c r="D280" s="165">
        <v>2</v>
      </c>
      <c r="E280" s="165">
        <f>VLOOKUP(presuvigencias[[#This Row],[LLAVE]],ESTRATÉGICO!$C$3:$R$110,16,0)</f>
        <v>364</v>
      </c>
      <c r="F280" s="165">
        <v>19211332093</v>
      </c>
      <c r="G280" s="165">
        <v>19122653890</v>
      </c>
      <c r="H280" s="165">
        <v>15960376643</v>
      </c>
      <c r="I280" s="165">
        <v>2023</v>
      </c>
    </row>
    <row r="281" spans="1:18" x14ac:dyDescent="0.3">
      <c r="A281" s="165" t="str">
        <f>presuvigencias[[#This Row],[PROYECTO]]&amp;presuvigencias[[#This Row],[METAPDD]]</f>
        <v>756562</v>
      </c>
      <c r="B281" s="165" t="str">
        <f>presuvigencias[[#This Row],[PROYECTO]]&amp;presuvigencias[[#This Row],[META]]</f>
        <v>75652</v>
      </c>
      <c r="C281" s="168">
        <v>7565</v>
      </c>
      <c r="D281" s="165">
        <v>2</v>
      </c>
      <c r="E281" s="165">
        <f>VLOOKUP(presuvigencias[[#This Row],[LLAVE]],ESTRATÉGICO!$C$3:$R$110,16,0)</f>
        <v>62</v>
      </c>
      <c r="F281" s="165">
        <v>0</v>
      </c>
      <c r="I281" s="165">
        <v>2023</v>
      </c>
    </row>
    <row r="282" spans="1:18" x14ac:dyDescent="0.3">
      <c r="A282" s="165" t="str">
        <f>presuvigencias[[#This Row],[PROYECTO]]&amp;presuvigencias[[#This Row],[METAPDD]]</f>
        <v>756562</v>
      </c>
      <c r="B282" s="165" t="str">
        <f>presuvigencias[[#This Row],[PROYECTO]]&amp;presuvigencias[[#This Row],[META]]</f>
        <v>75654</v>
      </c>
      <c r="C282" s="168">
        <v>7565</v>
      </c>
      <c r="D282" s="165">
        <v>4</v>
      </c>
      <c r="E282" s="165">
        <f>VLOOKUP(presuvigencias[[#This Row],[LLAVE]],ESTRATÉGICO!$C$3:$R$110,16,0)</f>
        <v>62</v>
      </c>
      <c r="F282" s="165">
        <v>20591624808</v>
      </c>
      <c r="G282" s="165">
        <v>20591597235</v>
      </c>
      <c r="H282" s="165">
        <v>8678718366</v>
      </c>
      <c r="I282" s="165">
        <v>2023</v>
      </c>
    </row>
    <row r="283" spans="1:18" x14ac:dyDescent="0.3">
      <c r="A283" s="165" t="str">
        <f>presuvigencias[[#This Row],[PROYECTO]]&amp;presuvigencias[[#This Row],[METAPDD]]</f>
        <v>756562</v>
      </c>
      <c r="B283" s="165" t="str">
        <f>presuvigencias[[#This Row],[PROYECTO]]&amp;presuvigencias[[#This Row],[META]]</f>
        <v>75655</v>
      </c>
      <c r="C283" s="168">
        <v>7565</v>
      </c>
      <c r="D283" s="165">
        <v>5</v>
      </c>
      <c r="E283" s="165">
        <f>VLOOKUP(presuvigencias[[#This Row],[LLAVE]],ESTRATÉGICO!$C$3:$R$110,16,0)</f>
        <v>62</v>
      </c>
      <c r="F283" s="165">
        <v>4023138795</v>
      </c>
      <c r="G283" s="165">
        <v>4023138795</v>
      </c>
      <c r="H283" s="165">
        <v>2301917362</v>
      </c>
      <c r="I283" s="165">
        <v>2023</v>
      </c>
    </row>
    <row r="284" spans="1:18" x14ac:dyDescent="0.3">
      <c r="A284" s="165" t="str">
        <f>presuvigencias[[#This Row],[PROYECTO]]&amp;presuvigencias[[#This Row],[METAPDD]]</f>
        <v>756562</v>
      </c>
      <c r="B284" s="165" t="str">
        <f>presuvigencias[[#This Row],[PROYECTO]]&amp;presuvigencias[[#This Row],[META]]</f>
        <v>75656</v>
      </c>
      <c r="C284" s="168">
        <v>7565</v>
      </c>
      <c r="D284" s="165">
        <v>6</v>
      </c>
      <c r="E284" s="165">
        <f>VLOOKUP(presuvigencias[[#This Row],[LLAVE]],ESTRATÉGICO!$C$3:$R$110,16,0)</f>
        <v>62</v>
      </c>
      <c r="F284" s="165">
        <v>586956000</v>
      </c>
      <c r="G284" s="165">
        <v>586956000</v>
      </c>
      <c r="H284" s="165">
        <v>438897457.91000003</v>
      </c>
      <c r="I284" s="165">
        <v>2023</v>
      </c>
    </row>
    <row r="285" spans="1:18" x14ac:dyDescent="0.3">
      <c r="A285" s="165" t="str">
        <f>presuvigencias[[#This Row],[PROYECTO]]&amp;presuvigencias[[#This Row],[METAPDD]]</f>
        <v>756562</v>
      </c>
      <c r="B285" s="165" t="str">
        <f>presuvigencias[[#This Row],[PROYECTO]]&amp;presuvigencias[[#This Row],[META]]</f>
        <v>75657</v>
      </c>
      <c r="C285" s="168">
        <v>7565</v>
      </c>
      <c r="D285" s="165">
        <v>7</v>
      </c>
      <c r="E285" s="165">
        <f>VLOOKUP(presuvigencias[[#This Row],[LLAVE]],ESTRATÉGICO!$C$3:$R$110,16,0)</f>
        <v>62</v>
      </c>
      <c r="F285" s="165">
        <v>27921164807</v>
      </c>
      <c r="G285" s="165">
        <v>27888610382</v>
      </c>
      <c r="H285" s="165">
        <v>21240462083.09</v>
      </c>
      <c r="I285" s="165">
        <v>2023</v>
      </c>
    </row>
    <row r="286" spans="1:18" x14ac:dyDescent="0.3">
      <c r="A286" s="165" t="str">
        <f>presuvigencias[[#This Row],[PROYECTO]]&amp;presuvigencias[[#This Row],[METAPDD]]</f>
        <v>756562</v>
      </c>
      <c r="B286" s="165" t="str">
        <f>presuvigencias[[#This Row],[PROYECTO]]&amp;presuvigencias[[#This Row],[META]]</f>
        <v>75658</v>
      </c>
      <c r="C286" s="168">
        <v>7565</v>
      </c>
      <c r="D286" s="165">
        <v>8</v>
      </c>
      <c r="E286" s="165">
        <f>VLOOKUP(presuvigencias[[#This Row],[LLAVE]],ESTRATÉGICO!$C$3:$R$110,16,0)</f>
        <v>62</v>
      </c>
      <c r="F286" s="165">
        <v>13525656057</v>
      </c>
      <c r="G286" s="165">
        <v>13389669870</v>
      </c>
      <c r="H286" s="165">
        <v>12366312890</v>
      </c>
      <c r="I286" s="165">
        <v>2023</v>
      </c>
    </row>
    <row r="287" spans="1:18" x14ac:dyDescent="0.3">
      <c r="A287" s="165" t="str">
        <f>presuvigencias[[#This Row],[PROYECTO]]&amp;presuvigencias[[#This Row],[METAPDD]]</f>
        <v>756562</v>
      </c>
      <c r="B287" s="165" t="str">
        <f>presuvigencias[[#This Row],[PROYECTO]]&amp;presuvigencias[[#This Row],[META]]</f>
        <v>75659</v>
      </c>
      <c r="C287" s="168">
        <v>7565</v>
      </c>
      <c r="D287" s="165">
        <v>9</v>
      </c>
      <c r="E287" s="165">
        <f>VLOOKUP(presuvigencias[[#This Row],[LLAVE]],ESTRATÉGICO!$C$3:$R$110,16,0)</f>
        <v>62</v>
      </c>
      <c r="F287" s="165">
        <v>40576644</v>
      </c>
      <c r="G287" s="165">
        <v>40576644</v>
      </c>
      <c r="H287" s="165">
        <v>33679764</v>
      </c>
      <c r="I287" s="165">
        <v>2023</v>
      </c>
    </row>
    <row r="288" spans="1:18" x14ac:dyDescent="0.3">
      <c r="A288" s="165" t="str">
        <f>presuvigencias[[#This Row],[PROYECTO]]&amp;presuvigencias[[#This Row],[METAPDD]]</f>
        <v>756562</v>
      </c>
      <c r="B288" s="165" t="str">
        <f>presuvigencias[[#This Row],[PROYECTO]]&amp;presuvigencias[[#This Row],[META]]</f>
        <v>756511</v>
      </c>
      <c r="C288" s="168">
        <v>7565</v>
      </c>
      <c r="D288" s="165">
        <v>11</v>
      </c>
      <c r="E288" s="165">
        <f>VLOOKUP(presuvigencias[[#This Row],[LLAVE]],ESTRATÉGICO!$C$3:$R$110,16,0)</f>
        <v>62</v>
      </c>
      <c r="F288" s="165">
        <v>5472849265</v>
      </c>
      <c r="G288" s="165">
        <v>637849265</v>
      </c>
      <c r="H288" s="165">
        <v>463139906</v>
      </c>
      <c r="I288" s="165">
        <v>2023</v>
      </c>
    </row>
    <row r="289" spans="1:9" x14ac:dyDescent="0.3">
      <c r="A289" s="165" t="str">
        <f>presuvigencias[[#This Row],[PROYECTO]]&amp;presuvigencias[[#This Row],[METAPDD]]</f>
        <v>756562</v>
      </c>
      <c r="B289" s="165" t="str">
        <f>presuvigencias[[#This Row],[PROYECTO]]&amp;presuvigencias[[#This Row],[META]]</f>
        <v>756512</v>
      </c>
      <c r="C289" s="169">
        <v>7565</v>
      </c>
      <c r="D289" s="165">
        <v>12</v>
      </c>
      <c r="E289" s="165">
        <f>VLOOKUP(presuvigencias[[#This Row],[LLAVE]],ESTRATÉGICO!$C$3:$R$110,16,0)</f>
        <v>62</v>
      </c>
      <c r="F289" s="165">
        <v>22351746178</v>
      </c>
      <c r="G289" s="165">
        <v>22351746178</v>
      </c>
      <c r="H289" s="165">
        <v>286943932</v>
      </c>
      <c r="I289" s="165">
        <v>2023</v>
      </c>
    </row>
    <row r="290" spans="1:9" x14ac:dyDescent="0.3">
      <c r="A290" s="165" t="str">
        <f>presuvigencias[[#This Row],[PROYECTO]]&amp;presuvigencias[[#This Row],[METAPDD]]</f>
        <v>773021</v>
      </c>
      <c r="B290" s="165" t="str">
        <f>presuvigencias[[#This Row],[PROYECTO]]&amp;presuvigencias[[#This Row],[META]]</f>
        <v>77301</v>
      </c>
      <c r="C290" s="168">
        <v>7730</v>
      </c>
      <c r="D290" s="165">
        <v>1</v>
      </c>
      <c r="E290" s="165">
        <f>VLOOKUP(presuvigencias[[#This Row],[LLAVE]],ESTRATÉGICO!$C$3:$R$110,16,0)</f>
        <v>21</v>
      </c>
      <c r="F290" s="165">
        <v>240047151</v>
      </c>
      <c r="G290" s="165">
        <v>230095346</v>
      </c>
      <c r="H290" s="165">
        <v>172488575</v>
      </c>
      <c r="I290" s="165">
        <v>2023</v>
      </c>
    </row>
    <row r="291" spans="1:9" x14ac:dyDescent="0.3">
      <c r="A291" s="165" t="str">
        <f>presuvigencias[[#This Row],[PROYECTO]]&amp;presuvigencias[[#This Row],[METAPDD]]</f>
        <v>773021</v>
      </c>
      <c r="B291" s="165" t="str">
        <f>presuvigencias[[#This Row],[PROYECTO]]&amp;presuvigencias[[#This Row],[META]]</f>
        <v>77302</v>
      </c>
      <c r="C291" s="168">
        <v>7730</v>
      </c>
      <c r="D291" s="165">
        <v>2</v>
      </c>
      <c r="E291" s="165">
        <f>VLOOKUP(presuvigencias[[#This Row],[LLAVE]],ESTRATÉGICO!$C$3:$R$110,16,0)</f>
        <v>21</v>
      </c>
      <c r="F291" s="165">
        <v>233974800</v>
      </c>
      <c r="G291" s="165">
        <v>233974800</v>
      </c>
      <c r="H291" s="165">
        <v>200005600</v>
      </c>
      <c r="I291" s="165">
        <v>2023</v>
      </c>
    </row>
    <row r="292" spans="1:9" x14ac:dyDescent="0.3">
      <c r="A292" s="165" t="str">
        <f>presuvigencias[[#This Row],[PROYECTO]]&amp;presuvigencias[[#This Row],[METAPDD]]</f>
        <v>773021</v>
      </c>
      <c r="B292" s="165" t="str">
        <f>presuvigencias[[#This Row],[PROYECTO]]&amp;presuvigencias[[#This Row],[META]]</f>
        <v>77303</v>
      </c>
      <c r="C292" s="169">
        <v>7730</v>
      </c>
      <c r="D292" s="165">
        <v>3</v>
      </c>
      <c r="E292" s="165">
        <f>VLOOKUP(presuvigencias[[#This Row],[LLAVE]],ESTRATÉGICO!$C$3:$R$110,16,0)</f>
        <v>21</v>
      </c>
      <c r="F292" s="165">
        <v>744483049</v>
      </c>
      <c r="G292" s="165">
        <v>741392225</v>
      </c>
      <c r="H292" s="165">
        <v>572478836</v>
      </c>
      <c r="I292" s="165">
        <v>2023</v>
      </c>
    </row>
    <row r="293" spans="1:9" x14ac:dyDescent="0.3">
      <c r="A293" s="165" t="str">
        <f>presuvigencias[[#This Row],[PROYECTO]]&amp;presuvigencias[[#This Row],[METAPDD]]</f>
        <v>7733484</v>
      </c>
      <c r="B293" s="165" t="str">
        <f>presuvigencias[[#This Row],[PROYECTO]]&amp;presuvigencias[[#This Row],[META]]</f>
        <v>77331</v>
      </c>
      <c r="C293" s="168">
        <v>7733</v>
      </c>
      <c r="D293" s="165">
        <v>1</v>
      </c>
      <c r="E293" s="165">
        <f>VLOOKUP(presuvigencias[[#This Row],[LLAVE]],ESTRATÉGICO!$C$3:$R$110,16,0)</f>
        <v>484</v>
      </c>
      <c r="F293" s="165">
        <v>2038161918</v>
      </c>
      <c r="G293" s="165">
        <v>2038161918</v>
      </c>
      <c r="H293" s="165">
        <v>1594873247</v>
      </c>
      <c r="I293" s="165">
        <v>2023</v>
      </c>
    </row>
    <row r="294" spans="1:9" x14ac:dyDescent="0.3">
      <c r="A294" s="165" t="str">
        <f>presuvigencias[[#This Row],[PROYECTO]]&amp;presuvigencias[[#This Row],[METAPDD]]</f>
        <v>7733481</v>
      </c>
      <c r="B294" s="165" t="str">
        <f>presuvigencias[[#This Row],[PROYECTO]]&amp;presuvigencias[[#This Row],[META]]</f>
        <v>77332</v>
      </c>
      <c r="C294" s="168">
        <v>7733</v>
      </c>
      <c r="D294" s="165">
        <v>2</v>
      </c>
      <c r="E294" s="165">
        <f>VLOOKUP(presuvigencias[[#This Row],[LLAVE]],ESTRATÉGICO!$C$3:$R$110,16,0)</f>
        <v>481</v>
      </c>
      <c r="F294" s="165">
        <v>1102827697</v>
      </c>
      <c r="G294" s="165">
        <v>1084136430</v>
      </c>
      <c r="H294" s="165">
        <v>889860696</v>
      </c>
      <c r="I294" s="165">
        <v>2023</v>
      </c>
    </row>
    <row r="295" spans="1:9" x14ac:dyDescent="0.3">
      <c r="A295" s="165" t="str">
        <f>presuvigencias[[#This Row],[PROYECTO]]&amp;presuvigencias[[#This Row],[METAPDD]]</f>
        <v>7733481</v>
      </c>
      <c r="B295" s="165" t="str">
        <f>presuvigencias[[#This Row],[PROYECTO]]&amp;presuvigencias[[#This Row],[META]]</f>
        <v>77333</v>
      </c>
      <c r="C295" s="168">
        <v>7733</v>
      </c>
      <c r="D295" s="165">
        <v>3</v>
      </c>
      <c r="E295" s="165">
        <f>VLOOKUP(presuvigencias[[#This Row],[LLAVE]],ESTRATÉGICO!$C$3:$R$110,16,0)</f>
        <v>481</v>
      </c>
      <c r="F295" s="165">
        <v>774531828</v>
      </c>
      <c r="G295" s="165">
        <v>774296728</v>
      </c>
      <c r="H295" s="165">
        <v>673373363</v>
      </c>
      <c r="I295" s="165">
        <v>2023</v>
      </c>
    </row>
    <row r="296" spans="1:9" x14ac:dyDescent="0.3">
      <c r="A296" s="165" t="str">
        <f>presuvigencias[[#This Row],[PROYECTO]]&amp;presuvigencias[[#This Row],[METAPDD]]</f>
        <v>7733481</v>
      </c>
      <c r="B296" s="165" t="str">
        <f>presuvigencias[[#This Row],[PROYECTO]]&amp;presuvigencias[[#This Row],[META]]</f>
        <v>77334</v>
      </c>
      <c r="C296" s="169">
        <v>7733</v>
      </c>
      <c r="D296" s="165">
        <v>4</v>
      </c>
      <c r="E296" s="165">
        <f>VLOOKUP(presuvigencias[[#This Row],[LLAVE]],ESTRATÉGICO!$C$3:$R$110,16,0)</f>
        <v>481</v>
      </c>
      <c r="F296" s="165">
        <v>269920808</v>
      </c>
      <c r="G296" s="165">
        <v>269919467</v>
      </c>
      <c r="H296" s="165">
        <v>235113467</v>
      </c>
      <c r="I296" s="165">
        <v>2023</v>
      </c>
    </row>
    <row r="297" spans="1:9" x14ac:dyDescent="0.3">
      <c r="A297" s="165" t="str">
        <f>presuvigencias[[#This Row],[PROYECTO]]&amp;presuvigencias[[#This Row],[METAPDD]]</f>
        <v>7735545</v>
      </c>
      <c r="B297" s="165" t="str">
        <f>presuvigencias[[#This Row],[PROYECTO]]&amp;presuvigencias[[#This Row],[META]]</f>
        <v>77351</v>
      </c>
      <c r="C297" s="168">
        <v>7735</v>
      </c>
      <c r="D297" s="165">
        <v>1</v>
      </c>
      <c r="E297" s="165">
        <f>VLOOKUP(presuvigencias[[#This Row],[LLAVE]],ESTRATÉGICO!$C$3:$R$110,16,0)</f>
        <v>545</v>
      </c>
      <c r="F297" s="165">
        <v>1033017271</v>
      </c>
      <c r="G297" s="165">
        <v>1026273188</v>
      </c>
      <c r="H297" s="165">
        <v>789422221</v>
      </c>
      <c r="I297" s="165">
        <v>2023</v>
      </c>
    </row>
    <row r="298" spans="1:9" x14ac:dyDescent="0.3">
      <c r="A298" s="165" t="str">
        <f>presuvigencias[[#This Row],[PROYECTO]]&amp;presuvigencias[[#This Row],[METAPDD]]</f>
        <v>7735545</v>
      </c>
      <c r="B298" s="165" t="str">
        <f>presuvigencias[[#This Row],[PROYECTO]]&amp;presuvigencias[[#This Row],[META]]</f>
        <v>77352</v>
      </c>
      <c r="C298" s="168">
        <v>7735</v>
      </c>
      <c r="D298" s="165">
        <v>2</v>
      </c>
      <c r="E298" s="165">
        <f>VLOOKUP(presuvigencias[[#This Row],[LLAVE]],ESTRATÉGICO!$C$3:$R$110,16,0)</f>
        <v>545</v>
      </c>
      <c r="F298" s="165">
        <v>41120175</v>
      </c>
      <c r="G298" s="165">
        <v>41120175</v>
      </c>
      <c r="H298" s="165">
        <v>37099536</v>
      </c>
      <c r="I298" s="165">
        <v>2023</v>
      </c>
    </row>
    <row r="299" spans="1:9" x14ac:dyDescent="0.3">
      <c r="A299" s="165" t="str">
        <f>presuvigencias[[#This Row],[PROYECTO]]&amp;presuvigencias[[#This Row],[METAPDD]]</f>
        <v>7735546</v>
      </c>
      <c r="B299" s="165" t="str">
        <f>presuvigencias[[#This Row],[PROYECTO]]&amp;presuvigencias[[#This Row],[META]]</f>
        <v>77353</v>
      </c>
      <c r="C299" s="168">
        <v>7735</v>
      </c>
      <c r="D299" s="165">
        <v>3</v>
      </c>
      <c r="E299" s="165">
        <f>VLOOKUP(presuvigencias[[#This Row],[LLAVE]],ESTRATÉGICO!$C$3:$R$110,16,0)</f>
        <v>546</v>
      </c>
      <c r="F299" s="165">
        <v>469642759</v>
      </c>
      <c r="G299" s="165">
        <v>464373691</v>
      </c>
      <c r="H299" s="165">
        <v>348306662</v>
      </c>
      <c r="I299" s="165">
        <v>2023</v>
      </c>
    </row>
    <row r="300" spans="1:9" x14ac:dyDescent="0.3">
      <c r="A300" s="165" t="str">
        <f>presuvigencias[[#This Row],[PROYECTO]]&amp;presuvigencias[[#This Row],[METAPDD]]</f>
        <v>7735545</v>
      </c>
      <c r="B300" s="165" t="str">
        <f>presuvigencias[[#This Row],[PROYECTO]]&amp;presuvigencias[[#This Row],[META]]</f>
        <v>77354</v>
      </c>
      <c r="C300" s="168">
        <v>7735</v>
      </c>
      <c r="D300" s="165">
        <v>4</v>
      </c>
      <c r="E300" s="165">
        <f>VLOOKUP(presuvigencias[[#This Row],[LLAVE]],ESTRATÉGICO!$C$3:$R$110,16,0)</f>
        <v>545</v>
      </c>
      <c r="F300" s="165">
        <v>1825008427</v>
      </c>
      <c r="G300" s="165">
        <v>1797621665</v>
      </c>
      <c r="H300" s="165">
        <v>1282412496</v>
      </c>
      <c r="I300" s="165">
        <v>2023</v>
      </c>
    </row>
    <row r="301" spans="1:9" x14ac:dyDescent="0.3">
      <c r="A301" s="165" t="str">
        <f>presuvigencias[[#This Row],[PROYECTO]]&amp;presuvigencias[[#This Row],[METAPDD]]</f>
        <v>7735545</v>
      </c>
      <c r="B301" s="165" t="str">
        <f>presuvigencias[[#This Row],[PROYECTO]]&amp;presuvigencias[[#This Row],[META]]</f>
        <v>77355</v>
      </c>
      <c r="C301" s="169">
        <v>7735</v>
      </c>
      <c r="D301" s="165">
        <v>5</v>
      </c>
      <c r="E301" s="165">
        <f>VLOOKUP(presuvigencias[[#This Row],[LLAVE]],ESTRATÉGICO!$C$3:$R$110,16,0)</f>
        <v>545</v>
      </c>
      <c r="F301" s="165">
        <v>922166368</v>
      </c>
      <c r="G301" s="165">
        <v>921300410</v>
      </c>
      <c r="H301" s="165">
        <v>666105171</v>
      </c>
      <c r="I301" s="165">
        <v>2023</v>
      </c>
    </row>
    <row r="302" spans="1:9" x14ac:dyDescent="0.3">
      <c r="A302" s="165" t="str">
        <f>presuvigencias[[#This Row],[PROYECTO]]&amp;presuvigencias[[#This Row],[METAPDD]]</f>
        <v>7740114</v>
      </c>
      <c r="B302" s="165" t="str">
        <f>presuvigencias[[#This Row],[PROYECTO]]&amp;presuvigencias[[#This Row],[META]]</f>
        <v>77401</v>
      </c>
      <c r="C302" s="168">
        <v>7740</v>
      </c>
      <c r="D302" s="165">
        <v>1</v>
      </c>
      <c r="E302" s="165">
        <f>VLOOKUP(presuvigencias[[#This Row],[LLAVE]],ESTRATÉGICO!$C$3:$R$110,16,0)</f>
        <v>114</v>
      </c>
      <c r="F302" s="165">
        <v>661663100</v>
      </c>
      <c r="G302" s="165">
        <v>661663100</v>
      </c>
      <c r="H302" s="165">
        <v>537630533</v>
      </c>
      <c r="I302" s="165">
        <v>2023</v>
      </c>
    </row>
    <row r="303" spans="1:9" x14ac:dyDescent="0.3">
      <c r="A303" s="165" t="str">
        <f>presuvigencias[[#This Row],[PROYECTO]]&amp;presuvigencias[[#This Row],[METAPDD]]</f>
        <v>7740114</v>
      </c>
      <c r="B303" s="165" t="str">
        <f>presuvigencias[[#This Row],[PROYECTO]]&amp;presuvigencias[[#This Row],[META]]</f>
        <v>77402</v>
      </c>
      <c r="C303" s="168">
        <v>7740</v>
      </c>
      <c r="D303" s="165">
        <v>2</v>
      </c>
      <c r="E303" s="165">
        <f>VLOOKUP(presuvigencias[[#This Row],[LLAVE]],ESTRATÉGICO!$C$3:$R$110,16,0)</f>
        <v>114</v>
      </c>
      <c r="F303" s="165">
        <v>140326067</v>
      </c>
      <c r="G303" s="165">
        <v>140326067</v>
      </c>
      <c r="H303" s="165">
        <v>113903967</v>
      </c>
      <c r="I303" s="165">
        <v>2023</v>
      </c>
    </row>
    <row r="304" spans="1:9" x14ac:dyDescent="0.3">
      <c r="A304" s="165" t="str">
        <f>presuvigencias[[#This Row],[PROYECTO]]&amp;presuvigencias[[#This Row],[METAPDD]]</f>
        <v>7740113</v>
      </c>
      <c r="B304" s="165" t="str">
        <f>presuvigencias[[#This Row],[PROYECTO]]&amp;presuvigencias[[#This Row],[META]]</f>
        <v>77403</v>
      </c>
      <c r="C304" s="168">
        <v>7740</v>
      </c>
      <c r="D304" s="165">
        <v>3</v>
      </c>
      <c r="E304" s="165">
        <f>VLOOKUP(presuvigencias[[#This Row],[LLAVE]],ESTRATÉGICO!$C$3:$R$110,16,0)</f>
        <v>113</v>
      </c>
      <c r="F304" s="165">
        <v>33157766390</v>
      </c>
      <c r="G304" s="165">
        <v>31376536163</v>
      </c>
      <c r="H304" s="165">
        <v>24786248027</v>
      </c>
      <c r="I304" s="165">
        <v>2023</v>
      </c>
    </row>
    <row r="305" spans="1:9" x14ac:dyDescent="0.3">
      <c r="A305" s="165" t="str">
        <f>presuvigencias[[#This Row],[PROYECTO]]&amp;presuvigencias[[#This Row],[METAPDD]]</f>
        <v>7740114</v>
      </c>
      <c r="B305" s="165" t="str">
        <f>presuvigencias[[#This Row],[PROYECTO]]&amp;presuvigencias[[#This Row],[META]]</f>
        <v>77404</v>
      </c>
      <c r="C305" s="168">
        <v>7740</v>
      </c>
      <c r="D305" s="165">
        <v>4</v>
      </c>
      <c r="E305" s="165">
        <f>VLOOKUP(presuvigencias[[#This Row],[LLAVE]],ESTRATÉGICO!$C$3:$R$110,16,0)</f>
        <v>114</v>
      </c>
      <c r="F305" s="165">
        <v>2592934843</v>
      </c>
      <c r="G305" s="165">
        <v>2582568960</v>
      </c>
      <c r="H305" s="165">
        <v>2012333582</v>
      </c>
      <c r="I305" s="165">
        <v>2023</v>
      </c>
    </row>
    <row r="306" spans="1:9" x14ac:dyDescent="0.3">
      <c r="A306" s="165" t="str">
        <f>presuvigencias[[#This Row],[PROYECTO]]&amp;presuvigencias[[#This Row],[METAPDD]]</f>
        <v>7740110</v>
      </c>
      <c r="B306" s="165" t="str">
        <f>presuvigencias[[#This Row],[PROYECTO]]&amp;presuvigencias[[#This Row],[META]]</f>
        <v>77405</v>
      </c>
      <c r="C306" s="169">
        <v>7740</v>
      </c>
      <c r="D306" s="165">
        <v>5</v>
      </c>
      <c r="E306" s="165">
        <f>VLOOKUP(presuvigencias[[#This Row],[LLAVE]],ESTRATÉGICO!$C$3:$R$110,16,0)</f>
        <v>110</v>
      </c>
      <c r="F306" s="165">
        <v>2450672777</v>
      </c>
      <c r="G306" s="165">
        <v>2450672777</v>
      </c>
      <c r="H306" s="165">
        <v>2072014424</v>
      </c>
      <c r="I306" s="165">
        <v>2023</v>
      </c>
    </row>
    <row r="307" spans="1:9" x14ac:dyDescent="0.3">
      <c r="A307" s="165" t="str">
        <f>presuvigencias[[#This Row],[PROYECTO]]&amp;presuvigencias[[#This Row],[METAPDD]]</f>
        <v>7741412</v>
      </c>
      <c r="B307" s="165" t="str">
        <f>presuvigencias[[#This Row],[PROYECTO]]&amp;presuvigencias[[#This Row],[META]]</f>
        <v>77411</v>
      </c>
      <c r="C307" s="168">
        <v>7741</v>
      </c>
      <c r="D307" s="165">
        <v>1</v>
      </c>
      <c r="E307" s="165">
        <f>VLOOKUP(presuvigencias[[#This Row],[LLAVE]],ESTRATÉGICO!$C$3:$R$110,16,0)</f>
        <v>412</v>
      </c>
      <c r="F307" s="165">
        <v>9069878398</v>
      </c>
      <c r="G307" s="165">
        <v>9069869998</v>
      </c>
      <c r="H307" s="165">
        <v>7993124647</v>
      </c>
      <c r="I307" s="165">
        <v>2023</v>
      </c>
    </row>
    <row r="308" spans="1:9" x14ac:dyDescent="0.3">
      <c r="A308" s="165" t="str">
        <f>presuvigencias[[#This Row],[PROYECTO]]&amp;presuvigencias[[#This Row],[METAPDD]]</f>
        <v>7741412</v>
      </c>
      <c r="B308" s="165" t="str">
        <f>presuvigencias[[#This Row],[PROYECTO]]&amp;presuvigencias[[#This Row],[META]]</f>
        <v>77412</v>
      </c>
      <c r="C308" s="168">
        <v>7741</v>
      </c>
      <c r="D308" s="165">
        <v>2</v>
      </c>
      <c r="E308" s="165">
        <f>VLOOKUP(presuvigencias[[#This Row],[LLAVE]],ESTRATÉGICO!$C$3:$R$110,16,0)</f>
        <v>412</v>
      </c>
      <c r="F308" s="165">
        <v>11379352226</v>
      </c>
      <c r="G308" s="165">
        <v>11364506849</v>
      </c>
      <c r="H308" s="165">
        <v>10267627030</v>
      </c>
      <c r="I308" s="165">
        <v>2023</v>
      </c>
    </row>
    <row r="309" spans="1:9" x14ac:dyDescent="0.3">
      <c r="A309" s="165" t="str">
        <f>presuvigencias[[#This Row],[PROYECTO]]&amp;presuvigencias[[#This Row],[METAPDD]]</f>
        <v>7741411</v>
      </c>
      <c r="B309" s="165" t="str">
        <f>presuvigencias[[#This Row],[PROYECTO]]&amp;presuvigencias[[#This Row],[META]]</f>
        <v>77413</v>
      </c>
      <c r="C309" s="168">
        <v>7741</v>
      </c>
      <c r="D309" s="165">
        <v>3</v>
      </c>
      <c r="E309" s="165">
        <f>VLOOKUP(presuvigencias[[#This Row],[LLAVE]],ESTRATÉGICO!$C$3:$R$110,16,0)</f>
        <v>411</v>
      </c>
      <c r="F309" s="165">
        <v>1346481663</v>
      </c>
      <c r="G309" s="165">
        <v>1346481663</v>
      </c>
      <c r="H309" s="165">
        <v>1015759713</v>
      </c>
      <c r="I309" s="165">
        <v>2023</v>
      </c>
    </row>
    <row r="310" spans="1:9" x14ac:dyDescent="0.3">
      <c r="A310" s="165" t="str">
        <f>presuvigencias[[#This Row],[PROYECTO]]&amp;presuvigencias[[#This Row],[METAPDD]]</f>
        <v>7741411</v>
      </c>
      <c r="B310" s="165" t="str">
        <f>presuvigencias[[#This Row],[PROYECTO]]&amp;presuvigencias[[#This Row],[META]]</f>
        <v>77414</v>
      </c>
      <c r="C310" s="168">
        <v>7741</v>
      </c>
      <c r="D310" s="165">
        <v>4</v>
      </c>
      <c r="E310" s="165">
        <f>VLOOKUP(presuvigencias[[#This Row],[LLAVE]],ESTRATÉGICO!$C$3:$R$110,16,0)</f>
        <v>411</v>
      </c>
      <c r="F310" s="165">
        <v>418860967</v>
      </c>
      <c r="G310" s="165">
        <v>418860967</v>
      </c>
      <c r="H310" s="165">
        <v>305053829</v>
      </c>
      <c r="I310" s="165">
        <v>2023</v>
      </c>
    </row>
    <row r="311" spans="1:9" x14ac:dyDescent="0.3">
      <c r="A311" s="165" t="str">
        <f>presuvigencias[[#This Row],[PROYECTO]]&amp;presuvigencias[[#This Row],[METAPDD]]</f>
        <v>7741412</v>
      </c>
      <c r="B311" s="165" t="str">
        <f>presuvigencias[[#This Row],[PROYECTO]]&amp;presuvigencias[[#This Row],[META]]</f>
        <v>77415</v>
      </c>
      <c r="C311" s="168">
        <v>7741</v>
      </c>
      <c r="D311" s="165">
        <v>5</v>
      </c>
      <c r="E311" s="165">
        <f>VLOOKUP(presuvigencias[[#This Row],[LLAVE]],ESTRATÉGICO!$C$3:$R$110,16,0)</f>
        <v>412</v>
      </c>
      <c r="F311" s="165">
        <v>4365051033</v>
      </c>
      <c r="G311" s="165">
        <v>4365016864</v>
      </c>
      <c r="H311" s="165">
        <v>3295185532</v>
      </c>
      <c r="I311" s="165">
        <v>2023</v>
      </c>
    </row>
    <row r="312" spans="1:9" x14ac:dyDescent="0.3">
      <c r="A312" s="165" t="str">
        <f>presuvigencias[[#This Row],[PROYECTO]]&amp;presuvigencias[[#This Row],[METAPDD]]</f>
        <v>7741412</v>
      </c>
      <c r="B312" s="165" t="str">
        <f>presuvigencias[[#This Row],[PROYECTO]]&amp;presuvigencias[[#This Row],[META]]</f>
        <v>77416</v>
      </c>
      <c r="C312" s="168">
        <v>7741</v>
      </c>
      <c r="D312" s="165">
        <v>6</v>
      </c>
      <c r="E312" s="165">
        <f>VLOOKUP(presuvigencias[[#This Row],[LLAVE]],ESTRATÉGICO!$C$3:$R$110,16,0)</f>
        <v>412</v>
      </c>
      <c r="F312" s="165">
        <v>544046001</v>
      </c>
      <c r="G312" s="165">
        <v>544046001</v>
      </c>
      <c r="H312" s="165">
        <v>420824001</v>
      </c>
      <c r="I312" s="165">
        <v>2023</v>
      </c>
    </row>
    <row r="313" spans="1:9" x14ac:dyDescent="0.3">
      <c r="A313" s="165" t="str">
        <f>presuvigencias[[#This Row],[PROYECTO]]&amp;presuvigencias[[#This Row],[METAPDD]]</f>
        <v>7741412</v>
      </c>
      <c r="B313" s="165" t="str">
        <f>presuvigencias[[#This Row],[PROYECTO]]&amp;presuvigencias[[#This Row],[META]]</f>
        <v>77417</v>
      </c>
      <c r="C313" s="168">
        <v>7741</v>
      </c>
      <c r="D313" s="165">
        <v>7</v>
      </c>
      <c r="E313" s="165">
        <f>VLOOKUP(presuvigencias[[#This Row],[LLAVE]],ESTRATÉGICO!$C$3:$R$110,16,0)</f>
        <v>412</v>
      </c>
      <c r="F313" s="165">
        <v>187615000</v>
      </c>
      <c r="G313" s="165">
        <v>187615000</v>
      </c>
      <c r="H313" s="165">
        <v>144595000</v>
      </c>
      <c r="I313" s="165">
        <v>2023</v>
      </c>
    </row>
    <row r="314" spans="1:9" x14ac:dyDescent="0.3">
      <c r="A314" s="165" t="str">
        <f>presuvigencias[[#This Row],[PROYECTO]]&amp;presuvigencias[[#This Row],[METAPDD]]</f>
        <v>7741412</v>
      </c>
      <c r="B314" s="165" t="str">
        <f>presuvigencias[[#This Row],[PROYECTO]]&amp;presuvigencias[[#This Row],[META]]</f>
        <v>77418</v>
      </c>
      <c r="C314" s="169">
        <v>7741</v>
      </c>
      <c r="D314" s="165">
        <v>8</v>
      </c>
      <c r="E314" s="165">
        <f>VLOOKUP(presuvigencias[[#This Row],[LLAVE]],ESTRATÉGICO!$C$3:$R$110,16,0)</f>
        <v>412</v>
      </c>
      <c r="F314" s="165">
        <v>2577327080</v>
      </c>
      <c r="G314" s="165">
        <v>2576578491</v>
      </c>
      <c r="H314" s="165">
        <v>1953102826</v>
      </c>
      <c r="I314" s="165">
        <v>2023</v>
      </c>
    </row>
    <row r="315" spans="1:9" x14ac:dyDescent="0.3">
      <c r="A315" s="165" t="str">
        <f>presuvigencias[[#This Row],[PROYECTO]]&amp;presuvigencias[[#This Row],[METAPDD]]</f>
        <v>774441</v>
      </c>
      <c r="B315" s="165" t="str">
        <f>presuvigencias[[#This Row],[PROYECTO]]&amp;presuvigencias[[#This Row],[META]]</f>
        <v>77441</v>
      </c>
      <c r="C315" s="168">
        <v>7744</v>
      </c>
      <c r="D315" s="165">
        <v>1</v>
      </c>
      <c r="E315" s="165">
        <f>VLOOKUP(presuvigencias[[#This Row],[LLAVE]],ESTRATÉGICO!$C$3:$R$110,16,0)</f>
        <v>41</v>
      </c>
      <c r="F315" s="165">
        <v>1525955692</v>
      </c>
      <c r="G315" s="165">
        <v>1525955692</v>
      </c>
      <c r="H315" s="165">
        <v>1305875410</v>
      </c>
      <c r="I315" s="165">
        <v>2023</v>
      </c>
    </row>
    <row r="316" spans="1:9" x14ac:dyDescent="0.3">
      <c r="A316" s="165" t="str">
        <f>presuvigencias[[#This Row],[PROYECTO]]&amp;presuvigencias[[#This Row],[METAPDD]]</f>
        <v>774442</v>
      </c>
      <c r="B316" s="165" t="str">
        <f>presuvigencias[[#This Row],[PROYECTO]]&amp;presuvigencias[[#This Row],[META]]</f>
        <v>77442</v>
      </c>
      <c r="C316" s="168">
        <v>7744</v>
      </c>
      <c r="D316" s="165">
        <v>2</v>
      </c>
      <c r="E316" s="165">
        <f>VLOOKUP(presuvigencias[[#This Row],[LLAVE]],ESTRATÉGICO!$C$3:$R$110,16,0)</f>
        <v>42</v>
      </c>
      <c r="F316" s="165">
        <v>183693105386</v>
      </c>
      <c r="G316" s="165">
        <v>180917492605.04999</v>
      </c>
      <c r="H316" s="165">
        <v>160354331286.71002</v>
      </c>
      <c r="I316" s="165">
        <v>2023</v>
      </c>
    </row>
    <row r="317" spans="1:9" x14ac:dyDescent="0.3">
      <c r="A317" s="165" t="str">
        <f>presuvigencias[[#This Row],[PROYECTO]]&amp;presuvigencias[[#This Row],[METAPDD]]</f>
        <v>774442</v>
      </c>
      <c r="B317" s="165" t="str">
        <f>presuvigencias[[#This Row],[PROYECTO]]&amp;presuvigencias[[#This Row],[META]]</f>
        <v>77443</v>
      </c>
      <c r="C317" s="168">
        <v>7744</v>
      </c>
      <c r="D317" s="165">
        <v>3</v>
      </c>
      <c r="E317" s="165">
        <f>VLOOKUP(presuvigencias[[#This Row],[LLAVE]],ESTRATÉGICO!$C$3:$R$110,16,0)</f>
        <v>42</v>
      </c>
      <c r="F317" s="165">
        <v>9342007123</v>
      </c>
      <c r="G317" s="165">
        <v>9210553705</v>
      </c>
      <c r="H317" s="165">
        <v>7624401641</v>
      </c>
      <c r="I317" s="165">
        <v>2023</v>
      </c>
    </row>
    <row r="318" spans="1:9" x14ac:dyDescent="0.3">
      <c r="A318" s="165" t="str">
        <f>presuvigencias[[#This Row],[PROYECTO]]&amp;presuvigencias[[#This Row],[METAPDD]]</f>
        <v>774442</v>
      </c>
      <c r="B318" s="165" t="str">
        <f>presuvigencias[[#This Row],[PROYECTO]]&amp;presuvigencias[[#This Row],[META]]</f>
        <v>77444</v>
      </c>
      <c r="C318" s="168">
        <v>7744</v>
      </c>
      <c r="D318" s="165">
        <v>4</v>
      </c>
      <c r="E318" s="165">
        <f>VLOOKUP(presuvigencias[[#This Row],[LLAVE]],ESTRATÉGICO!$C$3:$R$110,16,0)</f>
        <v>42</v>
      </c>
      <c r="F318" s="165">
        <v>306440750</v>
      </c>
      <c r="G318" s="165">
        <v>306440750</v>
      </c>
      <c r="H318" s="165">
        <v>268118000</v>
      </c>
      <c r="I318" s="165">
        <v>2023</v>
      </c>
    </row>
    <row r="319" spans="1:9" x14ac:dyDescent="0.3">
      <c r="A319" s="165" t="str">
        <f>presuvigencias[[#This Row],[PROYECTO]]&amp;presuvigencias[[#This Row],[METAPDD]]</f>
        <v>774443</v>
      </c>
      <c r="B319" s="165" t="str">
        <f>presuvigencias[[#This Row],[PROYECTO]]&amp;presuvigencias[[#This Row],[META]]</f>
        <v>77445</v>
      </c>
      <c r="C319" s="168">
        <v>7744</v>
      </c>
      <c r="D319" s="165">
        <v>5</v>
      </c>
      <c r="E319" s="165">
        <f>VLOOKUP(presuvigencias[[#This Row],[LLAVE]],ESTRATÉGICO!$C$3:$R$110,16,0)</f>
        <v>43</v>
      </c>
      <c r="F319" s="165">
        <v>13527863855</v>
      </c>
      <c r="G319" s="165">
        <v>13353072518.950001</v>
      </c>
      <c r="H319" s="165">
        <v>10342979122.290001</v>
      </c>
      <c r="I319" s="165">
        <v>2023</v>
      </c>
    </row>
    <row r="320" spans="1:9" x14ac:dyDescent="0.3">
      <c r="A320" s="165" t="str">
        <f>presuvigencias[[#This Row],[PROYECTO]]&amp;presuvigencias[[#This Row],[METAPDD]]</f>
        <v>774447</v>
      </c>
      <c r="B320" s="165" t="str">
        <f>presuvigencias[[#This Row],[PROYECTO]]&amp;presuvigencias[[#This Row],[META]]</f>
        <v>77446</v>
      </c>
      <c r="C320" s="169">
        <v>7744</v>
      </c>
      <c r="D320" s="165">
        <v>6</v>
      </c>
      <c r="E320" s="165">
        <f>VLOOKUP(presuvigencias[[#This Row],[LLAVE]],ESTRATÉGICO!$C$3:$R$110,16,0)</f>
        <v>47</v>
      </c>
      <c r="F320" s="165">
        <v>2308634075</v>
      </c>
      <c r="G320" s="165">
        <v>2287613142</v>
      </c>
      <c r="H320" s="165">
        <v>1691580703</v>
      </c>
      <c r="I320" s="165">
        <v>2023</v>
      </c>
    </row>
    <row r="321" spans="1:9" x14ac:dyDescent="0.3">
      <c r="A321" s="165" t="str">
        <f>presuvigencias[[#This Row],[PROYECTO]]&amp;presuvigencias[[#This Row],[METAPDD]]</f>
        <v>774546</v>
      </c>
      <c r="B321" s="165" t="str">
        <f>presuvigencias[[#This Row],[PROYECTO]]&amp;presuvigencias[[#This Row],[META]]</f>
        <v>77451</v>
      </c>
      <c r="C321" s="168">
        <v>7745</v>
      </c>
      <c r="D321" s="165">
        <v>1</v>
      </c>
      <c r="E321" s="165">
        <f>VLOOKUP(presuvigencias[[#This Row],[LLAVE]],ESTRATÉGICO!$C$3:$R$110,16,0)</f>
        <v>46</v>
      </c>
      <c r="F321" s="165">
        <v>772000000</v>
      </c>
      <c r="G321" s="165">
        <v>772000000</v>
      </c>
      <c r="H321" s="165">
        <v>772000000</v>
      </c>
      <c r="I321" s="165">
        <v>2023</v>
      </c>
    </row>
    <row r="322" spans="1:9" x14ac:dyDescent="0.3">
      <c r="A322" s="165" t="str">
        <f>presuvigencias[[#This Row],[PROYECTO]]&amp;presuvigencias[[#This Row],[METAPDD]]</f>
        <v>774550</v>
      </c>
      <c r="B322" s="165" t="str">
        <f>presuvigencias[[#This Row],[PROYECTO]]&amp;presuvigencias[[#This Row],[META]]</f>
        <v>77452</v>
      </c>
      <c r="C322" s="168">
        <v>7745</v>
      </c>
      <c r="D322" s="165">
        <v>2</v>
      </c>
      <c r="E322" s="165">
        <f>VLOOKUP(presuvigencias[[#This Row],[LLAVE]],ESTRATÉGICO!$C$3:$R$110,16,0)</f>
        <v>50</v>
      </c>
      <c r="F322" s="165">
        <v>78153691278</v>
      </c>
      <c r="G322" s="165">
        <v>78115753649</v>
      </c>
      <c r="H322" s="165">
        <v>60711614367.999992</v>
      </c>
      <c r="I322" s="165">
        <v>2023</v>
      </c>
    </row>
    <row r="323" spans="1:9" x14ac:dyDescent="0.3">
      <c r="A323" s="165" t="str">
        <f>presuvigencias[[#This Row],[PROYECTO]]&amp;presuvigencias[[#This Row],[METAPDD]]</f>
        <v>774551</v>
      </c>
      <c r="B323" s="165" t="str">
        <f>presuvigencias[[#This Row],[PROYECTO]]&amp;presuvigencias[[#This Row],[META]]</f>
        <v>77454</v>
      </c>
      <c r="C323" s="168">
        <v>7745</v>
      </c>
      <c r="D323" s="165">
        <v>4</v>
      </c>
      <c r="E323" s="165">
        <f>VLOOKUP(presuvigencias[[#This Row],[LLAVE]],ESTRATÉGICO!$C$3:$R$110,16,0)</f>
        <v>51</v>
      </c>
      <c r="F323" s="165">
        <v>137349249451</v>
      </c>
      <c r="G323" s="165">
        <v>136426263638</v>
      </c>
      <c r="H323" s="165">
        <v>124111219222</v>
      </c>
      <c r="I323" s="165">
        <v>2023</v>
      </c>
    </row>
    <row r="324" spans="1:9" x14ac:dyDescent="0.3">
      <c r="A324" s="165" t="str">
        <f>presuvigencias[[#This Row],[PROYECTO]]&amp;presuvigencias[[#This Row],[METAPDD]]</f>
        <v>774564</v>
      </c>
      <c r="B324" s="165" t="str">
        <f>presuvigencias[[#This Row],[PROYECTO]]&amp;presuvigencias[[#This Row],[META]]</f>
        <v>77456</v>
      </c>
      <c r="C324" s="168">
        <v>7745</v>
      </c>
      <c r="D324" s="165">
        <v>6</v>
      </c>
      <c r="E324" s="165">
        <f>VLOOKUP(presuvigencias[[#This Row],[LLAVE]],ESTRATÉGICO!$C$3:$R$110,16,0)</f>
        <v>64</v>
      </c>
      <c r="F324" s="165">
        <v>1001892889</v>
      </c>
      <c r="G324" s="165">
        <v>654238889</v>
      </c>
      <c r="H324" s="165">
        <v>653378225.13999999</v>
      </c>
      <c r="I324" s="165">
        <v>2023</v>
      </c>
    </row>
    <row r="325" spans="1:9" x14ac:dyDescent="0.3">
      <c r="A325" s="165" t="str">
        <f>presuvigencias[[#This Row],[PROYECTO]]&amp;presuvigencias[[#This Row],[METAPDD]]</f>
        <v>774551</v>
      </c>
      <c r="B325" s="165" t="str">
        <f>presuvigencias[[#This Row],[PROYECTO]]&amp;presuvigencias[[#This Row],[META]]</f>
        <v>77457</v>
      </c>
      <c r="C325" s="168">
        <v>7745</v>
      </c>
      <c r="D325" s="165">
        <v>7</v>
      </c>
      <c r="E325" s="165">
        <f>VLOOKUP(presuvigencias[[#This Row],[LLAVE]],ESTRATÉGICO!$C$3:$R$110,16,0)</f>
        <v>51</v>
      </c>
      <c r="F325" s="165">
        <v>1184340769</v>
      </c>
      <c r="G325" s="165">
        <v>1181520835</v>
      </c>
      <c r="H325" s="165">
        <v>868231212</v>
      </c>
      <c r="I325" s="165">
        <v>2023</v>
      </c>
    </row>
    <row r="326" spans="1:9" x14ac:dyDescent="0.3">
      <c r="A326" s="165" t="str">
        <f>presuvigencias[[#This Row],[PROYECTO]]&amp;presuvigencias[[#This Row],[METAPDD]]</f>
        <v>774551</v>
      </c>
      <c r="B326" s="165" t="str">
        <f>presuvigencias[[#This Row],[PROYECTO]]&amp;presuvigencias[[#This Row],[META]]</f>
        <v>77458</v>
      </c>
      <c r="C326" s="168">
        <v>7745</v>
      </c>
      <c r="D326" s="165">
        <v>8</v>
      </c>
      <c r="E326" s="165">
        <f>VLOOKUP(presuvigencias[[#This Row],[LLAVE]],ESTRATÉGICO!$C$3:$R$110,16,0)</f>
        <v>51</v>
      </c>
      <c r="F326" s="165">
        <v>829912172</v>
      </c>
      <c r="G326" s="165">
        <v>829912172</v>
      </c>
      <c r="H326" s="165">
        <v>592898268</v>
      </c>
      <c r="I326" s="165">
        <v>2023</v>
      </c>
    </row>
    <row r="327" spans="1:9" x14ac:dyDescent="0.3">
      <c r="A327" s="165" t="str">
        <f>presuvigencias[[#This Row],[PROYECTO]]&amp;presuvigencias[[#This Row],[METAPDD]]</f>
        <v>774554</v>
      </c>
      <c r="B327" s="165" t="str">
        <f>presuvigencias[[#This Row],[PROYECTO]]&amp;presuvigencias[[#This Row],[META]]</f>
        <v>77459</v>
      </c>
      <c r="C327" s="168">
        <v>7745</v>
      </c>
      <c r="D327" s="165">
        <v>9</v>
      </c>
      <c r="E327" s="165">
        <f>VLOOKUP(presuvigencias[[#This Row],[LLAVE]],ESTRATÉGICO!$C$3:$R$110,16,0)</f>
        <v>54</v>
      </c>
      <c r="F327" s="165">
        <v>313048140</v>
      </c>
      <c r="G327" s="165">
        <v>313048140</v>
      </c>
      <c r="H327" s="165">
        <v>232009071</v>
      </c>
      <c r="I327" s="165">
        <v>2023</v>
      </c>
    </row>
    <row r="328" spans="1:9" x14ac:dyDescent="0.3">
      <c r="A328" s="165" t="str">
        <f>presuvigencias[[#This Row],[PROYECTO]]&amp;presuvigencias[[#This Row],[METAPDD]]</f>
        <v>774554</v>
      </c>
      <c r="B328" s="165" t="str">
        <f>presuvigencias[[#This Row],[PROYECTO]]&amp;presuvigencias[[#This Row],[META]]</f>
        <v>774510</v>
      </c>
      <c r="C328" s="168">
        <v>7745</v>
      </c>
      <c r="D328" s="165">
        <v>10</v>
      </c>
      <c r="E328" s="165">
        <f>VLOOKUP(presuvigencias[[#This Row],[LLAVE]],ESTRATÉGICO!$C$3:$R$110,16,0)</f>
        <v>54</v>
      </c>
      <c r="F328" s="165">
        <v>130400000</v>
      </c>
      <c r="G328" s="165">
        <v>130400000</v>
      </c>
      <c r="H328" s="165">
        <v>103450667</v>
      </c>
      <c r="I328" s="165">
        <v>2023</v>
      </c>
    </row>
    <row r="329" spans="1:9" x14ac:dyDescent="0.3">
      <c r="A329" s="165" t="str">
        <f>presuvigencias[[#This Row],[PROYECTO]]&amp;presuvigencias[[#This Row],[METAPDD]]</f>
        <v>774545</v>
      </c>
      <c r="B329" s="165" t="str">
        <f>presuvigencias[[#This Row],[PROYECTO]]&amp;presuvigencias[[#This Row],[META]]</f>
        <v>774511</v>
      </c>
      <c r="C329" s="169">
        <v>7745</v>
      </c>
      <c r="D329" s="165">
        <v>11</v>
      </c>
      <c r="E329" s="165">
        <f>VLOOKUP(presuvigencias[[#This Row],[LLAVE]],ESTRATÉGICO!$C$3:$R$110,16,0)</f>
        <v>45</v>
      </c>
      <c r="F329" s="165">
        <v>12143231149</v>
      </c>
      <c r="G329" s="165">
        <v>12143231149</v>
      </c>
      <c r="H329" s="165">
        <v>10903939627.860001</v>
      </c>
      <c r="I329" s="165">
        <v>2023</v>
      </c>
    </row>
    <row r="330" spans="1:9" x14ac:dyDescent="0.3">
      <c r="A330" s="165" t="str">
        <f>presuvigencias[[#This Row],[PROYECTO]]&amp;presuvigencias[[#This Row],[METAPDD]]</f>
        <v>7748513</v>
      </c>
      <c r="B330" s="165" t="str">
        <f>presuvigencias[[#This Row],[PROYECTO]]&amp;presuvigencias[[#This Row],[META]]</f>
        <v>77481</v>
      </c>
      <c r="C330" s="168">
        <v>7748</v>
      </c>
      <c r="D330" s="165">
        <v>1</v>
      </c>
      <c r="E330" s="165">
        <f>VLOOKUP(presuvigencias[[#This Row],[LLAVE]],ESTRATÉGICO!$C$3:$R$110,16,0)</f>
        <v>513</v>
      </c>
      <c r="F330" s="165">
        <v>184200922125</v>
      </c>
      <c r="G330" s="165">
        <v>184103609652</v>
      </c>
      <c r="H330" s="165">
        <v>158351640910</v>
      </c>
      <c r="I330" s="165">
        <v>2023</v>
      </c>
    </row>
    <row r="331" spans="1:9" x14ac:dyDescent="0.3">
      <c r="A331" s="165" t="str">
        <f>presuvigencias[[#This Row],[PROYECTO]]&amp;presuvigencias[[#This Row],[METAPDD]]</f>
        <v>7748513</v>
      </c>
      <c r="B331" s="165" t="str">
        <f>presuvigencias[[#This Row],[PROYECTO]]&amp;presuvigencias[[#This Row],[META]]</f>
        <v>77482</v>
      </c>
      <c r="C331" s="168">
        <v>7748</v>
      </c>
      <c r="D331" s="165">
        <v>2</v>
      </c>
      <c r="E331" s="165">
        <f>VLOOKUP(presuvigencias[[#This Row],[LLAVE]],ESTRATÉGICO!$C$3:$R$110,16,0)</f>
        <v>513</v>
      </c>
      <c r="F331" s="165">
        <v>1868464794</v>
      </c>
      <c r="G331" s="165">
        <v>1868464794</v>
      </c>
      <c r="H331" s="165">
        <v>1237714494</v>
      </c>
      <c r="I331" s="165">
        <v>2023</v>
      </c>
    </row>
    <row r="332" spans="1:9" x14ac:dyDescent="0.3">
      <c r="A332" s="165" t="str">
        <f>presuvigencias[[#This Row],[PROYECTO]]&amp;presuvigencias[[#This Row],[METAPDD]]</f>
        <v>7748513</v>
      </c>
      <c r="B332" s="165" t="str">
        <f>presuvigencias[[#This Row],[PROYECTO]]&amp;presuvigencias[[#This Row],[META]]</f>
        <v>77483</v>
      </c>
      <c r="C332" s="168">
        <v>7748</v>
      </c>
      <c r="D332" s="165">
        <v>3</v>
      </c>
      <c r="E332" s="165">
        <f>VLOOKUP(presuvigencias[[#This Row],[LLAVE]],ESTRATÉGICO!$C$3:$R$110,16,0)</f>
        <v>513</v>
      </c>
      <c r="F332" s="165">
        <v>505567779</v>
      </c>
      <c r="G332" s="165">
        <v>505567779</v>
      </c>
      <c r="H332" s="165">
        <v>339271759</v>
      </c>
      <c r="I332" s="165">
        <v>2023</v>
      </c>
    </row>
    <row r="333" spans="1:9" x14ac:dyDescent="0.3">
      <c r="A333" s="165" t="str">
        <f>presuvigencias[[#This Row],[PROYECTO]]&amp;presuvigencias[[#This Row],[METAPDD]]</f>
        <v>7748519</v>
      </c>
      <c r="B333" s="165" t="str">
        <f>presuvigencias[[#This Row],[PROYECTO]]&amp;presuvigencias[[#This Row],[META]]</f>
        <v>77484</v>
      </c>
      <c r="C333" s="168">
        <v>7748</v>
      </c>
      <c r="D333" s="165">
        <v>4</v>
      </c>
      <c r="E333" s="165">
        <f>VLOOKUP(presuvigencias[[#This Row],[LLAVE]],ESTRATÉGICO!$C$3:$R$110,16,0)</f>
        <v>519</v>
      </c>
      <c r="F333" s="165">
        <v>183681838776</v>
      </c>
      <c r="G333" s="165">
        <v>183569687924</v>
      </c>
      <c r="H333" s="165">
        <v>168892769354</v>
      </c>
      <c r="I333" s="165">
        <v>2023</v>
      </c>
    </row>
    <row r="334" spans="1:9" x14ac:dyDescent="0.3">
      <c r="A334" s="165" t="str">
        <f>presuvigencias[[#This Row],[PROYECTO]]&amp;presuvigencias[[#This Row],[METAPDD]]</f>
        <v>7748519</v>
      </c>
      <c r="B334" s="165" t="str">
        <f>presuvigencias[[#This Row],[PROYECTO]]&amp;presuvigencias[[#This Row],[META]]</f>
        <v>77485</v>
      </c>
      <c r="C334" s="168">
        <v>7748</v>
      </c>
      <c r="D334" s="165">
        <v>5</v>
      </c>
      <c r="E334" s="165">
        <f>VLOOKUP(presuvigencias[[#This Row],[LLAVE]],ESTRATÉGICO!$C$3:$R$110,16,0)</f>
        <v>519</v>
      </c>
      <c r="F334" s="165">
        <v>367951134</v>
      </c>
      <c r="G334" s="165">
        <v>367951134</v>
      </c>
      <c r="H334" s="165">
        <v>292093533</v>
      </c>
      <c r="I334" s="165">
        <v>2023</v>
      </c>
    </row>
    <row r="335" spans="1:9" x14ac:dyDescent="0.3">
      <c r="A335" s="165" t="str">
        <f>presuvigencias[[#This Row],[PROYECTO]]&amp;presuvigencias[[#This Row],[METAPDD]]</f>
        <v>7748519</v>
      </c>
      <c r="B335" s="165" t="str">
        <f>presuvigencias[[#This Row],[PROYECTO]]&amp;presuvigencias[[#This Row],[META]]</f>
        <v>77486</v>
      </c>
      <c r="C335" s="168">
        <v>7748</v>
      </c>
      <c r="D335" s="165">
        <v>6</v>
      </c>
      <c r="E335" s="165">
        <f>VLOOKUP(presuvigencias[[#This Row],[LLAVE]],ESTRATÉGICO!$C$3:$R$110,16,0)</f>
        <v>519</v>
      </c>
      <c r="F335" s="165">
        <v>1406780938</v>
      </c>
      <c r="G335" s="165">
        <v>1406780938</v>
      </c>
      <c r="H335" s="165">
        <v>1098986030</v>
      </c>
      <c r="I335" s="165">
        <v>2023</v>
      </c>
    </row>
    <row r="336" spans="1:9" x14ac:dyDescent="0.3">
      <c r="A336" s="165" t="str">
        <f>presuvigencias[[#This Row],[PROYECTO]]&amp;presuvigencias[[#This Row],[METAPDD]]</f>
        <v>7748519</v>
      </c>
      <c r="B336" s="165" t="str">
        <f>presuvigencias[[#This Row],[PROYECTO]]&amp;presuvigencias[[#This Row],[META]]</f>
        <v>77487</v>
      </c>
      <c r="C336" s="169">
        <v>7748</v>
      </c>
      <c r="D336" s="165">
        <v>7</v>
      </c>
      <c r="E336" s="165">
        <f>VLOOKUP(presuvigencias[[#This Row],[LLAVE]],ESTRATÉGICO!$C$3:$R$110,16,0)</f>
        <v>519</v>
      </c>
      <c r="F336" s="165">
        <v>816107610</v>
      </c>
      <c r="G336" s="165">
        <v>816107610</v>
      </c>
      <c r="H336" s="165">
        <v>763106795</v>
      </c>
      <c r="I336" s="165">
        <v>2023</v>
      </c>
    </row>
    <row r="337" spans="1:9" x14ac:dyDescent="0.3">
      <c r="A337" s="165" t="str">
        <f>presuvigencias[[#This Row],[PROYECTO]]&amp;presuvigencias[[#This Row],[METAPDD]]</f>
        <v>774963</v>
      </c>
      <c r="B337" s="165" t="str">
        <f>presuvigencias[[#This Row],[PROYECTO]]&amp;presuvigencias[[#This Row],[META]]</f>
        <v>77491</v>
      </c>
      <c r="C337" s="168">
        <v>7749</v>
      </c>
      <c r="D337" s="165">
        <v>1</v>
      </c>
      <c r="E337" s="165">
        <f>VLOOKUP(presuvigencias[[#This Row],[LLAVE]],ESTRATÉGICO!$C$3:$R$110,16,0)</f>
        <v>63</v>
      </c>
      <c r="F337" s="165">
        <v>289559030</v>
      </c>
      <c r="G337" s="165">
        <v>289559030</v>
      </c>
      <c r="H337" s="165">
        <v>211560611</v>
      </c>
      <c r="I337" s="165">
        <v>2023</v>
      </c>
    </row>
    <row r="338" spans="1:9" x14ac:dyDescent="0.3">
      <c r="A338" s="165" t="str">
        <f>presuvigencias[[#This Row],[PROYECTO]]&amp;presuvigencias[[#This Row],[METAPDD]]</f>
        <v>774963</v>
      </c>
      <c r="B338" s="165" t="str">
        <f>presuvigencias[[#This Row],[PROYECTO]]&amp;presuvigencias[[#This Row],[META]]</f>
        <v>77492</v>
      </c>
      <c r="C338" s="168">
        <v>7749</v>
      </c>
      <c r="D338" s="165">
        <v>2</v>
      </c>
      <c r="E338" s="165">
        <f>VLOOKUP(presuvigencias[[#This Row],[LLAVE]],ESTRATÉGICO!$C$3:$R$110,16,0)</f>
        <v>63</v>
      </c>
      <c r="F338" s="165">
        <v>87723040</v>
      </c>
      <c r="G338" s="165">
        <v>87723040</v>
      </c>
      <c r="H338" s="165">
        <v>63599204</v>
      </c>
      <c r="I338" s="165">
        <v>2023</v>
      </c>
    </row>
    <row r="339" spans="1:9" x14ac:dyDescent="0.3">
      <c r="A339" s="165" t="str">
        <f>presuvigencias[[#This Row],[PROYECTO]]&amp;presuvigencias[[#This Row],[METAPDD]]</f>
        <v>774963</v>
      </c>
      <c r="B339" s="165" t="str">
        <f>presuvigencias[[#This Row],[PROYECTO]]&amp;presuvigencias[[#This Row],[META]]</f>
        <v>77493</v>
      </c>
      <c r="C339" s="168">
        <v>7749</v>
      </c>
      <c r="D339" s="165">
        <v>3</v>
      </c>
      <c r="E339" s="165">
        <f>VLOOKUP(presuvigencias[[#This Row],[LLAVE]],ESTRATÉGICO!$C$3:$R$110,16,0)</f>
        <v>63</v>
      </c>
      <c r="F339" s="165">
        <v>2853725710</v>
      </c>
      <c r="G339" s="165">
        <v>2844991447</v>
      </c>
      <c r="H339" s="165">
        <v>1783546889</v>
      </c>
      <c r="I339" s="165">
        <v>2023</v>
      </c>
    </row>
    <row r="340" spans="1:9" x14ac:dyDescent="0.3">
      <c r="A340" s="165" t="str">
        <f>presuvigencias[[#This Row],[PROYECTO]]&amp;presuvigencias[[#This Row],[METAPDD]]</f>
        <v>774963</v>
      </c>
      <c r="B340" s="165" t="str">
        <f>presuvigencias[[#This Row],[PROYECTO]]&amp;presuvigencias[[#This Row],[META]]</f>
        <v>77494</v>
      </c>
      <c r="C340" s="169">
        <v>7749</v>
      </c>
      <c r="D340" s="165">
        <v>4</v>
      </c>
      <c r="E340" s="165">
        <f>VLOOKUP(presuvigencias[[#This Row],[LLAVE]],ESTRATÉGICO!$C$3:$R$110,16,0)</f>
        <v>63</v>
      </c>
      <c r="F340" s="165">
        <v>103869220</v>
      </c>
      <c r="G340" s="165">
        <v>103869220</v>
      </c>
      <c r="H340" s="165">
        <v>103721200</v>
      </c>
      <c r="I340" s="165">
        <v>2023</v>
      </c>
    </row>
    <row r="341" spans="1:9" x14ac:dyDescent="0.3">
      <c r="A341" s="165" t="str">
        <f>presuvigencias[[#This Row],[PROYECTO]]&amp;presuvigencias[[#This Row],[METAPDD]]</f>
        <v>775244</v>
      </c>
      <c r="B341" s="165" t="str">
        <f>presuvigencias[[#This Row],[PROYECTO]]&amp;presuvigencias[[#This Row],[META]]</f>
        <v>77521</v>
      </c>
      <c r="C341" s="168">
        <v>7752</v>
      </c>
      <c r="D341" s="165">
        <v>1</v>
      </c>
      <c r="E341" s="165">
        <f>VLOOKUP(presuvigencias[[#This Row],[LLAVE]],ESTRATÉGICO!$C$3:$R$110,16,0)</f>
        <v>44</v>
      </c>
      <c r="F341" s="165">
        <v>4622541410</v>
      </c>
      <c r="G341" s="165">
        <v>4517240147</v>
      </c>
      <c r="H341" s="165">
        <v>3619006602</v>
      </c>
      <c r="I341" s="165">
        <v>2023</v>
      </c>
    </row>
    <row r="342" spans="1:9" x14ac:dyDescent="0.3">
      <c r="A342" s="165" t="str">
        <f>presuvigencias[[#This Row],[PROYECTO]]&amp;presuvigencias[[#This Row],[METAPDD]]</f>
        <v>775255</v>
      </c>
      <c r="B342" s="165" t="str">
        <f>presuvigencias[[#This Row],[PROYECTO]]&amp;presuvigencias[[#This Row],[META]]</f>
        <v>77522</v>
      </c>
      <c r="C342" s="168">
        <v>7752</v>
      </c>
      <c r="D342" s="165">
        <v>2</v>
      </c>
      <c r="E342" s="165">
        <f>VLOOKUP(presuvigencias[[#This Row],[LLAVE]],ESTRATÉGICO!$C$3:$R$110,16,0)</f>
        <v>55</v>
      </c>
      <c r="F342" s="165">
        <v>221508100</v>
      </c>
      <c r="G342" s="165">
        <v>221508100</v>
      </c>
      <c r="H342" s="165">
        <v>179448867</v>
      </c>
      <c r="I342" s="165">
        <v>2023</v>
      </c>
    </row>
    <row r="343" spans="1:9" x14ac:dyDescent="0.3">
      <c r="A343" s="165" t="str">
        <f>presuvigencias[[#This Row],[PROYECTO]]&amp;presuvigencias[[#This Row],[METAPDD]]</f>
        <v>775255</v>
      </c>
      <c r="B343" s="165" t="str">
        <f>presuvigencias[[#This Row],[PROYECTO]]&amp;presuvigencias[[#This Row],[META]]</f>
        <v>77523</v>
      </c>
      <c r="C343" s="169">
        <v>7752</v>
      </c>
      <c r="D343" s="165">
        <v>3</v>
      </c>
      <c r="E343" s="165">
        <f>VLOOKUP(presuvigencias[[#This Row],[LLAVE]],ESTRATÉGICO!$C$3:$R$110,16,0)</f>
        <v>55</v>
      </c>
      <c r="F343" s="165">
        <v>309870490</v>
      </c>
      <c r="G343" s="165">
        <v>309687767</v>
      </c>
      <c r="H343" s="165">
        <v>236178234</v>
      </c>
      <c r="I343" s="165">
        <v>2023</v>
      </c>
    </row>
    <row r="344" spans="1:9" x14ac:dyDescent="0.3">
      <c r="A344" s="165" t="str">
        <f>presuvigencias[[#This Row],[PROYECTO]]&amp;presuvigencias[[#This Row],[METAPDD]]</f>
        <v>775373</v>
      </c>
      <c r="B344" s="165" t="str">
        <f>presuvigencias[[#This Row],[PROYECTO]]&amp;presuvigencias[[#This Row],[META]]</f>
        <v>77531</v>
      </c>
      <c r="C344" s="168">
        <v>7753</v>
      </c>
      <c r="D344" s="165">
        <v>1</v>
      </c>
      <c r="E344" s="165">
        <f>VLOOKUP(presuvigencias[[#This Row],[LLAVE]],ESTRATÉGICO!$C$3:$R$110,16,0)</f>
        <v>73</v>
      </c>
      <c r="F344" s="165">
        <v>344982033</v>
      </c>
      <c r="G344" s="165">
        <v>344982030</v>
      </c>
      <c r="H344" s="165">
        <v>267361233</v>
      </c>
      <c r="I344" s="165">
        <v>2023</v>
      </c>
    </row>
    <row r="345" spans="1:9" x14ac:dyDescent="0.3">
      <c r="A345" s="165" t="str">
        <f>presuvigencias[[#This Row],[PROYECTO]]&amp;presuvigencias[[#This Row],[METAPDD]]</f>
        <v>775373</v>
      </c>
      <c r="B345" s="165" t="str">
        <f>presuvigencias[[#This Row],[PROYECTO]]&amp;presuvigencias[[#This Row],[META]]</f>
        <v>77532</v>
      </c>
      <c r="C345" s="168">
        <v>7753</v>
      </c>
      <c r="D345" s="165">
        <v>2</v>
      </c>
      <c r="E345" s="165">
        <f>VLOOKUP(presuvigencias[[#This Row],[LLAVE]],ESTRATÉGICO!$C$3:$R$110,16,0)</f>
        <v>73</v>
      </c>
      <c r="F345" s="165">
        <v>251043157</v>
      </c>
      <c r="G345" s="165">
        <v>251043157</v>
      </c>
      <c r="H345" s="165">
        <v>220807357</v>
      </c>
      <c r="I345" s="165">
        <v>2023</v>
      </c>
    </row>
    <row r="346" spans="1:9" x14ac:dyDescent="0.3">
      <c r="A346" s="165" t="str">
        <f>presuvigencias[[#This Row],[PROYECTO]]&amp;presuvigencias[[#This Row],[METAPDD]]</f>
        <v>775373</v>
      </c>
      <c r="B346" s="165" t="str">
        <f>presuvigencias[[#This Row],[PROYECTO]]&amp;presuvigencias[[#This Row],[META]]</f>
        <v>77533</v>
      </c>
      <c r="C346" s="168">
        <v>7753</v>
      </c>
      <c r="D346" s="165">
        <v>3</v>
      </c>
      <c r="E346" s="165">
        <f>VLOOKUP(presuvigencias[[#This Row],[LLAVE]],ESTRATÉGICO!$C$3:$R$110,16,0)</f>
        <v>73</v>
      </c>
      <c r="F346" s="165">
        <v>123072933</v>
      </c>
      <c r="G346" s="165">
        <v>123072933</v>
      </c>
      <c r="H346" s="165">
        <v>97274267</v>
      </c>
      <c r="I346" s="165">
        <v>2023</v>
      </c>
    </row>
    <row r="347" spans="1:9" x14ac:dyDescent="0.3">
      <c r="A347" s="165" t="str">
        <f>presuvigencias[[#This Row],[PROYECTO]]&amp;presuvigencias[[#This Row],[METAPDD]]</f>
        <v>775373</v>
      </c>
      <c r="B347" s="165" t="str">
        <f>presuvigencias[[#This Row],[PROYECTO]]&amp;presuvigencias[[#This Row],[META]]</f>
        <v>77534</v>
      </c>
      <c r="C347" s="169">
        <v>7753</v>
      </c>
      <c r="D347" s="165">
        <v>4</v>
      </c>
      <c r="E347" s="165">
        <f>VLOOKUP(presuvigencias[[#This Row],[LLAVE]],ESTRATÉGICO!$C$3:$R$110,16,0)</f>
        <v>73</v>
      </c>
      <c r="F347" s="165">
        <v>105901877</v>
      </c>
      <c r="G347" s="165">
        <v>102600313</v>
      </c>
      <c r="H347" s="165">
        <v>35757333</v>
      </c>
      <c r="I347" s="165">
        <v>2023</v>
      </c>
    </row>
    <row r="348" spans="1:9" x14ac:dyDescent="0.3">
      <c r="A348" s="165" t="str">
        <f>presuvigencias[[#This Row],[PROYECTO]]&amp;presuvigencias[[#This Row],[METAPDD]]</f>
        <v>775631</v>
      </c>
      <c r="B348" s="165" t="str">
        <f>presuvigencias[[#This Row],[PROYECTO]]&amp;presuvigencias[[#This Row],[META]]</f>
        <v>77561</v>
      </c>
      <c r="C348" s="168">
        <v>7756</v>
      </c>
      <c r="D348" s="165">
        <v>1</v>
      </c>
      <c r="E348" s="165">
        <f>VLOOKUP(presuvigencias[[#This Row],[LLAVE]],ESTRATÉGICO!$C$3:$R$110,16,0)</f>
        <v>31</v>
      </c>
      <c r="F348" s="165">
        <v>734788345</v>
      </c>
      <c r="G348" s="165">
        <v>734788345</v>
      </c>
      <c r="H348" s="165">
        <v>557440731</v>
      </c>
      <c r="I348" s="165">
        <v>2023</v>
      </c>
    </row>
    <row r="349" spans="1:9" x14ac:dyDescent="0.3">
      <c r="A349" s="165" t="str">
        <f>presuvigencias[[#This Row],[PROYECTO]]&amp;presuvigencias[[#This Row],[METAPDD]]</f>
        <v>775631</v>
      </c>
      <c r="B349" s="165" t="str">
        <f>presuvigencias[[#This Row],[PROYECTO]]&amp;presuvigencias[[#This Row],[META]]</f>
        <v>77562</v>
      </c>
      <c r="C349" s="168">
        <v>7756</v>
      </c>
      <c r="D349" s="165">
        <v>2</v>
      </c>
      <c r="E349" s="165">
        <f>VLOOKUP(presuvigencias[[#This Row],[LLAVE]],ESTRATÉGICO!$C$3:$R$110,16,0)</f>
        <v>31</v>
      </c>
      <c r="F349" s="165">
        <v>232152155</v>
      </c>
      <c r="G349" s="165">
        <v>232152155</v>
      </c>
      <c r="H349" s="165">
        <v>95750867</v>
      </c>
      <c r="I349" s="165">
        <v>2023</v>
      </c>
    </row>
    <row r="350" spans="1:9" x14ac:dyDescent="0.3">
      <c r="A350" s="165" t="str">
        <f>presuvigencias[[#This Row],[PROYECTO]]&amp;presuvigencias[[#This Row],[METAPDD]]</f>
        <v>775625</v>
      </c>
      <c r="B350" s="165" t="str">
        <f>presuvigencias[[#This Row],[PROYECTO]]&amp;presuvigencias[[#This Row],[META]]</f>
        <v>77563</v>
      </c>
      <c r="C350" s="168">
        <v>7756</v>
      </c>
      <c r="D350" s="165">
        <v>3</v>
      </c>
      <c r="E350" s="165">
        <f>VLOOKUP(presuvigencias[[#This Row],[LLAVE]],ESTRATÉGICO!$C$3:$R$110,16,0)</f>
        <v>25</v>
      </c>
      <c r="F350" s="165">
        <v>143150386</v>
      </c>
      <c r="G350" s="165">
        <v>143150386</v>
      </c>
      <c r="H350" s="165">
        <v>106770533</v>
      </c>
      <c r="I350" s="165">
        <v>2023</v>
      </c>
    </row>
    <row r="351" spans="1:9" x14ac:dyDescent="0.3">
      <c r="A351" s="165" t="str">
        <f>presuvigencias[[#This Row],[PROYECTO]]&amp;presuvigencias[[#This Row],[METAPDD]]</f>
        <v>775625</v>
      </c>
      <c r="B351" s="165" t="str">
        <f>presuvigencias[[#This Row],[PROYECTO]]&amp;presuvigencias[[#This Row],[META]]</f>
        <v>77564</v>
      </c>
      <c r="C351" s="168">
        <v>7756</v>
      </c>
      <c r="D351" s="165">
        <v>4</v>
      </c>
      <c r="E351" s="165">
        <f>VLOOKUP(presuvigencias[[#This Row],[LLAVE]],ESTRATÉGICO!$C$3:$R$110,16,0)</f>
        <v>25</v>
      </c>
      <c r="F351" s="165">
        <v>727661883</v>
      </c>
      <c r="G351" s="165">
        <v>727661883</v>
      </c>
      <c r="H351" s="165">
        <v>525840039</v>
      </c>
      <c r="I351" s="165">
        <v>2023</v>
      </c>
    </row>
    <row r="352" spans="1:9" x14ac:dyDescent="0.3">
      <c r="A352" s="165" t="str">
        <f>presuvigencias[[#This Row],[PROYECTO]]&amp;presuvigencias[[#This Row],[METAPDD]]</f>
        <v>775625</v>
      </c>
      <c r="B352" s="165" t="str">
        <f>presuvigencias[[#This Row],[PROYECTO]]&amp;presuvigencias[[#This Row],[META]]</f>
        <v>77565</v>
      </c>
      <c r="C352" s="169">
        <v>7756</v>
      </c>
      <c r="D352" s="165">
        <v>5</v>
      </c>
      <c r="E352" s="165">
        <f>VLOOKUP(presuvigencias[[#This Row],[LLAVE]],ESTRATÉGICO!$C$3:$R$110,16,0)</f>
        <v>25</v>
      </c>
      <c r="F352" s="165">
        <v>1877018231</v>
      </c>
      <c r="G352" s="165">
        <v>1876991605</v>
      </c>
      <c r="H352" s="165">
        <v>1412461001</v>
      </c>
      <c r="I352" s="165">
        <v>2023</v>
      </c>
    </row>
    <row r="353" spans="1:9" x14ac:dyDescent="0.3">
      <c r="A353" s="165" t="str">
        <f>presuvigencias[[#This Row],[PROYECTO]]&amp;presuvigencias[[#This Row],[METAPDD]]</f>
        <v>775713</v>
      </c>
      <c r="B353" s="165" t="str">
        <f>presuvigencias[[#This Row],[PROYECTO]]&amp;presuvigencias[[#This Row],[META]]</f>
        <v>77571</v>
      </c>
      <c r="C353" s="168">
        <v>7757</v>
      </c>
      <c r="D353" s="165">
        <v>1</v>
      </c>
      <c r="E353" s="165">
        <f>VLOOKUP(presuvigencias[[#This Row],[LLAVE]],ESTRATÉGICO!$C$3:$R$110,16,0)</f>
        <v>13</v>
      </c>
      <c r="F353" s="165">
        <v>1350667950</v>
      </c>
      <c r="G353" s="165">
        <v>1341989809</v>
      </c>
      <c r="H353" s="165">
        <v>1014023034</v>
      </c>
      <c r="I353" s="165">
        <v>2023</v>
      </c>
    </row>
    <row r="354" spans="1:9" x14ac:dyDescent="0.3">
      <c r="A354" s="165" t="str">
        <f>presuvigencias[[#This Row],[PROYECTO]]&amp;presuvigencias[[#This Row],[METAPDD]]</f>
        <v>775713</v>
      </c>
      <c r="B354" s="165" t="str">
        <f>presuvigencias[[#This Row],[PROYECTO]]&amp;presuvigencias[[#This Row],[META]]</f>
        <v>77572</v>
      </c>
      <c r="C354" s="168">
        <v>7757</v>
      </c>
      <c r="D354" s="165">
        <v>2</v>
      </c>
      <c r="E354" s="165">
        <f>VLOOKUP(presuvigencias[[#This Row],[LLAVE]],ESTRATÉGICO!$C$3:$R$110,16,0)</f>
        <v>13</v>
      </c>
      <c r="F354" s="165">
        <v>2922399589</v>
      </c>
      <c r="G354" s="165">
        <v>2886716549</v>
      </c>
      <c r="H354" s="165">
        <v>2085513432.03</v>
      </c>
      <c r="I354" s="165">
        <v>2023</v>
      </c>
    </row>
    <row r="355" spans="1:9" x14ac:dyDescent="0.3">
      <c r="A355" s="165" t="str">
        <f>presuvigencias[[#This Row],[PROYECTO]]&amp;presuvigencias[[#This Row],[METAPDD]]</f>
        <v>775716</v>
      </c>
      <c r="B355" s="165" t="str">
        <f>presuvigencias[[#This Row],[PROYECTO]]&amp;presuvigencias[[#This Row],[META]]</f>
        <v>77573</v>
      </c>
      <c r="C355" s="168">
        <v>7757</v>
      </c>
      <c r="D355" s="165">
        <v>3</v>
      </c>
      <c r="E355" s="165">
        <f>VLOOKUP(presuvigencias[[#This Row],[LLAVE]],ESTRATÉGICO!$C$3:$R$110,16,0)</f>
        <v>16</v>
      </c>
      <c r="F355" s="165">
        <v>5125347619</v>
      </c>
      <c r="G355" s="165">
        <v>5087153930.8699999</v>
      </c>
      <c r="H355" s="165">
        <v>3748387772.3899999</v>
      </c>
      <c r="I355" s="165">
        <v>2023</v>
      </c>
    </row>
    <row r="356" spans="1:9" x14ac:dyDescent="0.3">
      <c r="A356" s="165" t="str">
        <f>presuvigencias[[#This Row],[PROYECTO]]&amp;presuvigencias[[#This Row],[METAPDD]]</f>
        <v>775717</v>
      </c>
      <c r="B356" s="165" t="str">
        <f>presuvigencias[[#This Row],[PROYECTO]]&amp;presuvigencias[[#This Row],[META]]</f>
        <v>77574</v>
      </c>
      <c r="C356" s="168">
        <v>7757</v>
      </c>
      <c r="D356" s="165">
        <v>4</v>
      </c>
      <c r="E356" s="165">
        <f>VLOOKUP(presuvigencias[[#This Row],[LLAVE]],ESTRATÉGICO!$C$3:$R$110,16,0)</f>
        <v>17</v>
      </c>
      <c r="F356" s="165">
        <v>40537170305</v>
      </c>
      <c r="G356" s="165">
        <v>39777844417.129997</v>
      </c>
      <c r="H356" s="165">
        <v>31348322347.350002</v>
      </c>
      <c r="I356" s="165">
        <v>2023</v>
      </c>
    </row>
    <row r="357" spans="1:9" x14ac:dyDescent="0.3">
      <c r="A357" s="165" t="str">
        <f>presuvigencias[[#This Row],[PROYECTO]]&amp;presuvigencias[[#This Row],[METAPDD]]</f>
        <v>775717</v>
      </c>
      <c r="B357" s="165" t="str">
        <f>presuvigencias[[#This Row],[PROYECTO]]&amp;presuvigencias[[#This Row],[META]]</f>
        <v>77575</v>
      </c>
      <c r="C357" s="169">
        <v>7757</v>
      </c>
      <c r="D357" s="165">
        <v>5</v>
      </c>
      <c r="E357" s="165">
        <f>VLOOKUP(presuvigencias[[#This Row],[LLAVE]],ESTRATÉGICO!$C$3:$R$110,16,0)</f>
        <v>17</v>
      </c>
      <c r="F357" s="165">
        <v>565072537</v>
      </c>
      <c r="G357" s="165">
        <v>557903303</v>
      </c>
      <c r="H357" s="165">
        <v>366776200</v>
      </c>
      <c r="I357" s="165">
        <v>2023</v>
      </c>
    </row>
    <row r="358" spans="1:9" x14ac:dyDescent="0.3">
      <c r="A358" s="165" t="str">
        <f>presuvigencias[[#This Row],[PROYECTO]]&amp;presuvigencias[[#This Row],[METAPDD]]</f>
        <v>776815</v>
      </c>
      <c r="B358" s="165" t="str">
        <f>presuvigencias[[#This Row],[PROYECTO]]&amp;presuvigencias[[#This Row],[META]]</f>
        <v>77681</v>
      </c>
      <c r="C358" s="168">
        <v>7768</v>
      </c>
      <c r="D358" s="165">
        <v>1</v>
      </c>
      <c r="E358" s="165">
        <f>VLOOKUP(presuvigencias[[#This Row],[LLAVE]],ESTRATÉGICO!$C$3:$R$110,16,0)</f>
        <v>15</v>
      </c>
      <c r="F358" s="165">
        <v>1068317355</v>
      </c>
      <c r="G358" s="165">
        <v>1064769317</v>
      </c>
      <c r="H358" s="165">
        <v>813714104</v>
      </c>
      <c r="I358" s="165">
        <v>2023</v>
      </c>
    </row>
    <row r="359" spans="1:9" x14ac:dyDescent="0.3">
      <c r="A359" s="165" t="str">
        <f>presuvigencias[[#This Row],[PROYECTO]]&amp;presuvigencias[[#This Row],[METAPDD]]</f>
        <v>776815</v>
      </c>
      <c r="B359" s="165" t="str">
        <f>presuvigencias[[#This Row],[PROYECTO]]&amp;presuvigencias[[#This Row],[META]]</f>
        <v>77682</v>
      </c>
      <c r="C359" s="168">
        <v>7768</v>
      </c>
      <c r="D359" s="165">
        <v>2</v>
      </c>
      <c r="E359" s="165">
        <f>VLOOKUP(presuvigencias[[#This Row],[LLAVE]],ESTRATÉGICO!$C$3:$R$110,16,0)</f>
        <v>15</v>
      </c>
      <c r="F359" s="165">
        <v>922618904</v>
      </c>
      <c r="G359" s="165">
        <v>922618900</v>
      </c>
      <c r="H359" s="165">
        <v>743572878</v>
      </c>
      <c r="I359" s="165">
        <v>2023</v>
      </c>
    </row>
    <row r="360" spans="1:9" x14ac:dyDescent="0.3">
      <c r="A360" s="165" t="str">
        <f>presuvigencias[[#This Row],[PROYECTO]]&amp;presuvigencias[[#This Row],[METAPDD]]</f>
        <v>776815</v>
      </c>
      <c r="B360" s="165" t="str">
        <f>presuvigencias[[#This Row],[PROYECTO]]&amp;presuvigencias[[#This Row],[META]]</f>
        <v>77683</v>
      </c>
      <c r="C360" s="168">
        <v>7768</v>
      </c>
      <c r="D360" s="165">
        <v>3</v>
      </c>
      <c r="E360" s="165">
        <f>VLOOKUP(presuvigencias[[#This Row],[LLAVE]],ESTRATÉGICO!$C$3:$R$110,16,0)</f>
        <v>15</v>
      </c>
      <c r="F360" s="165">
        <v>494217247</v>
      </c>
      <c r="G360" s="165">
        <v>494217247</v>
      </c>
      <c r="H360" s="165">
        <v>393332522</v>
      </c>
      <c r="I360" s="165">
        <v>2023</v>
      </c>
    </row>
    <row r="361" spans="1:9" x14ac:dyDescent="0.3">
      <c r="A361" s="165" t="str">
        <f>presuvigencias[[#This Row],[PROYECTO]]&amp;presuvigencias[[#This Row],[METAPDD]]</f>
        <v>776814</v>
      </c>
      <c r="B361" s="165" t="str">
        <f>presuvigencias[[#This Row],[PROYECTO]]&amp;presuvigencias[[#This Row],[META]]</f>
        <v>77684</v>
      </c>
      <c r="C361" s="169">
        <v>7768</v>
      </c>
      <c r="D361" s="165">
        <v>4</v>
      </c>
      <c r="E361" s="165">
        <f>VLOOKUP(presuvigencias[[#This Row],[LLAVE]],ESTRATÉGICO!$C$3:$R$110,16,0)</f>
        <v>14</v>
      </c>
      <c r="F361" s="165">
        <v>217696494</v>
      </c>
      <c r="G361" s="165">
        <v>217696494</v>
      </c>
      <c r="H361" s="165">
        <v>176972020</v>
      </c>
      <c r="I361" s="165">
        <v>2023</v>
      </c>
    </row>
    <row r="362" spans="1:9" x14ac:dyDescent="0.3">
      <c r="A362" s="165" t="str">
        <f>presuvigencias[[#This Row],[PROYECTO]]&amp;presuvigencias[[#This Row],[METAPDD]]</f>
        <v>777061</v>
      </c>
      <c r="B362" s="165" t="str">
        <f>presuvigencias[[#This Row],[PROYECTO]]&amp;presuvigencias[[#This Row],[META]]</f>
        <v>77701</v>
      </c>
      <c r="C362" s="168">
        <v>7770</v>
      </c>
      <c r="D362" s="165">
        <v>1</v>
      </c>
      <c r="E362" s="165">
        <f>VLOOKUP(presuvigencias[[#This Row],[LLAVE]],ESTRATÉGICO!$C$3:$R$110,16,0)</f>
        <v>61</v>
      </c>
      <c r="F362" s="165">
        <v>98831876842</v>
      </c>
      <c r="G362" s="165">
        <v>98809135082</v>
      </c>
      <c r="H362" s="165">
        <v>96391528045.999985</v>
      </c>
      <c r="I362" s="165">
        <v>2023</v>
      </c>
    </row>
    <row r="363" spans="1:9" x14ac:dyDescent="0.3">
      <c r="A363" s="165" t="str">
        <f>presuvigencias[[#This Row],[PROYECTO]]&amp;presuvigencias[[#This Row],[METAPDD]]</f>
        <v>777060</v>
      </c>
      <c r="B363" s="165" t="str">
        <f>presuvigencias[[#This Row],[PROYECTO]]&amp;presuvigencias[[#This Row],[META]]</f>
        <v>77702</v>
      </c>
      <c r="C363" s="168">
        <v>7770</v>
      </c>
      <c r="D363" s="165">
        <v>2</v>
      </c>
      <c r="E363" s="165">
        <f>VLOOKUP(presuvigencias[[#This Row],[LLAVE]],ESTRATÉGICO!$C$3:$R$110,16,0)</f>
        <v>60</v>
      </c>
      <c r="F363" s="165">
        <v>39129914000</v>
      </c>
      <c r="G363" s="165">
        <v>38825413209</v>
      </c>
      <c r="H363" s="165">
        <v>27164329649.839996</v>
      </c>
      <c r="I363" s="165">
        <v>2023</v>
      </c>
    </row>
    <row r="364" spans="1:9" x14ac:dyDescent="0.3">
      <c r="A364" s="165" t="str">
        <f>presuvigencias[[#This Row],[PROYECTO]]&amp;presuvigencias[[#This Row],[METAPDD]]</f>
        <v>777060</v>
      </c>
      <c r="B364" s="165" t="str">
        <f>presuvigencias[[#This Row],[PROYECTO]]&amp;presuvigencias[[#This Row],[META]]</f>
        <v>77703</v>
      </c>
      <c r="C364" s="168">
        <v>7770</v>
      </c>
      <c r="D364" s="165">
        <v>3</v>
      </c>
      <c r="E364" s="165">
        <f>VLOOKUP(presuvigencias[[#This Row],[LLAVE]],ESTRATÉGICO!$C$3:$R$110,16,0)</f>
        <v>60</v>
      </c>
      <c r="F364" s="165">
        <v>12623705536</v>
      </c>
      <c r="G364" s="165">
        <v>12437120935</v>
      </c>
      <c r="H364" s="165">
        <v>7924797808</v>
      </c>
      <c r="I364" s="165">
        <v>2023</v>
      </c>
    </row>
    <row r="365" spans="1:9" x14ac:dyDescent="0.3">
      <c r="A365" s="165" t="str">
        <f>presuvigencias[[#This Row],[PROYECTO]]&amp;presuvigencias[[#This Row],[METAPDD]]</f>
        <v>777060</v>
      </c>
      <c r="B365" s="165" t="str">
        <f>presuvigencias[[#This Row],[PROYECTO]]&amp;presuvigencias[[#This Row],[META]]</f>
        <v>77704</v>
      </c>
      <c r="C365" s="168">
        <v>7770</v>
      </c>
      <c r="D365" s="165">
        <v>4</v>
      </c>
      <c r="E365" s="165">
        <f>VLOOKUP(presuvigencias[[#This Row],[LLAVE]],ESTRATÉGICO!$C$3:$R$110,16,0)</f>
        <v>60</v>
      </c>
      <c r="F365" s="165">
        <v>87171761652</v>
      </c>
      <c r="G365" s="165">
        <v>85684228557</v>
      </c>
      <c r="H365" s="165">
        <v>67143616845.160004</v>
      </c>
      <c r="I365" s="165">
        <v>2023</v>
      </c>
    </row>
    <row r="366" spans="1:9" x14ac:dyDescent="0.3">
      <c r="A366" s="165" t="str">
        <f>presuvigencias[[#This Row],[PROYECTO]]&amp;presuvigencias[[#This Row],[METAPDD]]</f>
        <v>777049</v>
      </c>
      <c r="B366" s="165" t="str">
        <f>presuvigencias[[#This Row],[PROYECTO]]&amp;presuvigencias[[#This Row],[META]]</f>
        <v>77705</v>
      </c>
      <c r="C366" s="168">
        <v>7770</v>
      </c>
      <c r="D366" s="165">
        <v>5</v>
      </c>
      <c r="E366" s="165">
        <f>VLOOKUP(presuvigencias[[#This Row],[LLAVE]],ESTRATÉGICO!$C$3:$R$110,16,0)</f>
        <v>49</v>
      </c>
      <c r="F366" s="165">
        <v>887601000</v>
      </c>
      <c r="G366" s="165">
        <v>887601000</v>
      </c>
      <c r="H366" s="165">
        <v>619754700</v>
      </c>
      <c r="I366" s="165">
        <v>2023</v>
      </c>
    </row>
    <row r="367" spans="1:9" x14ac:dyDescent="0.3">
      <c r="A367" s="165" t="str">
        <f>presuvigencias[[#This Row],[PROYECTO]]&amp;presuvigencias[[#This Row],[METAPDD]]</f>
        <v>777060</v>
      </c>
      <c r="B367" s="165" t="str">
        <f>presuvigencias[[#This Row],[PROYECTO]]&amp;presuvigencias[[#This Row],[META]]</f>
        <v>77706</v>
      </c>
      <c r="C367" s="168">
        <v>7770</v>
      </c>
      <c r="D367" s="165">
        <v>6</v>
      </c>
      <c r="E367" s="165">
        <f>VLOOKUP(presuvigencias[[#This Row],[LLAVE]],ESTRATÉGICO!$C$3:$R$110,16,0)</f>
        <v>60</v>
      </c>
      <c r="F367" s="165">
        <v>4845984591</v>
      </c>
      <c r="G367" s="165">
        <v>4811496313</v>
      </c>
      <c r="H367" s="165">
        <v>3704195246</v>
      </c>
      <c r="I367" s="165">
        <v>2023</v>
      </c>
    </row>
    <row r="368" spans="1:9" x14ac:dyDescent="0.3">
      <c r="A368" s="165" t="str">
        <f>presuvigencias[[#This Row],[PROYECTO]]&amp;presuvigencias[[#This Row],[METAPDD]]</f>
        <v>777060</v>
      </c>
      <c r="B368" s="165" t="str">
        <f>presuvigencias[[#This Row],[PROYECTO]]&amp;presuvigencias[[#This Row],[META]]</f>
        <v>77707</v>
      </c>
      <c r="C368" s="169">
        <v>7770</v>
      </c>
      <c r="D368" s="165">
        <v>7</v>
      </c>
      <c r="E368" s="165">
        <f>VLOOKUP(presuvigencias[[#This Row],[LLAVE]],ESTRATÉGICO!$C$3:$R$110,16,0)</f>
        <v>60</v>
      </c>
      <c r="F368" s="165">
        <v>223972000</v>
      </c>
      <c r="G368" s="165">
        <v>223972000</v>
      </c>
      <c r="H368" s="165">
        <v>194312500</v>
      </c>
      <c r="I368" s="165">
        <v>2023</v>
      </c>
    </row>
    <row r="369" spans="1:9" x14ac:dyDescent="0.3">
      <c r="A369" s="165" t="str">
        <f>presuvigencias[[#This Row],[PROYECTO]]&amp;presuvigencias[[#This Row],[METAPDD]]</f>
        <v>777157</v>
      </c>
      <c r="B369" s="165" t="str">
        <f>presuvigencias[[#This Row],[PROYECTO]]&amp;presuvigencias[[#This Row],[META]]</f>
        <v>77711</v>
      </c>
      <c r="C369" s="168">
        <v>7771</v>
      </c>
      <c r="D369" s="165">
        <v>1</v>
      </c>
      <c r="E369" s="165">
        <f>VLOOKUP(presuvigencias[[#This Row],[LLAVE]],ESTRATÉGICO!$C$3:$R$110,16,0)</f>
        <v>57</v>
      </c>
      <c r="F369" s="165">
        <v>2078149898</v>
      </c>
      <c r="G369" s="165">
        <v>2041577765</v>
      </c>
      <c r="H369" s="165">
        <v>1429877665</v>
      </c>
      <c r="I369" s="165">
        <v>2023</v>
      </c>
    </row>
    <row r="370" spans="1:9" x14ac:dyDescent="0.3">
      <c r="A370" s="165" t="str">
        <f>presuvigencias[[#This Row],[PROYECTO]]&amp;presuvigencias[[#This Row],[METAPDD]]</f>
        <v>777158</v>
      </c>
      <c r="B370" s="165" t="str">
        <f>presuvigencias[[#This Row],[PROYECTO]]&amp;presuvigencias[[#This Row],[META]]</f>
        <v>77712</v>
      </c>
      <c r="C370" s="168">
        <v>7771</v>
      </c>
      <c r="D370" s="165">
        <v>2</v>
      </c>
      <c r="E370" s="165">
        <f>VLOOKUP(presuvigencias[[#This Row],[LLAVE]],ESTRATÉGICO!$C$3:$R$110,16,0)</f>
        <v>58</v>
      </c>
      <c r="F370" s="165">
        <v>77192562724</v>
      </c>
      <c r="G370" s="165">
        <v>76456238709</v>
      </c>
      <c r="H370" s="165">
        <v>53498881668</v>
      </c>
      <c r="I370" s="165">
        <v>2023</v>
      </c>
    </row>
    <row r="371" spans="1:9" x14ac:dyDescent="0.3">
      <c r="A371" s="165" t="str">
        <f>presuvigencias[[#This Row],[PROYECTO]]&amp;presuvigencias[[#This Row],[METAPDD]]</f>
        <v>777159</v>
      </c>
      <c r="B371" s="165" t="str">
        <f>presuvigencias[[#This Row],[PROYECTO]]&amp;presuvigencias[[#This Row],[META]]</f>
        <v>77713</v>
      </c>
      <c r="C371" s="168">
        <v>7771</v>
      </c>
      <c r="D371" s="165">
        <v>3</v>
      </c>
      <c r="E371" s="165">
        <f>VLOOKUP(presuvigencias[[#This Row],[LLAVE]],ESTRATÉGICO!$C$3:$R$110,16,0)</f>
        <v>59</v>
      </c>
      <c r="F371" s="165">
        <v>367655399</v>
      </c>
      <c r="G371" s="165">
        <v>353238866</v>
      </c>
      <c r="H371" s="165">
        <v>256993599</v>
      </c>
      <c r="I371" s="165">
        <v>2023</v>
      </c>
    </row>
    <row r="372" spans="1:9" x14ac:dyDescent="0.3">
      <c r="A372" s="165" t="str">
        <f>presuvigencias[[#This Row],[PROYECTO]]&amp;presuvigencias[[#This Row],[METAPDD]]</f>
        <v>777159</v>
      </c>
      <c r="B372" s="165" t="str">
        <f>presuvigencias[[#This Row],[PROYECTO]]&amp;presuvigencias[[#This Row],[META]]</f>
        <v>77714</v>
      </c>
      <c r="C372" s="168">
        <v>7771</v>
      </c>
      <c r="D372" s="165">
        <v>4</v>
      </c>
      <c r="E372" s="165">
        <f>VLOOKUP(presuvigencias[[#This Row],[LLAVE]],ESTRATÉGICO!$C$3:$R$110,16,0)</f>
        <v>59</v>
      </c>
      <c r="F372" s="165">
        <v>241803757</v>
      </c>
      <c r="G372" s="165">
        <v>239790490</v>
      </c>
      <c r="H372" s="165">
        <v>165003630</v>
      </c>
      <c r="I372" s="165">
        <v>2023</v>
      </c>
    </row>
    <row r="373" spans="1:9" x14ac:dyDescent="0.3">
      <c r="A373" s="165" t="str">
        <f>presuvigencias[[#This Row],[PROYECTO]]&amp;presuvigencias[[#This Row],[METAPDD]]</f>
        <v>777159</v>
      </c>
      <c r="B373" s="165" t="str">
        <f>presuvigencias[[#This Row],[PROYECTO]]&amp;presuvigencias[[#This Row],[META]]</f>
        <v>77715</v>
      </c>
      <c r="C373" s="169">
        <v>7771</v>
      </c>
      <c r="D373" s="165">
        <v>5</v>
      </c>
      <c r="E373" s="165">
        <f>VLOOKUP(presuvigencias[[#This Row],[LLAVE]],ESTRATÉGICO!$C$3:$R$110,16,0)</f>
        <v>59</v>
      </c>
      <c r="F373" s="165">
        <v>424277166</v>
      </c>
      <c r="G373" s="165">
        <v>397318767</v>
      </c>
      <c r="H373" s="165">
        <v>292443367</v>
      </c>
      <c r="I373" s="165">
        <v>2023</v>
      </c>
    </row>
    <row r="374" spans="1:9" x14ac:dyDescent="0.3">
      <c r="A374" s="165" t="str">
        <f>presuvigencias[[#This Row],[PROYECTO]]&amp;presuvigencias[[#This Row],[METAPDD]]</f>
        <v>791815</v>
      </c>
      <c r="B374" s="165" t="str">
        <f>presuvigencias[[#This Row],[PROYECTO]]&amp;presuvigencias[[#This Row],[META]]</f>
        <v>79181</v>
      </c>
      <c r="C374" s="168">
        <v>7918</v>
      </c>
      <c r="D374" s="165">
        <v>1</v>
      </c>
      <c r="E374" s="165">
        <f>VLOOKUP(presuvigencias[[#This Row],[LLAVE]],ESTRATÉGICO!$C$3:$R$110,16,0)</f>
        <v>15</v>
      </c>
      <c r="F374" s="165">
        <v>424192400</v>
      </c>
      <c r="G374" s="165">
        <v>411373667</v>
      </c>
      <c r="H374" s="165">
        <v>347588400</v>
      </c>
      <c r="I374" s="165">
        <v>2023</v>
      </c>
    </row>
    <row r="375" spans="1:9" x14ac:dyDescent="0.3">
      <c r="A375" s="165" t="str">
        <f>presuvigencias[[#This Row],[PROYECTO]]&amp;presuvigencias[[#This Row],[METAPDD]]</f>
        <v>791815</v>
      </c>
      <c r="B375" s="165" t="str">
        <f>presuvigencias[[#This Row],[PROYECTO]]&amp;presuvigencias[[#This Row],[META]]</f>
        <v>79182</v>
      </c>
      <c r="C375" s="168">
        <v>7918</v>
      </c>
      <c r="D375" s="165">
        <v>2</v>
      </c>
      <c r="E375" s="165">
        <f>VLOOKUP(presuvigencias[[#This Row],[LLAVE]],ESTRATÉGICO!$C$3:$R$110,16,0)</f>
        <v>15</v>
      </c>
      <c r="F375" s="165">
        <v>567488205255</v>
      </c>
      <c r="G375" s="165">
        <v>563294392009</v>
      </c>
      <c r="H375" s="165">
        <v>553138052560</v>
      </c>
      <c r="I375" s="165">
        <v>2023</v>
      </c>
    </row>
    <row r="376" spans="1:9" x14ac:dyDescent="0.3">
      <c r="A376" s="165" t="str">
        <f>presuvigencias[[#This Row],[PROYECTO]]&amp;presuvigencias[[#This Row],[METAPDD]]</f>
        <v>791815</v>
      </c>
      <c r="B376" s="165" t="str">
        <f>presuvigencias[[#This Row],[PROYECTO]]&amp;presuvigencias[[#This Row],[META]]</f>
        <v>79183</v>
      </c>
      <c r="C376" s="168">
        <v>7918</v>
      </c>
      <c r="D376" s="165">
        <v>3</v>
      </c>
      <c r="E376" s="165">
        <f>VLOOKUP(presuvigencias[[#This Row],[LLAVE]],ESTRATÉGICO!$C$3:$R$110,16,0)</f>
        <v>15</v>
      </c>
      <c r="F376" s="165">
        <v>2392832595</v>
      </c>
      <c r="G376" s="165">
        <v>2309071944</v>
      </c>
      <c r="H376" s="165">
        <v>1675535820</v>
      </c>
      <c r="I376" s="165">
        <v>2023</v>
      </c>
    </row>
    <row r="377" spans="1:9" x14ac:dyDescent="0.3">
      <c r="A377" s="165" t="str">
        <f>presuvigencias[[#This Row],[PROYECTO]]&amp;presuvigencias[[#This Row],[METAPDD]]</f>
        <v>791815</v>
      </c>
      <c r="B377" s="165" t="str">
        <f>presuvigencias[[#This Row],[PROYECTO]]&amp;presuvigencias[[#This Row],[META]]</f>
        <v>79184</v>
      </c>
      <c r="C377" s="169">
        <v>7918</v>
      </c>
      <c r="D377" s="165">
        <v>4</v>
      </c>
      <c r="E377" s="165">
        <f>VLOOKUP(presuvigencias[[#This Row],[LLAVE]],ESTRATÉGICO!$C$3:$R$110,16,0)</f>
        <v>15</v>
      </c>
      <c r="F377" s="165">
        <v>1185110473</v>
      </c>
      <c r="G377" s="165">
        <v>1127352999</v>
      </c>
      <c r="H377" s="165">
        <v>946931459</v>
      </c>
      <c r="I377" s="165">
        <v>2023</v>
      </c>
    </row>
    <row r="378" spans="1:9" x14ac:dyDescent="0.3">
      <c r="A378" s="165" t="str">
        <f>presuvigencias[[#This Row],[PROYECTO]]&amp;presuvigencias[[#This Row],[METAPDD]]</f>
        <v>7564364</v>
      </c>
      <c r="B378" s="165" t="str">
        <f>presuvigencias[[#This Row],[PROYECTO]]&amp;presuvigencias[[#This Row],[META]]</f>
        <v>75641</v>
      </c>
      <c r="C378" s="166">
        <v>7564</v>
      </c>
      <c r="D378" s="165">
        <v>1</v>
      </c>
      <c r="E378" s="165">
        <f>VLOOKUP(presuvigencias[[#This Row],[LLAVE]],ESTRATÉGICO!$C$3:$R$110,16,0)</f>
        <v>364</v>
      </c>
      <c r="F378" s="165">
        <v>74739000</v>
      </c>
      <c r="I378" s="165">
        <v>2024</v>
      </c>
    </row>
    <row r="379" spans="1:9" x14ac:dyDescent="0.3">
      <c r="A379" s="165" t="str">
        <f>presuvigencias[[#This Row],[PROYECTO]]&amp;presuvigencias[[#This Row],[METAPDD]]</f>
        <v>7564364</v>
      </c>
      <c r="B379" s="165" t="str">
        <f>presuvigencias[[#This Row],[PROYECTO]]&amp;presuvigencias[[#This Row],[META]]</f>
        <v>75642</v>
      </c>
      <c r="C379" s="167">
        <v>7564</v>
      </c>
      <c r="D379" s="165">
        <v>2</v>
      </c>
      <c r="E379" s="165">
        <f>VLOOKUP(presuvigencias[[#This Row],[LLAVE]],ESTRATÉGICO!$C$3:$R$110,16,0)</f>
        <v>364</v>
      </c>
      <c r="F379" s="165">
        <v>15036992000</v>
      </c>
      <c r="I379" s="165">
        <v>2024</v>
      </c>
    </row>
    <row r="380" spans="1:9" x14ac:dyDescent="0.3">
      <c r="A380" s="165" t="str">
        <f>presuvigencias[[#This Row],[PROYECTO]]&amp;presuvigencias[[#This Row],[METAPDD]]</f>
        <v>756562</v>
      </c>
      <c r="B380" s="165" t="str">
        <f>presuvigencias[[#This Row],[PROYECTO]]&amp;presuvigencias[[#This Row],[META]]</f>
        <v>75655</v>
      </c>
      <c r="C380" s="166">
        <v>7565</v>
      </c>
      <c r="D380" s="165">
        <v>5</v>
      </c>
      <c r="E380" s="165">
        <f>VLOOKUP(presuvigencias[[#This Row],[LLAVE]],ESTRATÉGICO!$C$3:$R$110,16,0)</f>
        <v>62</v>
      </c>
      <c r="F380" s="165">
        <v>273359000</v>
      </c>
      <c r="I380" s="165">
        <v>2024</v>
      </c>
    </row>
    <row r="381" spans="1:9" x14ac:dyDescent="0.3">
      <c r="A381" s="165" t="str">
        <f>presuvigencias[[#This Row],[PROYECTO]]&amp;presuvigencias[[#This Row],[METAPDD]]</f>
        <v>756562</v>
      </c>
      <c r="B381" s="165" t="str">
        <f>presuvigencias[[#This Row],[PROYECTO]]&amp;presuvigencias[[#This Row],[META]]</f>
        <v>75656</v>
      </c>
      <c r="C381" s="166">
        <v>7565</v>
      </c>
      <c r="D381" s="165">
        <v>6</v>
      </c>
      <c r="E381" s="165">
        <f>VLOOKUP(presuvigencias[[#This Row],[LLAVE]],ESTRATÉGICO!$C$3:$R$110,16,0)</f>
        <v>62</v>
      </c>
      <c r="F381" s="165">
        <v>99750000</v>
      </c>
      <c r="I381" s="165">
        <v>2024</v>
      </c>
    </row>
    <row r="382" spans="1:9" x14ac:dyDescent="0.3">
      <c r="A382" s="165" t="str">
        <f>presuvigencias[[#This Row],[PROYECTO]]&amp;presuvigencias[[#This Row],[METAPDD]]</f>
        <v>756562</v>
      </c>
      <c r="B382" s="165" t="str">
        <f>presuvigencias[[#This Row],[PROYECTO]]&amp;presuvigencias[[#This Row],[META]]</f>
        <v>75657</v>
      </c>
      <c r="C382" s="166">
        <v>7565</v>
      </c>
      <c r="D382" s="165">
        <v>7</v>
      </c>
      <c r="E382" s="165">
        <f>VLOOKUP(presuvigencias[[#This Row],[LLAVE]],ESTRATÉGICO!$C$3:$R$110,16,0)</f>
        <v>62</v>
      </c>
      <c r="F382" s="165">
        <v>17424419000</v>
      </c>
      <c r="I382" s="165">
        <v>2024</v>
      </c>
    </row>
    <row r="383" spans="1:9" x14ac:dyDescent="0.3">
      <c r="A383" s="165" t="str">
        <f>presuvigencias[[#This Row],[PROYECTO]]&amp;presuvigencias[[#This Row],[METAPDD]]</f>
        <v>756562</v>
      </c>
      <c r="B383" s="165" t="str">
        <f>presuvigencias[[#This Row],[PROYECTO]]&amp;presuvigencias[[#This Row],[META]]</f>
        <v>75658</v>
      </c>
      <c r="C383" s="166">
        <v>7565</v>
      </c>
      <c r="D383" s="165">
        <v>8</v>
      </c>
      <c r="E383" s="165">
        <f>VLOOKUP(presuvigencias[[#This Row],[LLAVE]],ESTRATÉGICO!$C$3:$R$110,16,0)</f>
        <v>62</v>
      </c>
      <c r="F383" s="165">
        <v>14381692000</v>
      </c>
      <c r="I383" s="165">
        <v>2024</v>
      </c>
    </row>
    <row r="384" spans="1:9" x14ac:dyDescent="0.3">
      <c r="A384" s="165" t="str">
        <f>presuvigencias[[#This Row],[PROYECTO]]&amp;presuvigencias[[#This Row],[METAPDD]]</f>
        <v>756562</v>
      </c>
      <c r="B384" s="165" t="str">
        <f>presuvigencias[[#This Row],[PROYECTO]]&amp;presuvigencias[[#This Row],[META]]</f>
        <v>75659</v>
      </c>
      <c r="C384" s="166">
        <v>7565</v>
      </c>
      <c r="D384" s="165">
        <v>9</v>
      </c>
      <c r="E384" s="165">
        <f>VLOOKUP(presuvigencias[[#This Row],[LLAVE]],ESTRATÉGICO!$C$3:$R$110,16,0)</f>
        <v>62</v>
      </c>
      <c r="F384" s="165">
        <v>261430000</v>
      </c>
      <c r="I384" s="165">
        <v>2024</v>
      </c>
    </row>
    <row r="385" spans="1:9" x14ac:dyDescent="0.3">
      <c r="A385" s="165" t="str">
        <f>presuvigencias[[#This Row],[PROYECTO]]&amp;presuvigencias[[#This Row],[METAPDD]]</f>
        <v>756562</v>
      </c>
      <c r="B385" s="165" t="str">
        <f>presuvigencias[[#This Row],[PROYECTO]]&amp;presuvigencias[[#This Row],[META]]</f>
        <v>756512</v>
      </c>
      <c r="C385" s="167">
        <v>7565</v>
      </c>
      <c r="D385" s="165">
        <v>12</v>
      </c>
      <c r="E385" s="165">
        <f>VLOOKUP(presuvigencias[[#This Row],[LLAVE]],ESTRATÉGICO!$C$3:$R$110,16,0)</f>
        <v>62</v>
      </c>
      <c r="F385" s="165">
        <v>7041142000</v>
      </c>
      <c r="I385" s="165">
        <v>2024</v>
      </c>
    </row>
    <row r="386" spans="1:9" x14ac:dyDescent="0.3">
      <c r="A386" s="165" t="str">
        <f>presuvigencias[[#This Row],[PROYECTO]]&amp;presuvigencias[[#This Row],[METAPDD]]</f>
        <v>773021</v>
      </c>
      <c r="B386" s="165" t="str">
        <f>presuvigencias[[#This Row],[PROYECTO]]&amp;presuvigencias[[#This Row],[META]]</f>
        <v>77301</v>
      </c>
      <c r="C386" s="166">
        <v>7730</v>
      </c>
      <c r="D386" s="165">
        <v>1</v>
      </c>
      <c r="E386" s="165">
        <f>VLOOKUP(presuvigencias[[#This Row],[LLAVE]],ESTRATÉGICO!$C$3:$R$110,16,0)</f>
        <v>21</v>
      </c>
      <c r="F386" s="165">
        <v>271863000</v>
      </c>
      <c r="I386" s="165">
        <v>2024</v>
      </c>
    </row>
    <row r="387" spans="1:9" x14ac:dyDescent="0.3">
      <c r="A387" s="165" t="str">
        <f>presuvigencias[[#This Row],[PROYECTO]]&amp;presuvigencias[[#This Row],[METAPDD]]</f>
        <v>773021</v>
      </c>
      <c r="B387" s="165" t="str">
        <f>presuvigencias[[#This Row],[PROYECTO]]&amp;presuvigencias[[#This Row],[META]]</f>
        <v>77303</v>
      </c>
      <c r="C387" s="167">
        <v>7730</v>
      </c>
      <c r="D387" s="165">
        <v>3</v>
      </c>
      <c r="E387" s="165">
        <f>VLOOKUP(presuvigencias[[#This Row],[LLAVE]],ESTRATÉGICO!$C$3:$R$110,16,0)</f>
        <v>21</v>
      </c>
      <c r="F387" s="165">
        <v>1952189000</v>
      </c>
      <c r="I387" s="165">
        <v>2024</v>
      </c>
    </row>
    <row r="388" spans="1:9" x14ac:dyDescent="0.3">
      <c r="A388" s="165" t="str">
        <f>presuvigencias[[#This Row],[PROYECTO]]&amp;presuvigencias[[#This Row],[METAPDD]]</f>
        <v>7733484</v>
      </c>
      <c r="B388" s="165" t="str">
        <f>presuvigencias[[#This Row],[PROYECTO]]&amp;presuvigencias[[#This Row],[META]]</f>
        <v>77331</v>
      </c>
      <c r="C388" s="166">
        <v>7733</v>
      </c>
      <c r="D388" s="165">
        <v>1</v>
      </c>
      <c r="E388" s="165">
        <f>VLOOKUP(presuvigencias[[#This Row],[LLAVE]],ESTRATÉGICO!$C$3:$R$110,16,0)</f>
        <v>484</v>
      </c>
      <c r="F388" s="165">
        <v>1806812000</v>
      </c>
      <c r="I388" s="165">
        <v>2024</v>
      </c>
    </row>
    <row r="389" spans="1:9" x14ac:dyDescent="0.3">
      <c r="A389" s="165" t="str">
        <f>presuvigencias[[#This Row],[PROYECTO]]&amp;presuvigencias[[#This Row],[METAPDD]]</f>
        <v>7733481</v>
      </c>
      <c r="B389" s="165" t="str">
        <f>presuvigencias[[#This Row],[PROYECTO]]&amp;presuvigencias[[#This Row],[META]]</f>
        <v>77332</v>
      </c>
      <c r="C389" s="166">
        <v>7733</v>
      </c>
      <c r="D389" s="165">
        <v>2</v>
      </c>
      <c r="E389" s="165">
        <f>VLOOKUP(presuvigencias[[#This Row],[LLAVE]],ESTRATÉGICO!$C$3:$R$110,16,0)</f>
        <v>481</v>
      </c>
      <c r="F389" s="165">
        <v>1265132000</v>
      </c>
      <c r="I389" s="165">
        <v>2024</v>
      </c>
    </row>
    <row r="390" spans="1:9" x14ac:dyDescent="0.3">
      <c r="A390" s="165" t="str">
        <f>presuvigencias[[#This Row],[PROYECTO]]&amp;presuvigencias[[#This Row],[METAPDD]]</f>
        <v>7733481</v>
      </c>
      <c r="B390" s="165" t="str">
        <f>presuvigencias[[#This Row],[PROYECTO]]&amp;presuvigencias[[#This Row],[META]]</f>
        <v>77333</v>
      </c>
      <c r="C390" s="166">
        <v>7733</v>
      </c>
      <c r="D390" s="165">
        <v>3</v>
      </c>
      <c r="E390" s="165">
        <f>VLOOKUP(presuvigencias[[#This Row],[LLAVE]],ESTRATÉGICO!$C$3:$R$110,16,0)</f>
        <v>481</v>
      </c>
      <c r="F390" s="165">
        <v>1156354000</v>
      </c>
      <c r="I390" s="165">
        <v>2024</v>
      </c>
    </row>
    <row r="391" spans="1:9" x14ac:dyDescent="0.3">
      <c r="A391" s="165" t="str">
        <f>presuvigencias[[#This Row],[PROYECTO]]&amp;presuvigencias[[#This Row],[METAPDD]]</f>
        <v>7733481</v>
      </c>
      <c r="B391" s="165" t="str">
        <f>presuvigencias[[#This Row],[PROYECTO]]&amp;presuvigencias[[#This Row],[META]]</f>
        <v>77334</v>
      </c>
      <c r="C391" s="167">
        <v>7733</v>
      </c>
      <c r="D391" s="165">
        <v>4</v>
      </c>
      <c r="E391" s="165">
        <f>VLOOKUP(presuvigencias[[#This Row],[LLAVE]],ESTRATÉGICO!$C$3:$R$110,16,0)</f>
        <v>481</v>
      </c>
      <c r="F391" s="165">
        <v>268508000</v>
      </c>
      <c r="I391" s="165">
        <v>2024</v>
      </c>
    </row>
    <row r="392" spans="1:9" x14ac:dyDescent="0.3">
      <c r="A392" s="165" t="str">
        <f>presuvigencias[[#This Row],[PROYECTO]]&amp;presuvigencias[[#This Row],[METAPDD]]</f>
        <v>7735545</v>
      </c>
      <c r="B392" s="165" t="str">
        <f>presuvigencias[[#This Row],[PROYECTO]]&amp;presuvigencias[[#This Row],[META]]</f>
        <v>77351</v>
      </c>
      <c r="C392" s="166">
        <v>7735</v>
      </c>
      <c r="D392" s="165">
        <v>1</v>
      </c>
      <c r="E392" s="165">
        <f>VLOOKUP(presuvigencias[[#This Row],[LLAVE]],ESTRATÉGICO!$C$3:$R$110,16,0)</f>
        <v>545</v>
      </c>
      <c r="F392" s="165">
        <v>1248929000</v>
      </c>
      <c r="I392" s="165">
        <v>2024</v>
      </c>
    </row>
    <row r="393" spans="1:9" x14ac:dyDescent="0.3">
      <c r="A393" s="165" t="str">
        <f>presuvigencias[[#This Row],[PROYECTO]]&amp;presuvigencias[[#This Row],[METAPDD]]</f>
        <v>7735545</v>
      </c>
      <c r="B393" s="165" t="str">
        <f>presuvigencias[[#This Row],[PROYECTO]]&amp;presuvigencias[[#This Row],[META]]</f>
        <v>77352</v>
      </c>
      <c r="C393" s="166">
        <v>7735</v>
      </c>
      <c r="D393" s="165">
        <v>2</v>
      </c>
      <c r="E393" s="165">
        <f>VLOOKUP(presuvigencias[[#This Row],[LLAVE]],ESTRATÉGICO!$C$3:$R$110,16,0)</f>
        <v>545</v>
      </c>
      <c r="F393" s="165">
        <v>65868000</v>
      </c>
      <c r="I393" s="165">
        <v>2024</v>
      </c>
    </row>
    <row r="394" spans="1:9" x14ac:dyDescent="0.3">
      <c r="A394" s="165" t="str">
        <f>presuvigencias[[#This Row],[PROYECTO]]&amp;presuvigencias[[#This Row],[METAPDD]]</f>
        <v>7735546</v>
      </c>
      <c r="B394" s="165" t="str">
        <f>presuvigencias[[#This Row],[PROYECTO]]&amp;presuvigencias[[#This Row],[META]]</f>
        <v>77353</v>
      </c>
      <c r="C394" s="166">
        <v>7735</v>
      </c>
      <c r="D394" s="165">
        <v>3</v>
      </c>
      <c r="E394" s="165">
        <f>VLOOKUP(presuvigencias[[#This Row],[LLAVE]],ESTRATÉGICO!$C$3:$R$110,16,0)</f>
        <v>546</v>
      </c>
      <c r="F394" s="165">
        <v>657945000</v>
      </c>
      <c r="I394" s="165">
        <v>2024</v>
      </c>
    </row>
    <row r="395" spans="1:9" x14ac:dyDescent="0.3">
      <c r="A395" s="165" t="str">
        <f>presuvigencias[[#This Row],[PROYECTO]]&amp;presuvigencias[[#This Row],[METAPDD]]</f>
        <v>7735545</v>
      </c>
      <c r="B395" s="165" t="str">
        <f>presuvigencias[[#This Row],[PROYECTO]]&amp;presuvigencias[[#This Row],[META]]</f>
        <v>77354</v>
      </c>
      <c r="C395" s="166">
        <v>7735</v>
      </c>
      <c r="D395" s="165">
        <v>4</v>
      </c>
      <c r="E395" s="165">
        <f>VLOOKUP(presuvigencias[[#This Row],[LLAVE]],ESTRATÉGICO!$C$3:$R$110,16,0)</f>
        <v>545</v>
      </c>
      <c r="F395" s="165">
        <v>2842409000</v>
      </c>
      <c r="I395" s="165">
        <v>2024</v>
      </c>
    </row>
    <row r="396" spans="1:9" x14ac:dyDescent="0.3">
      <c r="A396" s="165" t="str">
        <f>presuvigencias[[#This Row],[PROYECTO]]&amp;presuvigencias[[#This Row],[METAPDD]]</f>
        <v>7735545</v>
      </c>
      <c r="B396" s="165" t="str">
        <f>presuvigencias[[#This Row],[PROYECTO]]&amp;presuvigencias[[#This Row],[META]]</f>
        <v>77355</v>
      </c>
      <c r="C396" s="167">
        <v>7735</v>
      </c>
      <c r="D396" s="165">
        <v>5</v>
      </c>
      <c r="E396" s="165">
        <f>VLOOKUP(presuvigencias[[#This Row],[LLAVE]],ESTRATÉGICO!$C$3:$R$110,16,0)</f>
        <v>545</v>
      </c>
      <c r="F396" s="165">
        <v>1187440000</v>
      </c>
      <c r="I396" s="165">
        <v>2024</v>
      </c>
    </row>
    <row r="397" spans="1:9" x14ac:dyDescent="0.3">
      <c r="A397" s="165" t="str">
        <f>presuvigencias[[#This Row],[PROYECTO]]&amp;presuvigencias[[#This Row],[METAPDD]]</f>
        <v>7740114</v>
      </c>
      <c r="B397" s="165" t="str">
        <f>presuvigencias[[#This Row],[PROYECTO]]&amp;presuvigencias[[#This Row],[META]]</f>
        <v>77401</v>
      </c>
      <c r="C397" s="166">
        <v>7740</v>
      </c>
      <c r="D397" s="165">
        <v>1</v>
      </c>
      <c r="E397" s="165">
        <f>VLOOKUP(presuvigencias[[#This Row],[LLAVE]],ESTRATÉGICO!$C$3:$R$110,16,0)</f>
        <v>114</v>
      </c>
      <c r="F397" s="165">
        <v>681791000</v>
      </c>
      <c r="I397" s="165">
        <v>2024</v>
      </c>
    </row>
    <row r="398" spans="1:9" x14ac:dyDescent="0.3">
      <c r="A398" s="165" t="str">
        <f>presuvigencias[[#This Row],[PROYECTO]]&amp;presuvigencias[[#This Row],[METAPDD]]</f>
        <v>7740114</v>
      </c>
      <c r="B398" s="165" t="str">
        <f>presuvigencias[[#This Row],[PROYECTO]]&amp;presuvigencias[[#This Row],[META]]</f>
        <v>77402</v>
      </c>
      <c r="C398" s="166">
        <v>7740</v>
      </c>
      <c r="D398" s="165">
        <v>2</v>
      </c>
      <c r="E398" s="165">
        <f>VLOOKUP(presuvigencias[[#This Row],[LLAVE]],ESTRATÉGICO!$C$3:$R$110,16,0)</f>
        <v>114</v>
      </c>
      <c r="F398" s="165">
        <v>157114000</v>
      </c>
      <c r="I398" s="165">
        <v>2024</v>
      </c>
    </row>
    <row r="399" spans="1:9" x14ac:dyDescent="0.3">
      <c r="A399" s="165" t="str">
        <f>presuvigencias[[#This Row],[PROYECTO]]&amp;presuvigencias[[#This Row],[METAPDD]]</f>
        <v>7740113</v>
      </c>
      <c r="B399" s="165" t="str">
        <f>presuvigencias[[#This Row],[PROYECTO]]&amp;presuvigencias[[#This Row],[META]]</f>
        <v>77403</v>
      </c>
      <c r="C399" s="166">
        <v>7740</v>
      </c>
      <c r="D399" s="165">
        <v>3</v>
      </c>
      <c r="E399" s="165">
        <f>VLOOKUP(presuvigencias[[#This Row],[LLAVE]],ESTRATÉGICO!$C$3:$R$110,16,0)</f>
        <v>113</v>
      </c>
      <c r="F399" s="165">
        <v>4807830000</v>
      </c>
      <c r="I399" s="165">
        <v>2024</v>
      </c>
    </row>
    <row r="400" spans="1:9" x14ac:dyDescent="0.3">
      <c r="A400" s="165" t="str">
        <f>presuvigencias[[#This Row],[PROYECTO]]&amp;presuvigencias[[#This Row],[METAPDD]]</f>
        <v>7740114</v>
      </c>
      <c r="B400" s="165" t="str">
        <f>presuvigencias[[#This Row],[PROYECTO]]&amp;presuvigencias[[#This Row],[META]]</f>
        <v>77404</v>
      </c>
      <c r="C400" s="166">
        <v>7740</v>
      </c>
      <c r="D400" s="165">
        <v>4</v>
      </c>
      <c r="E400" s="165">
        <f>VLOOKUP(presuvigencias[[#This Row],[LLAVE]],ESTRATÉGICO!$C$3:$R$110,16,0)</f>
        <v>114</v>
      </c>
      <c r="F400" s="165">
        <v>3722728000</v>
      </c>
      <c r="I400" s="165">
        <v>2024</v>
      </c>
    </row>
    <row r="401" spans="1:9" x14ac:dyDescent="0.3">
      <c r="A401" s="165" t="str">
        <f>presuvigencias[[#This Row],[PROYECTO]]&amp;presuvigencias[[#This Row],[METAPDD]]</f>
        <v>7740110</v>
      </c>
      <c r="B401" s="165" t="str">
        <f>presuvigencias[[#This Row],[PROYECTO]]&amp;presuvigencias[[#This Row],[META]]</f>
        <v>77405</v>
      </c>
      <c r="C401" s="167">
        <v>7740</v>
      </c>
      <c r="D401" s="165">
        <v>5</v>
      </c>
      <c r="E401" s="165">
        <f>VLOOKUP(presuvigencias[[#This Row],[LLAVE]],ESTRATÉGICO!$C$3:$R$110,16,0)</f>
        <v>110</v>
      </c>
      <c r="F401" s="165">
        <v>3199354000</v>
      </c>
      <c r="I401" s="165">
        <v>2024</v>
      </c>
    </row>
    <row r="402" spans="1:9" x14ac:dyDescent="0.3">
      <c r="A402" s="165" t="str">
        <f>presuvigencias[[#This Row],[PROYECTO]]&amp;presuvigencias[[#This Row],[METAPDD]]</f>
        <v>7741412</v>
      </c>
      <c r="B402" s="165" t="str">
        <f>presuvigencias[[#This Row],[PROYECTO]]&amp;presuvigencias[[#This Row],[META]]</f>
        <v>77411</v>
      </c>
      <c r="C402" s="166">
        <v>7741</v>
      </c>
      <c r="D402" s="165">
        <v>1</v>
      </c>
      <c r="E402" s="165">
        <f>VLOOKUP(presuvigencias[[#This Row],[LLAVE]],ESTRATÉGICO!$C$3:$R$110,16,0)</f>
        <v>412</v>
      </c>
      <c r="F402" s="165">
        <v>20869537000</v>
      </c>
      <c r="I402" s="165">
        <v>2024</v>
      </c>
    </row>
    <row r="403" spans="1:9" x14ac:dyDescent="0.3">
      <c r="A403" s="165" t="str">
        <f>presuvigencias[[#This Row],[PROYECTO]]&amp;presuvigencias[[#This Row],[METAPDD]]</f>
        <v>7741412</v>
      </c>
      <c r="B403" s="165" t="str">
        <f>presuvigencias[[#This Row],[PROYECTO]]&amp;presuvigencias[[#This Row],[META]]</f>
        <v>77412</v>
      </c>
      <c r="C403" s="166">
        <v>7741</v>
      </c>
      <c r="D403" s="165">
        <v>2</v>
      </c>
      <c r="E403" s="165">
        <f>VLOOKUP(presuvigencias[[#This Row],[LLAVE]],ESTRATÉGICO!$C$3:$R$110,16,0)</f>
        <v>412</v>
      </c>
      <c r="F403" s="165">
        <v>7476847000</v>
      </c>
      <c r="I403" s="165">
        <v>2024</v>
      </c>
    </row>
    <row r="404" spans="1:9" x14ac:dyDescent="0.3">
      <c r="A404" s="165" t="str">
        <f>presuvigencias[[#This Row],[PROYECTO]]&amp;presuvigencias[[#This Row],[METAPDD]]</f>
        <v>7741411</v>
      </c>
      <c r="B404" s="165" t="str">
        <f>presuvigencias[[#This Row],[PROYECTO]]&amp;presuvigencias[[#This Row],[META]]</f>
        <v>77413</v>
      </c>
      <c r="C404" s="166">
        <v>7741</v>
      </c>
      <c r="D404" s="165">
        <v>3</v>
      </c>
      <c r="E404" s="165">
        <f>VLOOKUP(presuvigencias[[#This Row],[LLAVE]],ESTRATÉGICO!$C$3:$R$110,16,0)</f>
        <v>411</v>
      </c>
      <c r="F404" s="165">
        <v>1204049000</v>
      </c>
      <c r="I404" s="165">
        <v>2024</v>
      </c>
    </row>
    <row r="405" spans="1:9" x14ac:dyDescent="0.3">
      <c r="A405" s="165" t="str">
        <f>presuvigencias[[#This Row],[PROYECTO]]&amp;presuvigencias[[#This Row],[METAPDD]]</f>
        <v>7741411</v>
      </c>
      <c r="B405" s="165" t="str">
        <f>presuvigencias[[#This Row],[PROYECTO]]&amp;presuvigencias[[#This Row],[META]]</f>
        <v>77414</v>
      </c>
      <c r="C405" s="166">
        <v>7741</v>
      </c>
      <c r="D405" s="165">
        <v>4</v>
      </c>
      <c r="E405" s="165">
        <f>VLOOKUP(presuvigencias[[#This Row],[LLAVE]],ESTRATÉGICO!$C$3:$R$110,16,0)</f>
        <v>411</v>
      </c>
      <c r="F405" s="165">
        <v>329665000</v>
      </c>
      <c r="I405" s="165">
        <v>2024</v>
      </c>
    </row>
    <row r="406" spans="1:9" x14ac:dyDescent="0.3">
      <c r="A406" s="165" t="str">
        <f>presuvigencias[[#This Row],[PROYECTO]]&amp;presuvigencias[[#This Row],[METAPDD]]</f>
        <v>7741412</v>
      </c>
      <c r="B406" s="165" t="str">
        <f>presuvigencias[[#This Row],[PROYECTO]]&amp;presuvigencias[[#This Row],[META]]</f>
        <v>77415</v>
      </c>
      <c r="C406" s="166">
        <v>7741</v>
      </c>
      <c r="D406" s="165">
        <v>5</v>
      </c>
      <c r="E406" s="165">
        <f>VLOOKUP(presuvigencias[[#This Row],[LLAVE]],ESTRATÉGICO!$C$3:$R$110,16,0)</f>
        <v>412</v>
      </c>
      <c r="F406" s="165">
        <v>4097096000</v>
      </c>
      <c r="I406" s="165">
        <v>2024</v>
      </c>
    </row>
    <row r="407" spans="1:9" x14ac:dyDescent="0.3">
      <c r="A407" s="165" t="str">
        <f>presuvigencias[[#This Row],[PROYECTO]]&amp;presuvigencias[[#This Row],[METAPDD]]</f>
        <v>7741412</v>
      </c>
      <c r="B407" s="165" t="str">
        <f>presuvigencias[[#This Row],[PROYECTO]]&amp;presuvigencias[[#This Row],[META]]</f>
        <v>77416</v>
      </c>
      <c r="C407" s="166">
        <v>7741</v>
      </c>
      <c r="D407" s="165">
        <v>6</v>
      </c>
      <c r="E407" s="165">
        <f>VLOOKUP(presuvigencias[[#This Row],[LLAVE]],ESTRATÉGICO!$C$3:$R$110,16,0)</f>
        <v>412</v>
      </c>
      <c r="F407" s="165">
        <v>448611000</v>
      </c>
      <c r="I407" s="165">
        <v>2024</v>
      </c>
    </row>
    <row r="408" spans="1:9" x14ac:dyDescent="0.3">
      <c r="A408" s="165" t="str">
        <f>presuvigencias[[#This Row],[PROYECTO]]&amp;presuvigencias[[#This Row],[METAPDD]]</f>
        <v>7741412</v>
      </c>
      <c r="B408" s="165" t="str">
        <f>presuvigencias[[#This Row],[PROYECTO]]&amp;presuvigencias[[#This Row],[META]]</f>
        <v>77417</v>
      </c>
      <c r="C408" s="166">
        <v>7741</v>
      </c>
      <c r="D408" s="165">
        <v>7</v>
      </c>
      <c r="E408" s="165">
        <f>VLOOKUP(presuvigencias[[#This Row],[LLAVE]],ESTRATÉGICO!$C$3:$R$110,16,0)</f>
        <v>412</v>
      </c>
      <c r="F408" s="165">
        <v>156622000</v>
      </c>
      <c r="I408" s="165">
        <v>2024</v>
      </c>
    </row>
    <row r="409" spans="1:9" x14ac:dyDescent="0.3">
      <c r="A409" s="165" t="str">
        <f>presuvigencias[[#This Row],[PROYECTO]]&amp;presuvigencias[[#This Row],[METAPDD]]</f>
        <v>7741412</v>
      </c>
      <c r="B409" s="165" t="str">
        <f>presuvigencias[[#This Row],[PROYECTO]]&amp;presuvigencias[[#This Row],[META]]</f>
        <v>77418</v>
      </c>
      <c r="C409" s="167">
        <v>7741</v>
      </c>
      <c r="D409" s="165">
        <v>8</v>
      </c>
      <c r="E409" s="165">
        <f>VLOOKUP(presuvigencias[[#This Row],[LLAVE]],ESTRATÉGICO!$C$3:$R$110,16,0)</f>
        <v>412</v>
      </c>
      <c r="F409" s="165">
        <v>2253573000</v>
      </c>
      <c r="I409" s="165">
        <v>2024</v>
      </c>
    </row>
    <row r="410" spans="1:9" x14ac:dyDescent="0.3">
      <c r="A410" s="165" t="str">
        <f>presuvigencias[[#This Row],[PROYECTO]]&amp;presuvigencias[[#This Row],[METAPDD]]</f>
        <v>774441</v>
      </c>
      <c r="B410" s="165" t="str">
        <f>presuvigencias[[#This Row],[PROYECTO]]&amp;presuvigencias[[#This Row],[META]]</f>
        <v>77441</v>
      </c>
      <c r="C410" s="166">
        <v>7744</v>
      </c>
      <c r="D410" s="165">
        <v>1</v>
      </c>
      <c r="E410" s="165">
        <f>VLOOKUP(presuvigencias[[#This Row],[LLAVE]],ESTRATÉGICO!$C$3:$R$110,16,0)</f>
        <v>41</v>
      </c>
      <c r="F410" s="165">
        <v>2019908000</v>
      </c>
      <c r="I410" s="165">
        <v>2024</v>
      </c>
    </row>
    <row r="411" spans="1:9" x14ac:dyDescent="0.3">
      <c r="A411" s="165" t="str">
        <f>presuvigencias[[#This Row],[PROYECTO]]&amp;presuvigencias[[#This Row],[METAPDD]]</f>
        <v>774442</v>
      </c>
      <c r="B411" s="165" t="str">
        <f>presuvigencias[[#This Row],[PROYECTO]]&amp;presuvigencias[[#This Row],[META]]</f>
        <v>77442</v>
      </c>
      <c r="C411" s="166">
        <v>7744</v>
      </c>
      <c r="D411" s="165">
        <v>2</v>
      </c>
      <c r="E411" s="165">
        <f>VLOOKUP(presuvigencias[[#This Row],[LLAVE]],ESTRATÉGICO!$C$3:$R$110,16,0)</f>
        <v>42</v>
      </c>
      <c r="F411" s="165">
        <v>207172088000</v>
      </c>
      <c r="I411" s="165">
        <v>2024</v>
      </c>
    </row>
    <row r="412" spans="1:9" x14ac:dyDescent="0.3">
      <c r="A412" s="165" t="str">
        <f>presuvigencias[[#This Row],[PROYECTO]]&amp;presuvigencias[[#This Row],[METAPDD]]</f>
        <v>774442</v>
      </c>
      <c r="B412" s="165" t="str">
        <f>presuvigencias[[#This Row],[PROYECTO]]&amp;presuvigencias[[#This Row],[META]]</f>
        <v>77443</v>
      </c>
      <c r="C412" s="166">
        <v>7744</v>
      </c>
      <c r="D412" s="165">
        <v>3</v>
      </c>
      <c r="E412" s="165">
        <f>VLOOKUP(presuvigencias[[#This Row],[LLAVE]],ESTRATÉGICO!$C$3:$R$110,16,0)</f>
        <v>42</v>
      </c>
      <c r="F412" s="165">
        <v>12305233000</v>
      </c>
      <c r="I412" s="165">
        <v>2024</v>
      </c>
    </row>
    <row r="413" spans="1:9" x14ac:dyDescent="0.3">
      <c r="A413" s="165" t="str">
        <f>presuvigencias[[#This Row],[PROYECTO]]&amp;presuvigencias[[#This Row],[METAPDD]]</f>
        <v>774442</v>
      </c>
      <c r="B413" s="165" t="str">
        <f>presuvigencias[[#This Row],[PROYECTO]]&amp;presuvigencias[[#This Row],[META]]</f>
        <v>77444</v>
      </c>
      <c r="C413" s="166">
        <v>7744</v>
      </c>
      <c r="D413" s="165">
        <v>4</v>
      </c>
      <c r="E413" s="165">
        <f>VLOOKUP(presuvigencias[[#This Row],[LLAVE]],ESTRATÉGICO!$C$3:$R$110,16,0)</f>
        <v>42</v>
      </c>
      <c r="F413" s="165">
        <v>383559000</v>
      </c>
      <c r="I413" s="165">
        <v>2024</v>
      </c>
    </row>
    <row r="414" spans="1:9" x14ac:dyDescent="0.3">
      <c r="A414" s="165" t="str">
        <f>presuvigencias[[#This Row],[PROYECTO]]&amp;presuvigencias[[#This Row],[METAPDD]]</f>
        <v>774443</v>
      </c>
      <c r="B414" s="165" t="str">
        <f>presuvigencias[[#This Row],[PROYECTO]]&amp;presuvigencias[[#This Row],[META]]</f>
        <v>77445</v>
      </c>
      <c r="C414" s="166">
        <v>7744</v>
      </c>
      <c r="D414" s="165">
        <v>5</v>
      </c>
      <c r="E414" s="165">
        <f>VLOOKUP(presuvigencias[[#This Row],[LLAVE]],ESTRATÉGICO!$C$3:$R$110,16,0)</f>
        <v>43</v>
      </c>
      <c r="F414" s="165">
        <v>12473492000</v>
      </c>
      <c r="I414" s="165">
        <v>2024</v>
      </c>
    </row>
    <row r="415" spans="1:9" x14ac:dyDescent="0.3">
      <c r="A415" s="165" t="str">
        <f>presuvigencias[[#This Row],[PROYECTO]]&amp;presuvigencias[[#This Row],[METAPDD]]</f>
        <v>774447</v>
      </c>
      <c r="B415" s="165" t="str">
        <f>presuvigencias[[#This Row],[PROYECTO]]&amp;presuvigencias[[#This Row],[META]]</f>
        <v>77446</v>
      </c>
      <c r="C415" s="167">
        <v>7744</v>
      </c>
      <c r="D415" s="165">
        <v>6</v>
      </c>
      <c r="E415" s="165">
        <f>VLOOKUP(presuvigencias[[#This Row],[LLAVE]],ESTRATÉGICO!$C$3:$R$110,16,0)</f>
        <v>47</v>
      </c>
      <c r="F415" s="165">
        <v>2761025000</v>
      </c>
      <c r="I415" s="165">
        <v>2024</v>
      </c>
    </row>
    <row r="416" spans="1:9" x14ac:dyDescent="0.3">
      <c r="A416" s="165" t="str">
        <f>presuvigencias[[#This Row],[PROYECTO]]&amp;presuvigencias[[#This Row],[METAPDD]]</f>
        <v>774550</v>
      </c>
      <c r="B416" s="165" t="str">
        <f>presuvigencias[[#This Row],[PROYECTO]]&amp;presuvigencias[[#This Row],[META]]</f>
        <v>77452</v>
      </c>
      <c r="C416" s="166">
        <v>7745</v>
      </c>
      <c r="D416" s="165">
        <v>2</v>
      </c>
      <c r="E416" s="165">
        <f>VLOOKUP(presuvigencias[[#This Row],[LLAVE]],ESTRATÉGICO!$C$3:$R$110,16,0)</f>
        <v>50</v>
      </c>
      <c r="F416" s="165">
        <v>78254000000</v>
      </c>
      <c r="I416" s="165">
        <v>2024</v>
      </c>
    </row>
    <row r="417" spans="1:9" x14ac:dyDescent="0.3">
      <c r="A417" s="165" t="str">
        <f>presuvigencias[[#This Row],[PROYECTO]]&amp;presuvigencias[[#This Row],[METAPDD]]</f>
        <v>774551</v>
      </c>
      <c r="B417" s="165" t="str">
        <f>presuvigencias[[#This Row],[PROYECTO]]&amp;presuvigencias[[#This Row],[META]]</f>
        <v>77454</v>
      </c>
      <c r="C417" s="166">
        <v>7745</v>
      </c>
      <c r="D417" s="165">
        <v>4</v>
      </c>
      <c r="E417" s="165">
        <f>VLOOKUP(presuvigencias[[#This Row],[LLAVE]],ESTRATÉGICO!$C$3:$R$110,16,0)</f>
        <v>51</v>
      </c>
      <c r="F417" s="165">
        <v>190457394000</v>
      </c>
      <c r="I417" s="165">
        <v>2024</v>
      </c>
    </row>
    <row r="418" spans="1:9" x14ac:dyDescent="0.3">
      <c r="A418" s="165" t="str">
        <f>presuvigencias[[#This Row],[PROYECTO]]&amp;presuvigencias[[#This Row],[METAPDD]]</f>
        <v>774564</v>
      </c>
      <c r="B418" s="165" t="str">
        <f>presuvigencias[[#This Row],[PROYECTO]]&amp;presuvigencias[[#This Row],[META]]</f>
        <v>77456</v>
      </c>
      <c r="C418" s="166">
        <v>7745</v>
      </c>
      <c r="D418" s="165">
        <v>6</v>
      </c>
      <c r="E418" s="165">
        <f>VLOOKUP(presuvigencias[[#This Row],[LLAVE]],ESTRATÉGICO!$C$3:$R$110,16,0)</f>
        <v>64</v>
      </c>
      <c r="F418" s="165">
        <v>1016441000</v>
      </c>
      <c r="I418" s="165">
        <v>2024</v>
      </c>
    </row>
    <row r="419" spans="1:9" x14ac:dyDescent="0.3">
      <c r="A419" s="165" t="str">
        <f>presuvigencias[[#This Row],[PROYECTO]]&amp;presuvigencias[[#This Row],[METAPDD]]</f>
        <v>774551</v>
      </c>
      <c r="B419" s="165" t="str">
        <f>presuvigencias[[#This Row],[PROYECTO]]&amp;presuvigencias[[#This Row],[META]]</f>
        <v>77457</v>
      </c>
      <c r="C419" s="166">
        <v>7745</v>
      </c>
      <c r="D419" s="165">
        <v>7</v>
      </c>
      <c r="E419" s="165">
        <f>VLOOKUP(presuvigencias[[#This Row],[LLAVE]],ESTRATÉGICO!$C$3:$R$110,16,0)</f>
        <v>51</v>
      </c>
      <c r="F419" s="165">
        <v>1202363000</v>
      </c>
      <c r="I419" s="165">
        <v>2024</v>
      </c>
    </row>
    <row r="420" spans="1:9" x14ac:dyDescent="0.3">
      <c r="A420" s="165" t="str">
        <f>presuvigencias[[#This Row],[PROYECTO]]&amp;presuvigencias[[#This Row],[METAPDD]]</f>
        <v>774551</v>
      </c>
      <c r="B420" s="165" t="str">
        <f>presuvigencias[[#This Row],[PROYECTO]]&amp;presuvigencias[[#This Row],[META]]</f>
        <v>77458</v>
      </c>
      <c r="C420" s="166">
        <v>7745</v>
      </c>
      <c r="D420" s="165">
        <v>8</v>
      </c>
      <c r="E420" s="165">
        <f>VLOOKUP(presuvigencias[[#This Row],[LLAVE]],ESTRATÉGICO!$C$3:$R$110,16,0)</f>
        <v>51</v>
      </c>
      <c r="F420" s="165">
        <v>799392000</v>
      </c>
      <c r="I420" s="165">
        <v>2024</v>
      </c>
    </row>
    <row r="421" spans="1:9" x14ac:dyDescent="0.3">
      <c r="A421" s="165" t="str">
        <f>presuvigencias[[#This Row],[PROYECTO]]&amp;presuvigencias[[#This Row],[METAPDD]]</f>
        <v>774554</v>
      </c>
      <c r="B421" s="165" t="str">
        <f>presuvigencias[[#This Row],[PROYECTO]]&amp;presuvigencias[[#This Row],[META]]</f>
        <v>77459</v>
      </c>
      <c r="C421" s="166">
        <v>7745</v>
      </c>
      <c r="D421" s="165">
        <v>9</v>
      </c>
      <c r="E421" s="165">
        <f>VLOOKUP(presuvigencias[[#This Row],[LLAVE]],ESTRATÉGICO!$C$3:$R$110,16,0)</f>
        <v>54</v>
      </c>
      <c r="F421" s="165">
        <v>350079000</v>
      </c>
      <c r="I421" s="165">
        <v>2024</v>
      </c>
    </row>
    <row r="422" spans="1:9" x14ac:dyDescent="0.3">
      <c r="A422" s="165" t="str">
        <f>presuvigencias[[#This Row],[PROYECTO]]&amp;presuvigencias[[#This Row],[METAPDD]]</f>
        <v>774554</v>
      </c>
      <c r="B422" s="165" t="str">
        <f>presuvigencias[[#This Row],[PROYECTO]]&amp;presuvigencias[[#This Row],[META]]</f>
        <v>774510</v>
      </c>
      <c r="C422" s="166">
        <v>7745</v>
      </c>
      <c r="D422" s="165">
        <v>10</v>
      </c>
      <c r="E422" s="165">
        <f>VLOOKUP(presuvigencias[[#This Row],[LLAVE]],ESTRATÉGICO!$C$3:$R$110,16,0)</f>
        <v>54</v>
      </c>
      <c r="F422" s="165">
        <v>135303000</v>
      </c>
      <c r="I422" s="165">
        <v>2024</v>
      </c>
    </row>
    <row r="423" spans="1:9" x14ac:dyDescent="0.3">
      <c r="A423" s="165" t="str">
        <f>presuvigencias[[#This Row],[PROYECTO]]&amp;presuvigencias[[#This Row],[METAPDD]]</f>
        <v>774545</v>
      </c>
      <c r="B423" s="165" t="str">
        <f>presuvigencias[[#This Row],[PROYECTO]]&amp;presuvigencias[[#This Row],[META]]</f>
        <v>774511</v>
      </c>
      <c r="C423" s="167">
        <v>7745</v>
      </c>
      <c r="D423" s="165">
        <v>11</v>
      </c>
      <c r="E423" s="165">
        <f>VLOOKUP(presuvigencias[[#This Row],[LLAVE]],ESTRATÉGICO!$C$3:$R$110,16,0)</f>
        <v>45</v>
      </c>
      <c r="F423" s="165">
        <v>12268558000</v>
      </c>
      <c r="I423" s="165">
        <v>2024</v>
      </c>
    </row>
    <row r="424" spans="1:9" x14ac:dyDescent="0.3">
      <c r="A424" s="165" t="str">
        <f>presuvigencias[[#This Row],[PROYECTO]]&amp;presuvigencias[[#This Row],[METAPDD]]</f>
        <v>7748513</v>
      </c>
      <c r="B424" s="165" t="str">
        <f>presuvigencias[[#This Row],[PROYECTO]]&amp;presuvigencias[[#This Row],[META]]</f>
        <v>77481</v>
      </c>
      <c r="C424" s="166">
        <v>7748</v>
      </c>
      <c r="D424" s="165">
        <v>1</v>
      </c>
      <c r="E424" s="165">
        <f>VLOOKUP(presuvigencias[[#This Row],[LLAVE]],ESTRATÉGICO!$C$3:$R$110,16,0)</f>
        <v>513</v>
      </c>
      <c r="F424" s="165">
        <v>201263967000</v>
      </c>
      <c r="I424" s="165">
        <v>2024</v>
      </c>
    </row>
    <row r="425" spans="1:9" x14ac:dyDescent="0.3">
      <c r="A425" s="165" t="str">
        <f>presuvigencias[[#This Row],[PROYECTO]]&amp;presuvigencias[[#This Row],[METAPDD]]</f>
        <v>7748513</v>
      </c>
      <c r="B425" s="165" t="str">
        <f>presuvigencias[[#This Row],[PROYECTO]]&amp;presuvigencias[[#This Row],[META]]</f>
        <v>77482</v>
      </c>
      <c r="C425" s="166">
        <v>7748</v>
      </c>
      <c r="D425" s="165">
        <v>2</v>
      </c>
      <c r="E425" s="165">
        <f>VLOOKUP(presuvigencias[[#This Row],[LLAVE]],ESTRATÉGICO!$C$3:$R$110,16,0)</f>
        <v>513</v>
      </c>
      <c r="F425" s="165">
        <v>4539188000</v>
      </c>
      <c r="I425" s="165">
        <v>2024</v>
      </c>
    </row>
    <row r="426" spans="1:9" x14ac:dyDescent="0.3">
      <c r="A426" s="165" t="str">
        <f>presuvigencias[[#This Row],[PROYECTO]]&amp;presuvigencias[[#This Row],[METAPDD]]</f>
        <v>7748513</v>
      </c>
      <c r="B426" s="165" t="str">
        <f>presuvigencias[[#This Row],[PROYECTO]]&amp;presuvigencias[[#This Row],[META]]</f>
        <v>77483</v>
      </c>
      <c r="C426" s="166">
        <v>7748</v>
      </c>
      <c r="D426" s="165">
        <v>3</v>
      </c>
      <c r="E426" s="165">
        <f>VLOOKUP(presuvigencias[[#This Row],[LLAVE]],ESTRATÉGICO!$C$3:$R$110,16,0)</f>
        <v>513</v>
      </c>
      <c r="F426" s="165">
        <v>793654000</v>
      </c>
      <c r="I426" s="165">
        <v>2024</v>
      </c>
    </row>
    <row r="427" spans="1:9" x14ac:dyDescent="0.3">
      <c r="A427" s="165" t="str">
        <f>presuvigencias[[#This Row],[PROYECTO]]&amp;presuvigencias[[#This Row],[METAPDD]]</f>
        <v>7748519</v>
      </c>
      <c r="B427" s="165" t="str">
        <f>presuvigencias[[#This Row],[PROYECTO]]&amp;presuvigencias[[#This Row],[META]]</f>
        <v>77484</v>
      </c>
      <c r="C427" s="166">
        <v>7748</v>
      </c>
      <c r="D427" s="165">
        <v>4</v>
      </c>
      <c r="E427" s="165">
        <f>VLOOKUP(presuvigencias[[#This Row],[LLAVE]],ESTRATÉGICO!$C$3:$R$110,16,0)</f>
        <v>519</v>
      </c>
      <c r="F427" s="165">
        <v>228725713000</v>
      </c>
      <c r="I427" s="165">
        <v>2024</v>
      </c>
    </row>
    <row r="428" spans="1:9" x14ac:dyDescent="0.3">
      <c r="A428" s="165" t="str">
        <f>presuvigencias[[#This Row],[PROYECTO]]&amp;presuvigencias[[#This Row],[METAPDD]]</f>
        <v>7748519</v>
      </c>
      <c r="B428" s="165" t="str">
        <f>presuvigencias[[#This Row],[PROYECTO]]&amp;presuvigencias[[#This Row],[META]]</f>
        <v>77485</v>
      </c>
      <c r="C428" s="166">
        <v>7748</v>
      </c>
      <c r="D428" s="165">
        <v>5</v>
      </c>
      <c r="E428" s="165">
        <f>VLOOKUP(presuvigencias[[#This Row],[LLAVE]],ESTRATÉGICO!$C$3:$R$110,16,0)</f>
        <v>519</v>
      </c>
      <c r="F428" s="165">
        <v>445247000</v>
      </c>
      <c r="I428" s="165">
        <v>2024</v>
      </c>
    </row>
    <row r="429" spans="1:9" x14ac:dyDescent="0.3">
      <c r="A429" s="165" t="str">
        <f>presuvigencias[[#This Row],[PROYECTO]]&amp;presuvigencias[[#This Row],[METAPDD]]</f>
        <v>7748519</v>
      </c>
      <c r="B429" s="165" t="str">
        <f>presuvigencias[[#This Row],[PROYECTO]]&amp;presuvigencias[[#This Row],[META]]</f>
        <v>77486</v>
      </c>
      <c r="C429" s="166">
        <v>7748</v>
      </c>
      <c r="D429" s="165">
        <v>6</v>
      </c>
      <c r="E429" s="165">
        <f>VLOOKUP(presuvigencias[[#This Row],[LLAVE]],ESTRATÉGICO!$C$3:$R$110,16,0)</f>
        <v>519</v>
      </c>
      <c r="F429" s="165">
        <v>1674631000</v>
      </c>
      <c r="I429" s="165">
        <v>2024</v>
      </c>
    </row>
    <row r="430" spans="1:9" x14ac:dyDescent="0.3">
      <c r="A430" s="165" t="str">
        <f>presuvigencias[[#This Row],[PROYECTO]]&amp;presuvigencias[[#This Row],[METAPDD]]</f>
        <v>7748519</v>
      </c>
      <c r="B430" s="165" t="str">
        <f>presuvigencias[[#This Row],[PROYECTO]]&amp;presuvigencias[[#This Row],[META]]</f>
        <v>77487</v>
      </c>
      <c r="C430" s="167">
        <v>7748</v>
      </c>
      <c r="D430" s="165">
        <v>7</v>
      </c>
      <c r="E430" s="165">
        <f>VLOOKUP(presuvigencias[[#This Row],[LLAVE]],ESTRATÉGICO!$C$3:$R$110,16,0)</f>
        <v>519</v>
      </c>
      <c r="F430" s="165">
        <v>736600000</v>
      </c>
      <c r="I430" s="165">
        <v>2024</v>
      </c>
    </row>
    <row r="431" spans="1:9" x14ac:dyDescent="0.3">
      <c r="A431" s="165" t="str">
        <f>presuvigencias[[#This Row],[PROYECTO]]&amp;presuvigencias[[#This Row],[METAPDD]]</f>
        <v>774963</v>
      </c>
      <c r="B431" s="165" t="str">
        <f>presuvigencias[[#This Row],[PROYECTO]]&amp;presuvigencias[[#This Row],[META]]</f>
        <v>77491</v>
      </c>
      <c r="C431" s="166">
        <v>7749</v>
      </c>
      <c r="D431" s="165">
        <v>1</v>
      </c>
      <c r="E431" s="165">
        <f>VLOOKUP(presuvigencias[[#This Row],[LLAVE]],ESTRATÉGICO!$C$3:$R$110,16,0)</f>
        <v>63</v>
      </c>
      <c r="F431" s="165">
        <v>331830000</v>
      </c>
      <c r="I431" s="165">
        <v>2024</v>
      </c>
    </row>
    <row r="432" spans="1:9" x14ac:dyDescent="0.3">
      <c r="A432" s="165" t="str">
        <f>presuvigencias[[#This Row],[PROYECTO]]&amp;presuvigencias[[#This Row],[METAPDD]]</f>
        <v>774963</v>
      </c>
      <c r="B432" s="165" t="str">
        <f>presuvigencias[[#This Row],[PROYECTO]]&amp;presuvigencias[[#This Row],[META]]</f>
        <v>77492</v>
      </c>
      <c r="C432" s="166">
        <v>7749</v>
      </c>
      <c r="D432" s="165">
        <v>2</v>
      </c>
      <c r="E432" s="165">
        <f>VLOOKUP(presuvigencias[[#This Row],[LLAVE]],ESTRATÉGICO!$C$3:$R$110,16,0)</f>
        <v>63</v>
      </c>
      <c r="F432" s="165">
        <v>131742000</v>
      </c>
      <c r="I432" s="165">
        <v>2024</v>
      </c>
    </row>
    <row r="433" spans="1:9" x14ac:dyDescent="0.3">
      <c r="A433" s="165" t="str">
        <f>presuvigencias[[#This Row],[PROYECTO]]&amp;presuvigencias[[#This Row],[METAPDD]]</f>
        <v>774963</v>
      </c>
      <c r="B433" s="165" t="str">
        <f>presuvigencias[[#This Row],[PROYECTO]]&amp;presuvigencias[[#This Row],[META]]</f>
        <v>77493</v>
      </c>
      <c r="C433" s="167">
        <v>7749</v>
      </c>
      <c r="D433" s="165">
        <v>3</v>
      </c>
      <c r="E433" s="165">
        <f>VLOOKUP(presuvigencias[[#This Row],[LLAVE]],ESTRATÉGICO!$C$3:$R$110,16,0)</f>
        <v>63</v>
      </c>
      <c r="F433" s="165">
        <v>3637196000</v>
      </c>
      <c r="I433" s="165">
        <v>2024</v>
      </c>
    </row>
    <row r="434" spans="1:9" x14ac:dyDescent="0.3">
      <c r="A434" s="165" t="str">
        <f>presuvigencias[[#This Row],[PROYECTO]]&amp;presuvigencias[[#This Row],[METAPDD]]</f>
        <v>775244</v>
      </c>
      <c r="B434" s="165" t="str">
        <f>presuvigencias[[#This Row],[PROYECTO]]&amp;presuvigencias[[#This Row],[META]]</f>
        <v>77521</v>
      </c>
      <c r="C434" s="166">
        <v>7752</v>
      </c>
      <c r="D434" s="165">
        <v>1</v>
      </c>
      <c r="E434" s="165">
        <f>VLOOKUP(presuvigencias[[#This Row],[LLAVE]],ESTRATÉGICO!$C$3:$R$110,16,0)</f>
        <v>44</v>
      </c>
      <c r="F434" s="165">
        <v>5692212000</v>
      </c>
      <c r="I434" s="165">
        <v>2024</v>
      </c>
    </row>
    <row r="435" spans="1:9" x14ac:dyDescent="0.3">
      <c r="A435" s="165" t="str">
        <f>presuvigencias[[#This Row],[PROYECTO]]&amp;presuvigencias[[#This Row],[METAPDD]]</f>
        <v>775255</v>
      </c>
      <c r="B435" s="165" t="str">
        <f>presuvigencias[[#This Row],[PROYECTO]]&amp;presuvigencias[[#This Row],[META]]</f>
        <v>77522</v>
      </c>
      <c r="C435" s="166">
        <v>7752</v>
      </c>
      <c r="D435" s="165">
        <v>2</v>
      </c>
      <c r="E435" s="165">
        <f>VLOOKUP(presuvigencias[[#This Row],[LLAVE]],ESTRATÉGICO!$C$3:$R$110,16,0)</f>
        <v>55</v>
      </c>
      <c r="F435" s="165">
        <v>236068000</v>
      </c>
      <c r="I435" s="165">
        <v>2024</v>
      </c>
    </row>
    <row r="436" spans="1:9" x14ac:dyDescent="0.3">
      <c r="A436" s="165" t="str">
        <f>presuvigencias[[#This Row],[PROYECTO]]&amp;presuvigencias[[#This Row],[METAPDD]]</f>
        <v>775255</v>
      </c>
      <c r="B436" s="165" t="str">
        <f>presuvigencias[[#This Row],[PROYECTO]]&amp;presuvigencias[[#This Row],[META]]</f>
        <v>77523</v>
      </c>
      <c r="C436" s="167">
        <v>7752</v>
      </c>
      <c r="D436" s="165">
        <v>3</v>
      </c>
      <c r="E436" s="165">
        <f>VLOOKUP(presuvigencias[[#This Row],[LLAVE]],ESTRATÉGICO!$C$3:$R$110,16,0)</f>
        <v>55</v>
      </c>
      <c r="F436" s="165">
        <v>322798000</v>
      </c>
      <c r="I436" s="165">
        <v>2024</v>
      </c>
    </row>
    <row r="437" spans="1:9" x14ac:dyDescent="0.3">
      <c r="A437" s="165" t="str">
        <f>presuvigencias[[#This Row],[PROYECTO]]&amp;presuvigencias[[#This Row],[METAPDD]]</f>
        <v>775373</v>
      </c>
      <c r="B437" s="165" t="str">
        <f>presuvigencias[[#This Row],[PROYECTO]]&amp;presuvigencias[[#This Row],[META]]</f>
        <v>77531</v>
      </c>
      <c r="C437" s="166">
        <v>7753</v>
      </c>
      <c r="D437" s="165">
        <v>1</v>
      </c>
      <c r="E437" s="165">
        <f>VLOOKUP(presuvigencias[[#This Row],[LLAVE]],ESTRATÉGICO!$C$3:$R$110,16,0)</f>
        <v>73</v>
      </c>
      <c r="F437" s="165">
        <v>397890000</v>
      </c>
      <c r="I437" s="165">
        <v>2024</v>
      </c>
    </row>
    <row r="438" spans="1:9" x14ac:dyDescent="0.3">
      <c r="A438" s="165" t="str">
        <f>presuvigencias[[#This Row],[PROYECTO]]&amp;presuvigencias[[#This Row],[METAPDD]]</f>
        <v>775373</v>
      </c>
      <c r="B438" s="165" t="str">
        <f>presuvigencias[[#This Row],[PROYECTO]]&amp;presuvigencias[[#This Row],[META]]</f>
        <v>77532</v>
      </c>
      <c r="C438" s="166">
        <v>7753</v>
      </c>
      <c r="D438" s="165">
        <v>2</v>
      </c>
      <c r="E438" s="165">
        <f>VLOOKUP(presuvigencias[[#This Row],[LLAVE]],ESTRATÉGICO!$C$3:$R$110,16,0)</f>
        <v>73</v>
      </c>
      <c r="F438" s="165">
        <v>170290000</v>
      </c>
      <c r="I438" s="165">
        <v>2024</v>
      </c>
    </row>
    <row r="439" spans="1:9" x14ac:dyDescent="0.3">
      <c r="A439" s="165" t="str">
        <f>presuvigencias[[#This Row],[PROYECTO]]&amp;presuvigencias[[#This Row],[METAPDD]]</f>
        <v>775373</v>
      </c>
      <c r="B439" s="165" t="str">
        <f>presuvigencias[[#This Row],[PROYECTO]]&amp;presuvigencias[[#This Row],[META]]</f>
        <v>77533</v>
      </c>
      <c r="C439" s="166">
        <v>7753</v>
      </c>
      <c r="D439" s="165">
        <v>3</v>
      </c>
      <c r="E439" s="165">
        <f>VLOOKUP(presuvigencias[[#This Row],[LLAVE]],ESTRATÉGICO!$C$3:$R$110,16,0)</f>
        <v>73</v>
      </c>
      <c r="F439" s="165">
        <v>129710000</v>
      </c>
      <c r="I439" s="165">
        <v>2024</v>
      </c>
    </row>
    <row r="440" spans="1:9" x14ac:dyDescent="0.3">
      <c r="A440" s="165" t="str">
        <f>presuvigencias[[#This Row],[PROYECTO]]&amp;presuvigencias[[#This Row],[METAPDD]]</f>
        <v>775373</v>
      </c>
      <c r="B440" s="165" t="str">
        <f>presuvigencias[[#This Row],[PROYECTO]]&amp;presuvigencias[[#This Row],[META]]</f>
        <v>77534</v>
      </c>
      <c r="C440" s="167">
        <v>7753</v>
      </c>
      <c r="D440" s="165">
        <v>4</v>
      </c>
      <c r="E440" s="165">
        <f>VLOOKUP(presuvigencias[[#This Row],[LLAVE]],ESTRATÉGICO!$C$3:$R$110,16,0)</f>
        <v>73</v>
      </c>
      <c r="F440" s="165">
        <v>74210000</v>
      </c>
      <c r="I440" s="165">
        <v>2024</v>
      </c>
    </row>
    <row r="441" spans="1:9" x14ac:dyDescent="0.3">
      <c r="A441" s="165" t="str">
        <f>presuvigencias[[#This Row],[PROYECTO]]&amp;presuvigencias[[#This Row],[METAPDD]]</f>
        <v>775631</v>
      </c>
      <c r="B441" s="165" t="str">
        <f>presuvigencias[[#This Row],[PROYECTO]]&amp;presuvigencias[[#This Row],[META]]</f>
        <v>77561</v>
      </c>
      <c r="C441" s="166">
        <v>7756</v>
      </c>
      <c r="D441" s="165">
        <v>1</v>
      </c>
      <c r="E441" s="165">
        <f>VLOOKUP(presuvigencias[[#This Row],[LLAVE]],ESTRATÉGICO!$C$3:$R$110,16,0)</f>
        <v>31</v>
      </c>
      <c r="F441" s="165">
        <v>1064781000</v>
      </c>
      <c r="I441" s="165">
        <v>2024</v>
      </c>
    </row>
    <row r="442" spans="1:9" x14ac:dyDescent="0.3">
      <c r="A442" s="165" t="str">
        <f>presuvigencias[[#This Row],[PROYECTO]]&amp;presuvigencias[[#This Row],[METAPDD]]</f>
        <v>775631</v>
      </c>
      <c r="B442" s="165" t="str">
        <f>presuvigencias[[#This Row],[PROYECTO]]&amp;presuvigencias[[#This Row],[META]]</f>
        <v>77562</v>
      </c>
      <c r="C442" s="166">
        <v>7756</v>
      </c>
      <c r="D442" s="165">
        <v>2</v>
      </c>
      <c r="E442" s="165">
        <f>VLOOKUP(presuvigencias[[#This Row],[LLAVE]],ESTRATÉGICO!$C$3:$R$110,16,0)</f>
        <v>31</v>
      </c>
      <c r="F442" s="165">
        <v>185254000</v>
      </c>
      <c r="I442" s="165">
        <v>2024</v>
      </c>
    </row>
    <row r="443" spans="1:9" x14ac:dyDescent="0.3">
      <c r="A443" s="165" t="str">
        <f>presuvigencias[[#This Row],[PROYECTO]]&amp;presuvigencias[[#This Row],[METAPDD]]</f>
        <v>775625</v>
      </c>
      <c r="B443" s="165" t="str">
        <f>presuvigencias[[#This Row],[PROYECTO]]&amp;presuvigencias[[#This Row],[META]]</f>
        <v>77563</v>
      </c>
      <c r="C443" s="166">
        <v>7756</v>
      </c>
      <c r="D443" s="165">
        <v>3</v>
      </c>
      <c r="E443" s="165">
        <f>VLOOKUP(presuvigencias[[#This Row],[LLAVE]],ESTRATÉGICO!$C$3:$R$110,16,0)</f>
        <v>25</v>
      </c>
      <c r="F443" s="165">
        <v>163525000</v>
      </c>
      <c r="I443" s="165">
        <v>2024</v>
      </c>
    </row>
    <row r="444" spans="1:9" x14ac:dyDescent="0.3">
      <c r="A444" s="165" t="str">
        <f>presuvigencias[[#This Row],[PROYECTO]]&amp;presuvigencias[[#This Row],[METAPDD]]</f>
        <v>775625</v>
      </c>
      <c r="B444" s="165" t="str">
        <f>presuvigencias[[#This Row],[PROYECTO]]&amp;presuvigencias[[#This Row],[META]]</f>
        <v>77564</v>
      </c>
      <c r="C444" s="166">
        <v>7756</v>
      </c>
      <c r="D444" s="165">
        <v>4</v>
      </c>
      <c r="E444" s="165">
        <f>VLOOKUP(presuvigencias[[#This Row],[LLAVE]],ESTRATÉGICO!$C$3:$R$110,16,0)</f>
        <v>25</v>
      </c>
      <c r="F444" s="165">
        <v>1048140000</v>
      </c>
      <c r="I444" s="165">
        <v>2024</v>
      </c>
    </row>
    <row r="445" spans="1:9" x14ac:dyDescent="0.3">
      <c r="A445" s="165" t="str">
        <f>presuvigencias[[#This Row],[PROYECTO]]&amp;presuvigencias[[#This Row],[METAPDD]]</f>
        <v>775625</v>
      </c>
      <c r="B445" s="165" t="str">
        <f>presuvigencias[[#This Row],[PROYECTO]]&amp;presuvigencias[[#This Row],[META]]</f>
        <v>77565</v>
      </c>
      <c r="C445" s="167">
        <v>7756</v>
      </c>
      <c r="D445" s="165">
        <v>5</v>
      </c>
      <c r="E445" s="165">
        <f>VLOOKUP(presuvigencias[[#This Row],[LLAVE]],ESTRATÉGICO!$C$3:$R$110,16,0)</f>
        <v>25</v>
      </c>
      <c r="F445" s="165">
        <v>2284669000</v>
      </c>
      <c r="I445" s="165">
        <v>2024</v>
      </c>
    </row>
    <row r="446" spans="1:9" x14ac:dyDescent="0.3">
      <c r="A446" s="165" t="str">
        <f>presuvigencias[[#This Row],[PROYECTO]]&amp;presuvigencias[[#This Row],[METAPDD]]</f>
        <v>775713</v>
      </c>
      <c r="B446" s="165" t="str">
        <f>presuvigencias[[#This Row],[PROYECTO]]&amp;presuvigencias[[#This Row],[META]]</f>
        <v>77571</v>
      </c>
      <c r="C446" s="166">
        <v>7757</v>
      </c>
      <c r="D446" s="165">
        <v>1</v>
      </c>
      <c r="E446" s="165">
        <f>VLOOKUP(presuvigencias[[#This Row],[LLAVE]],ESTRATÉGICO!$C$3:$R$110,16,0)</f>
        <v>13</v>
      </c>
      <c r="F446" s="165">
        <v>2936424000</v>
      </c>
      <c r="I446" s="165">
        <v>2024</v>
      </c>
    </row>
    <row r="447" spans="1:9" x14ac:dyDescent="0.3">
      <c r="A447" s="165" t="str">
        <f>presuvigencias[[#This Row],[PROYECTO]]&amp;presuvigencias[[#This Row],[METAPDD]]</f>
        <v>775713</v>
      </c>
      <c r="B447" s="165" t="str">
        <f>presuvigencias[[#This Row],[PROYECTO]]&amp;presuvigencias[[#This Row],[META]]</f>
        <v>77572</v>
      </c>
      <c r="C447" s="166">
        <v>7757</v>
      </c>
      <c r="D447" s="165">
        <v>2</v>
      </c>
      <c r="E447" s="165">
        <f>VLOOKUP(presuvigencias[[#This Row],[LLAVE]],ESTRATÉGICO!$C$3:$R$110,16,0)</f>
        <v>13</v>
      </c>
      <c r="F447" s="165">
        <v>4491427000</v>
      </c>
      <c r="I447" s="165">
        <v>2024</v>
      </c>
    </row>
    <row r="448" spans="1:9" x14ac:dyDescent="0.3">
      <c r="A448" s="165" t="str">
        <f>presuvigencias[[#This Row],[PROYECTO]]&amp;presuvigencias[[#This Row],[METAPDD]]</f>
        <v>775716</v>
      </c>
      <c r="B448" s="165" t="str">
        <f>presuvigencias[[#This Row],[PROYECTO]]&amp;presuvigencias[[#This Row],[META]]</f>
        <v>77573</v>
      </c>
      <c r="C448" s="166">
        <v>7757</v>
      </c>
      <c r="D448" s="165">
        <v>3</v>
      </c>
      <c r="E448" s="165">
        <f>VLOOKUP(presuvigencias[[#This Row],[LLAVE]],ESTRATÉGICO!$C$3:$R$110,16,0)</f>
        <v>16</v>
      </c>
      <c r="F448" s="165">
        <v>24006936000</v>
      </c>
      <c r="I448" s="165">
        <v>2024</v>
      </c>
    </row>
    <row r="449" spans="1:9" x14ac:dyDescent="0.3">
      <c r="A449" s="165" t="str">
        <f>presuvigencias[[#This Row],[PROYECTO]]&amp;presuvigencias[[#This Row],[METAPDD]]</f>
        <v>775717</v>
      </c>
      <c r="B449" s="165" t="str">
        <f>presuvigencias[[#This Row],[PROYECTO]]&amp;presuvigencias[[#This Row],[META]]</f>
        <v>77574</v>
      </c>
      <c r="C449" s="166">
        <v>7757</v>
      </c>
      <c r="D449" s="165">
        <v>4</v>
      </c>
      <c r="E449" s="165">
        <f>VLOOKUP(presuvigencias[[#This Row],[LLAVE]],ESTRATÉGICO!$C$3:$R$110,16,0)</f>
        <v>17</v>
      </c>
      <c r="F449" s="165">
        <v>42038866000</v>
      </c>
      <c r="I449" s="165">
        <v>2024</v>
      </c>
    </row>
    <row r="450" spans="1:9" x14ac:dyDescent="0.3">
      <c r="A450" s="165" t="str">
        <f>presuvigencias[[#This Row],[PROYECTO]]&amp;presuvigencias[[#This Row],[METAPDD]]</f>
        <v>775717</v>
      </c>
      <c r="B450" s="165" t="str">
        <f>presuvigencias[[#This Row],[PROYECTO]]&amp;presuvigencias[[#This Row],[META]]</f>
        <v>77575</v>
      </c>
      <c r="C450" s="167">
        <v>7757</v>
      </c>
      <c r="D450" s="165">
        <v>5</v>
      </c>
      <c r="E450" s="165">
        <f>VLOOKUP(presuvigencias[[#This Row],[LLAVE]],ESTRATÉGICO!$C$3:$R$110,16,0)</f>
        <v>17</v>
      </c>
      <c r="F450" s="165">
        <v>1432018000</v>
      </c>
      <c r="I450" s="165">
        <v>2024</v>
      </c>
    </row>
    <row r="451" spans="1:9" x14ac:dyDescent="0.3">
      <c r="A451" s="165" t="str">
        <f>presuvigencias[[#This Row],[PROYECTO]]&amp;presuvigencias[[#This Row],[METAPDD]]</f>
        <v>776815</v>
      </c>
      <c r="B451" s="165" t="str">
        <f>presuvigencias[[#This Row],[PROYECTO]]&amp;presuvigencias[[#This Row],[META]]</f>
        <v>77681</v>
      </c>
      <c r="C451" s="166">
        <v>7768</v>
      </c>
      <c r="D451" s="165">
        <v>1</v>
      </c>
      <c r="E451" s="165">
        <f>VLOOKUP(presuvigencias[[#This Row],[LLAVE]],ESTRATÉGICO!$C$3:$R$110,16,0)</f>
        <v>15</v>
      </c>
      <c r="F451" s="165">
        <v>1571040000</v>
      </c>
      <c r="I451" s="165">
        <v>2024</v>
      </c>
    </row>
    <row r="452" spans="1:9" x14ac:dyDescent="0.3">
      <c r="A452" s="165" t="str">
        <f>presuvigencias[[#This Row],[PROYECTO]]&amp;presuvigencias[[#This Row],[METAPDD]]</f>
        <v>776815</v>
      </c>
      <c r="B452" s="165" t="str">
        <f>presuvigencias[[#This Row],[PROYECTO]]&amp;presuvigencias[[#This Row],[META]]</f>
        <v>77682</v>
      </c>
      <c r="C452" s="166">
        <v>7768</v>
      </c>
      <c r="D452" s="165">
        <v>2</v>
      </c>
      <c r="E452" s="165">
        <f>VLOOKUP(presuvigencias[[#This Row],[LLAVE]],ESTRATÉGICO!$C$3:$R$110,16,0)</f>
        <v>15</v>
      </c>
      <c r="F452" s="165">
        <v>536848000</v>
      </c>
      <c r="I452" s="165">
        <v>2024</v>
      </c>
    </row>
    <row r="453" spans="1:9" x14ac:dyDescent="0.3">
      <c r="A453" s="165" t="str">
        <f>presuvigencias[[#This Row],[PROYECTO]]&amp;presuvigencias[[#This Row],[METAPDD]]</f>
        <v>776815</v>
      </c>
      <c r="B453" s="165" t="str">
        <f>presuvigencias[[#This Row],[PROYECTO]]&amp;presuvigencias[[#This Row],[META]]</f>
        <v>77683</v>
      </c>
      <c r="C453" s="166">
        <v>7768</v>
      </c>
      <c r="D453" s="165">
        <v>3</v>
      </c>
      <c r="E453" s="165">
        <f>VLOOKUP(presuvigencias[[#This Row],[LLAVE]],ESTRATÉGICO!$C$3:$R$110,16,0)</f>
        <v>15</v>
      </c>
      <c r="F453" s="165">
        <v>689643000</v>
      </c>
      <c r="I453" s="165">
        <v>2024</v>
      </c>
    </row>
    <row r="454" spans="1:9" x14ac:dyDescent="0.3">
      <c r="A454" s="165" t="str">
        <f>presuvigencias[[#This Row],[PROYECTO]]&amp;presuvigencias[[#This Row],[METAPDD]]</f>
        <v>776814</v>
      </c>
      <c r="B454" s="165" t="str">
        <f>presuvigencias[[#This Row],[PROYECTO]]&amp;presuvigencias[[#This Row],[META]]</f>
        <v>77684</v>
      </c>
      <c r="C454" s="167">
        <v>7768</v>
      </c>
      <c r="D454" s="165">
        <v>4</v>
      </c>
      <c r="E454" s="165">
        <f>VLOOKUP(presuvigencias[[#This Row],[LLAVE]],ESTRATÉGICO!$C$3:$R$110,16,0)</f>
        <v>14</v>
      </c>
      <c r="F454" s="165">
        <v>292174000</v>
      </c>
      <c r="I454" s="165">
        <v>2024</v>
      </c>
    </row>
    <row r="455" spans="1:9" x14ac:dyDescent="0.3">
      <c r="A455" s="165" t="str">
        <f>presuvigencias[[#This Row],[PROYECTO]]&amp;presuvigencias[[#This Row],[METAPDD]]</f>
        <v>777061</v>
      </c>
      <c r="B455" s="165" t="str">
        <f>presuvigencias[[#This Row],[PROYECTO]]&amp;presuvigencias[[#This Row],[META]]</f>
        <v>77701</v>
      </c>
      <c r="C455" s="166">
        <v>7770</v>
      </c>
      <c r="D455" s="165">
        <v>1</v>
      </c>
      <c r="E455" s="165">
        <f>VLOOKUP(presuvigencias[[#This Row],[LLAVE]],ESTRATÉGICO!$C$3:$R$110,16,0)</f>
        <v>61</v>
      </c>
      <c r="F455" s="165">
        <v>76601393000</v>
      </c>
      <c r="I455" s="165">
        <v>2024</v>
      </c>
    </row>
    <row r="456" spans="1:9" x14ac:dyDescent="0.3">
      <c r="A456" s="165" t="str">
        <f>presuvigencias[[#This Row],[PROYECTO]]&amp;presuvigencias[[#This Row],[METAPDD]]</f>
        <v>777060</v>
      </c>
      <c r="B456" s="165" t="str">
        <f>presuvigencias[[#This Row],[PROYECTO]]&amp;presuvigencias[[#This Row],[META]]</f>
        <v>77702</v>
      </c>
      <c r="C456" s="166">
        <v>7770</v>
      </c>
      <c r="D456" s="165">
        <v>2</v>
      </c>
      <c r="E456" s="165">
        <f>VLOOKUP(presuvigencias[[#This Row],[LLAVE]],ESTRATÉGICO!$C$3:$R$110,16,0)</f>
        <v>60</v>
      </c>
      <c r="F456" s="165">
        <v>47199023000</v>
      </c>
      <c r="I456" s="165">
        <v>2024</v>
      </c>
    </row>
    <row r="457" spans="1:9" x14ac:dyDescent="0.3">
      <c r="A457" s="165" t="str">
        <f>presuvigencias[[#This Row],[PROYECTO]]&amp;presuvigencias[[#This Row],[METAPDD]]</f>
        <v>777060</v>
      </c>
      <c r="B457" s="165" t="str">
        <f>presuvigencias[[#This Row],[PROYECTO]]&amp;presuvigencias[[#This Row],[META]]</f>
        <v>77703</v>
      </c>
      <c r="C457" s="166">
        <v>7770</v>
      </c>
      <c r="D457" s="165">
        <v>3</v>
      </c>
      <c r="E457" s="165">
        <f>VLOOKUP(presuvigencias[[#This Row],[LLAVE]],ESTRATÉGICO!$C$3:$R$110,16,0)</f>
        <v>60</v>
      </c>
      <c r="F457" s="165">
        <v>10491959000</v>
      </c>
      <c r="I457" s="165">
        <v>2024</v>
      </c>
    </row>
    <row r="458" spans="1:9" x14ac:dyDescent="0.3">
      <c r="A458" s="165" t="str">
        <f>presuvigencias[[#This Row],[PROYECTO]]&amp;presuvigencias[[#This Row],[METAPDD]]</f>
        <v>777060</v>
      </c>
      <c r="B458" s="165" t="str">
        <f>presuvigencias[[#This Row],[PROYECTO]]&amp;presuvigencias[[#This Row],[META]]</f>
        <v>77704</v>
      </c>
      <c r="C458" s="166">
        <v>7770</v>
      </c>
      <c r="D458" s="165">
        <v>4</v>
      </c>
      <c r="E458" s="165">
        <f>VLOOKUP(presuvigencias[[#This Row],[LLAVE]],ESTRATÉGICO!$C$3:$R$110,16,0)</f>
        <v>60</v>
      </c>
      <c r="F458" s="165">
        <v>103582318000</v>
      </c>
      <c r="I458" s="165">
        <v>2024</v>
      </c>
    </row>
    <row r="459" spans="1:9" x14ac:dyDescent="0.3">
      <c r="A459" s="165" t="str">
        <f>presuvigencias[[#This Row],[PROYECTO]]&amp;presuvigencias[[#This Row],[METAPDD]]</f>
        <v>777049</v>
      </c>
      <c r="B459" s="165" t="str">
        <f>presuvigencias[[#This Row],[PROYECTO]]&amp;presuvigencias[[#This Row],[META]]</f>
        <v>77705</v>
      </c>
      <c r="C459" s="166">
        <v>7770</v>
      </c>
      <c r="D459" s="165">
        <v>5</v>
      </c>
      <c r="E459" s="165">
        <f>VLOOKUP(presuvigencias[[#This Row],[LLAVE]],ESTRATÉGICO!$C$3:$R$110,16,0)</f>
        <v>49</v>
      </c>
      <c r="F459" s="165">
        <v>728244000</v>
      </c>
      <c r="I459" s="165">
        <v>2024</v>
      </c>
    </row>
    <row r="460" spans="1:9" x14ac:dyDescent="0.3">
      <c r="A460" s="165" t="str">
        <f>presuvigencias[[#This Row],[PROYECTO]]&amp;presuvigencias[[#This Row],[METAPDD]]</f>
        <v>777060</v>
      </c>
      <c r="B460" s="165" t="str">
        <f>presuvigencias[[#This Row],[PROYECTO]]&amp;presuvigencias[[#This Row],[META]]</f>
        <v>77706</v>
      </c>
      <c r="C460" s="166">
        <v>7770</v>
      </c>
      <c r="D460" s="165">
        <v>6</v>
      </c>
      <c r="E460" s="165">
        <f>VLOOKUP(presuvigencias[[#This Row],[LLAVE]],ESTRATÉGICO!$C$3:$R$110,16,0)</f>
        <v>60</v>
      </c>
      <c r="F460" s="165">
        <v>5598146000</v>
      </c>
      <c r="I460" s="165">
        <v>2024</v>
      </c>
    </row>
    <row r="461" spans="1:9" x14ac:dyDescent="0.3">
      <c r="A461" s="165" t="str">
        <f>presuvigencias[[#This Row],[PROYECTO]]&amp;presuvigencias[[#This Row],[METAPDD]]</f>
        <v>777060</v>
      </c>
      <c r="B461" s="165" t="str">
        <f>presuvigencias[[#This Row],[PROYECTO]]&amp;presuvigencias[[#This Row],[META]]</f>
        <v>77707</v>
      </c>
      <c r="C461" s="167">
        <v>7770</v>
      </c>
      <c r="D461" s="165">
        <v>7</v>
      </c>
      <c r="E461" s="165">
        <f>VLOOKUP(presuvigencias[[#This Row],[LLAVE]],ESTRATÉGICO!$C$3:$R$110,16,0)</f>
        <v>60</v>
      </c>
      <c r="F461" s="165">
        <v>215980000</v>
      </c>
      <c r="I461" s="165">
        <v>2024</v>
      </c>
    </row>
    <row r="462" spans="1:9" x14ac:dyDescent="0.3">
      <c r="A462" s="165" t="str">
        <f>presuvigencias[[#This Row],[PROYECTO]]&amp;presuvigencias[[#This Row],[METAPDD]]</f>
        <v>777157</v>
      </c>
      <c r="B462" s="165" t="str">
        <f>presuvigencias[[#This Row],[PROYECTO]]&amp;presuvigencias[[#This Row],[META]]</f>
        <v>77711</v>
      </c>
      <c r="C462" s="166">
        <v>7771</v>
      </c>
      <c r="D462" s="165">
        <v>1</v>
      </c>
      <c r="E462" s="165">
        <f>VLOOKUP(presuvigencias[[#This Row],[LLAVE]],ESTRATÉGICO!$C$3:$R$110,16,0)</f>
        <v>57</v>
      </c>
      <c r="F462" s="165">
        <v>3565298000</v>
      </c>
      <c r="I462" s="165">
        <v>2024</v>
      </c>
    </row>
    <row r="463" spans="1:9" x14ac:dyDescent="0.3">
      <c r="A463" s="165" t="str">
        <f>presuvigencias[[#This Row],[PROYECTO]]&amp;presuvigencias[[#This Row],[METAPDD]]</f>
        <v>777158</v>
      </c>
      <c r="B463" s="165" t="str">
        <f>presuvigencias[[#This Row],[PROYECTO]]&amp;presuvigencias[[#This Row],[META]]</f>
        <v>77712</v>
      </c>
      <c r="C463" s="166">
        <v>7771</v>
      </c>
      <c r="D463" s="165">
        <v>2</v>
      </c>
      <c r="E463" s="165">
        <f>VLOOKUP(presuvigencias[[#This Row],[LLAVE]],ESTRATÉGICO!$C$3:$R$110,16,0)</f>
        <v>58</v>
      </c>
      <c r="F463" s="165">
        <v>74309011000</v>
      </c>
      <c r="I463" s="165">
        <v>2024</v>
      </c>
    </row>
    <row r="464" spans="1:9" x14ac:dyDescent="0.3">
      <c r="A464" s="165" t="str">
        <f>presuvigencias[[#This Row],[PROYECTO]]&amp;presuvigencias[[#This Row],[METAPDD]]</f>
        <v>777159</v>
      </c>
      <c r="B464" s="165" t="str">
        <f>presuvigencias[[#This Row],[PROYECTO]]&amp;presuvigencias[[#This Row],[META]]</f>
        <v>77713</v>
      </c>
      <c r="C464" s="166">
        <v>7771</v>
      </c>
      <c r="D464" s="165">
        <v>3</v>
      </c>
      <c r="E464" s="165">
        <f>VLOOKUP(presuvigencias[[#This Row],[LLAVE]],ESTRATÉGICO!$C$3:$R$110,16,0)</f>
        <v>59</v>
      </c>
      <c r="F464" s="165">
        <v>524468000</v>
      </c>
      <c r="I464" s="165">
        <v>2024</v>
      </c>
    </row>
    <row r="465" spans="1:9" x14ac:dyDescent="0.3">
      <c r="A465" s="165" t="str">
        <f>presuvigencias[[#This Row],[PROYECTO]]&amp;presuvigencias[[#This Row],[METAPDD]]</f>
        <v>777159</v>
      </c>
      <c r="B465" s="165" t="str">
        <f>presuvigencias[[#This Row],[PROYECTO]]&amp;presuvigencias[[#This Row],[META]]</f>
        <v>77714</v>
      </c>
      <c r="C465" s="166">
        <v>7771</v>
      </c>
      <c r="D465" s="165">
        <v>4</v>
      </c>
      <c r="E465" s="165">
        <f>VLOOKUP(presuvigencias[[#This Row],[LLAVE]],ESTRATÉGICO!$C$3:$R$110,16,0)</f>
        <v>59</v>
      </c>
      <c r="F465" s="165">
        <v>411825000</v>
      </c>
      <c r="I465" s="165">
        <v>2024</v>
      </c>
    </row>
    <row r="466" spans="1:9" x14ac:dyDescent="0.3">
      <c r="A466" s="165" t="str">
        <f>presuvigencias[[#This Row],[PROYECTO]]&amp;presuvigencias[[#This Row],[METAPDD]]</f>
        <v>777159</v>
      </c>
      <c r="B466" s="165" t="str">
        <f>presuvigencias[[#This Row],[PROYECTO]]&amp;presuvigencias[[#This Row],[META]]</f>
        <v>77715</v>
      </c>
      <c r="C466" s="167">
        <v>7771</v>
      </c>
      <c r="D466" s="165">
        <v>5</v>
      </c>
      <c r="E466" s="165">
        <f>VLOOKUP(presuvigencias[[#This Row],[LLAVE]],ESTRATÉGICO!$C$3:$R$110,16,0)</f>
        <v>59</v>
      </c>
      <c r="F466" s="165">
        <v>421563000</v>
      </c>
      <c r="I466" s="165">
        <v>2024</v>
      </c>
    </row>
    <row r="467" spans="1:9" x14ac:dyDescent="0.3">
      <c r="A467" s="165" t="str">
        <f>presuvigencias[[#This Row],[PROYECTO]]&amp;presuvigencias[[#This Row],[METAPDD]]</f>
        <v>791815</v>
      </c>
      <c r="B467" s="165" t="str">
        <f>presuvigencias[[#This Row],[PROYECTO]]&amp;presuvigencias[[#This Row],[META]]</f>
        <v>79181</v>
      </c>
      <c r="C467" s="166">
        <v>7918</v>
      </c>
      <c r="D467" s="165">
        <v>1</v>
      </c>
      <c r="E467" s="165">
        <f>VLOOKUP(presuvigencias[[#This Row],[LLAVE]],ESTRATÉGICO!$C$3:$R$110,16,0)</f>
        <v>15</v>
      </c>
      <c r="F467" s="165">
        <v>440000000</v>
      </c>
      <c r="I467" s="165">
        <v>2024</v>
      </c>
    </row>
    <row r="468" spans="1:9" x14ac:dyDescent="0.3">
      <c r="A468" s="165" t="str">
        <f>presuvigencias[[#This Row],[PROYECTO]]&amp;presuvigencias[[#This Row],[METAPDD]]</f>
        <v>791815</v>
      </c>
      <c r="B468" s="165" t="str">
        <f>presuvigencias[[#This Row],[PROYECTO]]&amp;presuvigencias[[#This Row],[META]]</f>
        <v>79182</v>
      </c>
      <c r="C468" s="166">
        <v>7918</v>
      </c>
      <c r="D468" s="165">
        <v>2</v>
      </c>
      <c r="E468" s="165">
        <f>VLOOKUP(presuvigencias[[#This Row],[LLAVE]],ESTRATÉGICO!$C$3:$R$110,16,0)</f>
        <v>15</v>
      </c>
      <c r="F468" s="165">
        <v>480238240000</v>
      </c>
      <c r="I468" s="165">
        <v>2024</v>
      </c>
    </row>
    <row r="469" spans="1:9" x14ac:dyDescent="0.3">
      <c r="A469" s="165" t="str">
        <f>presuvigencias[[#This Row],[PROYECTO]]&amp;presuvigencias[[#This Row],[METAPDD]]</f>
        <v>791815</v>
      </c>
      <c r="B469" s="165" t="str">
        <f>presuvigencias[[#This Row],[PROYECTO]]&amp;presuvigencias[[#This Row],[META]]</f>
        <v>79183</v>
      </c>
      <c r="C469" s="166">
        <v>7918</v>
      </c>
      <c r="D469" s="165">
        <v>3</v>
      </c>
      <c r="E469" s="165">
        <f>VLOOKUP(presuvigencias[[#This Row],[LLAVE]],ESTRATÉGICO!$C$3:$R$110,16,0)</f>
        <v>15</v>
      </c>
      <c r="F469" s="165">
        <v>2340560000</v>
      </c>
      <c r="I469" s="165">
        <v>2024</v>
      </c>
    </row>
    <row r="470" spans="1:9" x14ac:dyDescent="0.3">
      <c r="A470" s="165" t="str">
        <f>presuvigencias[[#This Row],[PROYECTO]]&amp;presuvigencias[[#This Row],[METAPDD]]</f>
        <v>791815</v>
      </c>
      <c r="B470" s="165" t="str">
        <f>presuvigencias[[#This Row],[PROYECTO]]&amp;presuvigencias[[#This Row],[META]]</f>
        <v>79184</v>
      </c>
      <c r="C470" s="167">
        <v>7918</v>
      </c>
      <c r="D470" s="165">
        <v>4</v>
      </c>
      <c r="E470" s="165">
        <f>VLOOKUP(presuvigencias[[#This Row],[LLAVE]],ESTRATÉGICO!$C$3:$R$110,16,0)</f>
        <v>15</v>
      </c>
      <c r="F470" s="165">
        <v>781200000</v>
      </c>
      <c r="I470" s="165">
        <v>2024</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79998168889431442"/>
  </sheetPr>
  <dimension ref="A1:AA110"/>
  <sheetViews>
    <sheetView zoomScale="81" zoomScaleNormal="70" workbookViewId="0">
      <pane ySplit="2" topLeftCell="A41" activePane="bottomLeft" state="frozen"/>
      <selection pane="bottomLeft" activeCell="A41" sqref="A41"/>
    </sheetView>
  </sheetViews>
  <sheetFormatPr baseColWidth="10" defaultColWidth="8.81640625" defaultRowHeight="14.4" x14ac:dyDescent="0.3"/>
  <cols>
    <col min="1" max="1" width="9.90625" style="170" bestFit="1" customWidth="1"/>
    <col min="2" max="2" width="12" style="170" bestFit="1" customWidth="1"/>
    <col min="3" max="3" width="8.81640625" style="170"/>
    <col min="4" max="4" width="12.1796875" style="170" customWidth="1"/>
    <col min="5" max="5" width="14.81640625" style="170" bestFit="1" customWidth="1"/>
    <col min="6" max="6" width="84" style="170" customWidth="1"/>
    <col min="7" max="7" width="60" style="170" customWidth="1"/>
    <col min="8" max="8" width="25" style="170" customWidth="1"/>
    <col min="9" max="9" width="23.1796875" style="170" customWidth="1"/>
    <col min="10" max="10" width="59" style="170" customWidth="1"/>
    <col min="11" max="11" width="17.81640625" style="170" customWidth="1"/>
    <col min="12" max="12" width="9.08984375" style="170" customWidth="1"/>
    <col min="13" max="14" width="17.81640625" style="170" customWidth="1"/>
    <col min="15" max="15" width="12.1796875" style="170" bestFit="1" customWidth="1"/>
    <col min="16" max="16" width="57.81640625" style="170" customWidth="1"/>
    <col min="17" max="18" width="8.81640625" style="170"/>
    <col min="19" max="19" width="45.453125" style="170" customWidth="1"/>
    <col min="20" max="20" width="20.453125" style="170" customWidth="1"/>
    <col min="21" max="22" width="8.81640625" style="170"/>
    <col min="23" max="23" width="46.1796875" style="170" customWidth="1"/>
    <col min="24" max="24" width="49.81640625" style="170" customWidth="1"/>
    <col min="25" max="25" width="20.81640625" style="170" customWidth="1"/>
    <col min="26" max="16384" width="8.81640625" style="170"/>
  </cols>
  <sheetData>
    <row r="1" spans="1:27" x14ac:dyDescent="0.3">
      <c r="A1" s="170">
        <v>1</v>
      </c>
      <c r="B1" s="170">
        <v>2</v>
      </c>
      <c r="C1" s="170">
        <v>3</v>
      </c>
      <c r="D1" s="170">
        <v>4</v>
      </c>
      <c r="E1" s="170">
        <v>5</v>
      </c>
      <c r="F1" s="170">
        <v>6</v>
      </c>
      <c r="G1" s="170">
        <v>7</v>
      </c>
      <c r="H1" s="170">
        <v>8</v>
      </c>
      <c r="I1" s="170">
        <v>9</v>
      </c>
      <c r="J1" s="170">
        <v>10</v>
      </c>
      <c r="K1" s="170">
        <v>11</v>
      </c>
      <c r="L1" s="170">
        <v>12</v>
      </c>
      <c r="M1" s="170">
        <v>13</v>
      </c>
      <c r="N1" s="170">
        <v>14</v>
      </c>
      <c r="O1" s="170">
        <v>15</v>
      </c>
      <c r="P1" s="170">
        <v>16</v>
      </c>
      <c r="Q1" s="170">
        <v>17</v>
      </c>
      <c r="R1" s="170">
        <v>18</v>
      </c>
      <c r="S1" s="170">
        <v>19</v>
      </c>
      <c r="T1" s="170">
        <v>20</v>
      </c>
      <c r="U1" s="170">
        <v>21</v>
      </c>
      <c r="V1" s="170">
        <v>22</v>
      </c>
      <c r="W1" s="170">
        <v>23</v>
      </c>
      <c r="X1" s="170">
        <v>24</v>
      </c>
      <c r="Y1" s="170">
        <v>25</v>
      </c>
      <c r="Z1" s="170">
        <v>26</v>
      </c>
      <c r="AA1" s="170">
        <v>27</v>
      </c>
    </row>
    <row r="2" spans="1:27" s="171" customFormat="1" x14ac:dyDescent="0.3">
      <c r="A2" s="171" t="s">
        <v>16</v>
      </c>
      <c r="B2" s="171" t="s">
        <v>17</v>
      </c>
      <c r="C2" s="171" t="s">
        <v>18</v>
      </c>
      <c r="D2" s="171" t="s">
        <v>19</v>
      </c>
      <c r="E2" s="171" t="s">
        <v>20</v>
      </c>
      <c r="F2" s="171" t="s">
        <v>21</v>
      </c>
      <c r="G2" s="171" t="s">
        <v>22</v>
      </c>
      <c r="H2" s="172" t="s">
        <v>23</v>
      </c>
      <c r="I2" s="172" t="s">
        <v>24</v>
      </c>
      <c r="J2" s="171" t="s">
        <v>25</v>
      </c>
      <c r="K2" s="172" t="s">
        <v>26</v>
      </c>
      <c r="L2" s="172" t="s">
        <v>27</v>
      </c>
      <c r="M2" s="172" t="s">
        <v>28</v>
      </c>
      <c r="N2" s="172" t="s">
        <v>29</v>
      </c>
      <c r="O2" s="173" t="s">
        <v>30</v>
      </c>
      <c r="P2" s="173" t="s">
        <v>31</v>
      </c>
      <c r="Q2" s="173" t="s">
        <v>32</v>
      </c>
      <c r="R2" s="172" t="s">
        <v>33</v>
      </c>
      <c r="S2" s="172" t="s">
        <v>34</v>
      </c>
      <c r="T2" s="172" t="s">
        <v>35</v>
      </c>
      <c r="U2" s="172" t="s">
        <v>36</v>
      </c>
      <c r="V2" s="172" t="s">
        <v>37</v>
      </c>
      <c r="W2" s="172" t="s">
        <v>38</v>
      </c>
      <c r="X2" s="172" t="s">
        <v>39</v>
      </c>
      <c r="Y2" s="172" t="s">
        <v>40</v>
      </c>
      <c r="Z2" s="172" t="s">
        <v>41</v>
      </c>
      <c r="AA2" s="172" t="s">
        <v>42</v>
      </c>
    </row>
    <row r="3" spans="1:27" x14ac:dyDescent="0.3">
      <c r="A3" s="170" t="str">
        <f t="shared" ref="A3:A34" si="0">D3&amp;V3</f>
        <v>75644102035</v>
      </c>
      <c r="B3" s="170" t="str">
        <f>D3&amp;R3</f>
        <v>7564364</v>
      </c>
      <c r="C3" s="174" t="str">
        <f>D3&amp;O3</f>
        <v>75641</v>
      </c>
      <c r="D3" s="170">
        <v>7564</v>
      </c>
      <c r="E3" s="174">
        <v>2020110010070</v>
      </c>
      <c r="F3" s="170" t="s">
        <v>43</v>
      </c>
      <c r="G3" s="170" t="s">
        <v>44</v>
      </c>
      <c r="H3" s="170" t="s">
        <v>45</v>
      </c>
      <c r="I3" s="170" t="s">
        <v>46</v>
      </c>
      <c r="J3" s="170" t="s">
        <v>47</v>
      </c>
      <c r="K3" s="170" t="s">
        <v>48</v>
      </c>
      <c r="L3" s="170">
        <v>1</v>
      </c>
      <c r="M3" s="170" t="s">
        <v>49</v>
      </c>
      <c r="N3" s="170" t="s">
        <v>50</v>
      </c>
      <c r="O3" s="170">
        <v>1</v>
      </c>
      <c r="P3" s="170" t="s">
        <v>51</v>
      </c>
      <c r="Q3" s="170" t="s">
        <v>52</v>
      </c>
      <c r="R3" s="174">
        <v>364</v>
      </c>
      <c r="S3" s="170" t="s">
        <v>53</v>
      </c>
      <c r="T3" s="170" t="s">
        <v>54</v>
      </c>
      <c r="U3" s="170" t="s">
        <v>52</v>
      </c>
      <c r="V3" s="170">
        <v>4102035</v>
      </c>
      <c r="W3" s="170" t="s">
        <v>55</v>
      </c>
      <c r="X3" s="170" t="s">
        <v>56</v>
      </c>
      <c r="Y3" s="170" t="s">
        <v>57</v>
      </c>
      <c r="Z3" s="170" t="s">
        <v>58</v>
      </c>
      <c r="AA3" s="170">
        <v>16</v>
      </c>
    </row>
    <row r="4" spans="1:27" x14ac:dyDescent="0.3">
      <c r="A4" s="170" t="str">
        <f t="shared" si="0"/>
        <v>75644102040</v>
      </c>
      <c r="B4" s="170" t="str">
        <f t="shared" ref="B4:B67" si="1">D4&amp;R4</f>
        <v>7564364</v>
      </c>
      <c r="C4" s="174" t="str">
        <f t="shared" ref="C4:C67" si="2">D4&amp;O4</f>
        <v>75642</v>
      </c>
      <c r="D4" s="170">
        <v>7564</v>
      </c>
      <c r="E4" s="174">
        <v>2020110010070</v>
      </c>
      <c r="F4" s="170" t="s">
        <v>43</v>
      </c>
      <c r="G4" s="170" t="s">
        <v>44</v>
      </c>
      <c r="H4" s="170" t="s">
        <v>45</v>
      </c>
      <c r="I4" s="170" t="s">
        <v>46</v>
      </c>
      <c r="J4" s="170" t="s">
        <v>47</v>
      </c>
      <c r="K4" s="170" t="s">
        <v>48</v>
      </c>
      <c r="L4" s="170">
        <v>2</v>
      </c>
      <c r="M4" s="170" t="s">
        <v>59</v>
      </c>
      <c r="N4" s="170" t="s">
        <v>50</v>
      </c>
      <c r="O4" s="170">
        <v>2</v>
      </c>
      <c r="P4" s="170" t="s">
        <v>60</v>
      </c>
      <c r="Q4" s="170" t="s">
        <v>52</v>
      </c>
      <c r="R4" s="174">
        <v>364</v>
      </c>
      <c r="S4" s="170" t="s">
        <v>53</v>
      </c>
      <c r="T4" s="170" t="s">
        <v>54</v>
      </c>
      <c r="U4" s="170" t="s">
        <v>52</v>
      </c>
      <c r="V4" s="170">
        <v>4102040</v>
      </c>
      <c r="W4" s="170" t="s">
        <v>61</v>
      </c>
      <c r="X4" s="170" t="s">
        <v>56</v>
      </c>
      <c r="Y4" s="170" t="s">
        <v>57</v>
      </c>
      <c r="Z4" s="170" t="s">
        <v>58</v>
      </c>
      <c r="AA4" s="170">
        <v>16</v>
      </c>
    </row>
    <row r="5" spans="1:27" x14ac:dyDescent="0.3">
      <c r="A5" s="170" t="str">
        <f t="shared" si="0"/>
        <v>75654199009</v>
      </c>
      <c r="B5" s="170" t="str">
        <f t="shared" si="1"/>
        <v>756562</v>
      </c>
      <c r="C5" s="174" t="str">
        <f t="shared" si="2"/>
        <v>75651</v>
      </c>
      <c r="D5" s="170">
        <v>7565</v>
      </c>
      <c r="E5" s="174">
        <v>2020110010071</v>
      </c>
      <c r="F5" s="170" t="s">
        <v>62</v>
      </c>
      <c r="G5" s="170" t="s">
        <v>63</v>
      </c>
      <c r="H5" s="170" t="s">
        <v>64</v>
      </c>
      <c r="I5" s="170" t="s">
        <v>65</v>
      </c>
      <c r="J5" s="170" t="s">
        <v>66</v>
      </c>
      <c r="K5" s="170" t="s">
        <v>67</v>
      </c>
      <c r="L5" s="170">
        <v>1</v>
      </c>
      <c r="M5" s="170" t="s">
        <v>68</v>
      </c>
      <c r="N5" s="170" t="s">
        <v>69</v>
      </c>
      <c r="O5" s="170">
        <v>1</v>
      </c>
      <c r="P5" s="170" t="s">
        <v>70</v>
      </c>
      <c r="Q5" s="170" t="s">
        <v>71</v>
      </c>
      <c r="R5" s="174">
        <v>62</v>
      </c>
      <c r="S5" s="170" t="s">
        <v>72</v>
      </c>
      <c r="T5" s="170" t="s">
        <v>73</v>
      </c>
      <c r="U5" s="170" t="s">
        <v>71</v>
      </c>
      <c r="V5" s="170">
        <v>4199009</v>
      </c>
      <c r="W5" s="170" t="s">
        <v>74</v>
      </c>
      <c r="X5" s="170" t="s">
        <v>74</v>
      </c>
      <c r="Y5" s="170" t="s">
        <v>71</v>
      </c>
      <c r="Z5" s="170" t="s">
        <v>75</v>
      </c>
      <c r="AA5" s="170">
        <v>9</v>
      </c>
    </row>
    <row r="6" spans="1:27" x14ac:dyDescent="0.3">
      <c r="A6" s="170" t="str">
        <f t="shared" si="0"/>
        <v>75654199009</v>
      </c>
      <c r="B6" s="170" t="str">
        <f t="shared" si="1"/>
        <v>756562</v>
      </c>
      <c r="C6" s="174" t="str">
        <f t="shared" si="2"/>
        <v>75652</v>
      </c>
      <c r="D6" s="170">
        <v>7565</v>
      </c>
      <c r="E6" s="174">
        <v>2020110010071</v>
      </c>
      <c r="F6" s="170" t="s">
        <v>62</v>
      </c>
      <c r="G6" s="170" t="s">
        <v>63</v>
      </c>
      <c r="H6" s="170" t="s">
        <v>64</v>
      </c>
      <c r="I6" s="170" t="s">
        <v>65</v>
      </c>
      <c r="J6" s="170" t="s">
        <v>66</v>
      </c>
      <c r="K6" s="170" t="s">
        <v>67</v>
      </c>
      <c r="L6" s="170">
        <v>1</v>
      </c>
      <c r="M6" s="170" t="s">
        <v>68</v>
      </c>
      <c r="N6" s="170" t="s">
        <v>69</v>
      </c>
      <c r="O6" s="170">
        <v>2</v>
      </c>
      <c r="P6" s="170" t="s">
        <v>76</v>
      </c>
      <c r="Q6" s="170" t="s">
        <v>71</v>
      </c>
      <c r="R6" s="174">
        <v>62</v>
      </c>
      <c r="S6" s="170" t="s">
        <v>72</v>
      </c>
      <c r="T6" s="170" t="s">
        <v>73</v>
      </c>
      <c r="U6" s="170" t="s">
        <v>71</v>
      </c>
      <c r="V6" s="170">
        <v>4199009</v>
      </c>
      <c r="W6" s="170" t="s">
        <v>74</v>
      </c>
      <c r="X6" s="170" t="s">
        <v>74</v>
      </c>
      <c r="Y6" s="170" t="s">
        <v>71</v>
      </c>
      <c r="Z6" s="170" t="s">
        <v>75</v>
      </c>
      <c r="AA6" s="170">
        <v>9</v>
      </c>
    </row>
    <row r="7" spans="1:27" x14ac:dyDescent="0.3">
      <c r="A7" s="170" t="str">
        <f t="shared" si="0"/>
        <v>75654199009</v>
      </c>
      <c r="B7" s="170" t="str">
        <f t="shared" si="1"/>
        <v>756562</v>
      </c>
      <c r="C7" s="174" t="str">
        <f t="shared" si="2"/>
        <v>75653</v>
      </c>
      <c r="D7" s="170">
        <v>7565</v>
      </c>
      <c r="E7" s="174">
        <v>2020110010071</v>
      </c>
      <c r="F7" s="170" t="s">
        <v>62</v>
      </c>
      <c r="G7" s="170" t="s">
        <v>63</v>
      </c>
      <c r="H7" s="170" t="s">
        <v>64</v>
      </c>
      <c r="I7" s="170" t="s">
        <v>65</v>
      </c>
      <c r="J7" s="170" t="s">
        <v>66</v>
      </c>
      <c r="K7" s="170" t="s">
        <v>67</v>
      </c>
      <c r="L7" s="170">
        <v>1</v>
      </c>
      <c r="M7" s="170" t="s">
        <v>68</v>
      </c>
      <c r="N7" s="170" t="s">
        <v>69</v>
      </c>
      <c r="O7" s="170">
        <v>3</v>
      </c>
      <c r="P7" s="170" t="s">
        <v>77</v>
      </c>
      <c r="Q7" s="170" t="s">
        <v>71</v>
      </c>
      <c r="R7" s="174">
        <v>62</v>
      </c>
      <c r="S7" s="170" t="s">
        <v>72</v>
      </c>
      <c r="T7" s="170" t="s">
        <v>73</v>
      </c>
      <c r="U7" s="170" t="s">
        <v>71</v>
      </c>
      <c r="V7" s="170">
        <v>4199009</v>
      </c>
      <c r="W7" s="170" t="s">
        <v>74</v>
      </c>
      <c r="X7" s="170" t="s">
        <v>74</v>
      </c>
      <c r="Y7" s="170" t="s">
        <v>71</v>
      </c>
      <c r="Z7" s="170" t="s">
        <v>75</v>
      </c>
      <c r="AA7" s="170">
        <v>9</v>
      </c>
    </row>
    <row r="8" spans="1:27" x14ac:dyDescent="0.3">
      <c r="A8" s="170" t="str">
        <f t="shared" si="0"/>
        <v>75654199009</v>
      </c>
      <c r="B8" s="170" t="str">
        <f t="shared" si="1"/>
        <v>756562</v>
      </c>
      <c r="C8" s="174" t="str">
        <f t="shared" si="2"/>
        <v>75654</v>
      </c>
      <c r="D8" s="170">
        <v>7565</v>
      </c>
      <c r="E8" s="174">
        <v>2020110010071</v>
      </c>
      <c r="F8" s="170" t="s">
        <v>62</v>
      </c>
      <c r="G8" s="170" t="s">
        <v>63</v>
      </c>
      <c r="H8" s="170" t="s">
        <v>64</v>
      </c>
      <c r="I8" s="170" t="s">
        <v>65</v>
      </c>
      <c r="J8" s="170" t="s">
        <v>66</v>
      </c>
      <c r="K8" s="170" t="s">
        <v>67</v>
      </c>
      <c r="L8" s="170">
        <v>1</v>
      </c>
      <c r="M8" s="170" t="s">
        <v>68</v>
      </c>
      <c r="N8" s="170" t="s">
        <v>69</v>
      </c>
      <c r="O8" s="170">
        <v>4</v>
      </c>
      <c r="P8" s="170" t="s">
        <v>78</v>
      </c>
      <c r="Q8" s="170" t="s">
        <v>71</v>
      </c>
      <c r="R8" s="174">
        <v>62</v>
      </c>
      <c r="S8" s="170" t="s">
        <v>72</v>
      </c>
      <c r="T8" s="170" t="s">
        <v>73</v>
      </c>
      <c r="U8" s="170" t="s">
        <v>71</v>
      </c>
      <c r="V8" s="170">
        <v>4199009</v>
      </c>
      <c r="W8" s="170" t="s">
        <v>74</v>
      </c>
      <c r="X8" s="170" t="s">
        <v>74</v>
      </c>
      <c r="Y8" s="170" t="s">
        <v>71</v>
      </c>
      <c r="Z8" s="170" t="s">
        <v>75</v>
      </c>
      <c r="AA8" s="170">
        <v>9</v>
      </c>
    </row>
    <row r="9" spans="1:27" x14ac:dyDescent="0.3">
      <c r="A9" s="170" t="str">
        <f t="shared" si="0"/>
        <v>75654199014</v>
      </c>
      <c r="B9" s="170" t="str">
        <f t="shared" si="1"/>
        <v>756562</v>
      </c>
      <c r="C9" s="174" t="str">
        <f t="shared" si="2"/>
        <v>75655</v>
      </c>
      <c r="D9" s="170">
        <v>7565</v>
      </c>
      <c r="E9" s="174">
        <v>2020110010071</v>
      </c>
      <c r="F9" s="170" t="s">
        <v>62</v>
      </c>
      <c r="G9" s="170" t="s">
        <v>63</v>
      </c>
      <c r="H9" s="170" t="s">
        <v>64</v>
      </c>
      <c r="I9" s="170" t="s">
        <v>65</v>
      </c>
      <c r="J9" s="170" t="s">
        <v>66</v>
      </c>
      <c r="K9" s="170" t="s">
        <v>67</v>
      </c>
      <c r="L9" s="170">
        <v>2</v>
      </c>
      <c r="M9" s="170" t="s">
        <v>79</v>
      </c>
      <c r="N9" s="170" t="s">
        <v>69</v>
      </c>
      <c r="O9" s="170">
        <v>5</v>
      </c>
      <c r="P9" s="170" t="s">
        <v>80</v>
      </c>
      <c r="Q9" s="170" t="s">
        <v>71</v>
      </c>
      <c r="R9" s="174">
        <v>62</v>
      </c>
      <c r="S9" s="170" t="s">
        <v>72</v>
      </c>
      <c r="T9" s="170" t="s">
        <v>73</v>
      </c>
      <c r="U9" s="170" t="s">
        <v>71</v>
      </c>
      <c r="V9" s="170">
        <v>4199014</v>
      </c>
      <c r="W9" s="170" t="s">
        <v>81</v>
      </c>
      <c r="X9" s="170" t="s">
        <v>81</v>
      </c>
      <c r="Y9" s="170" t="s">
        <v>71</v>
      </c>
      <c r="Z9" s="170" t="s">
        <v>75</v>
      </c>
      <c r="AA9" s="170">
        <v>9</v>
      </c>
    </row>
    <row r="10" spans="1:27" x14ac:dyDescent="0.3">
      <c r="A10" s="170" t="str">
        <f t="shared" si="0"/>
        <v>75654199011</v>
      </c>
      <c r="B10" s="170" t="str">
        <f t="shared" si="1"/>
        <v>756562</v>
      </c>
      <c r="C10" s="174" t="str">
        <f t="shared" si="2"/>
        <v>75656</v>
      </c>
      <c r="D10" s="170">
        <v>7565</v>
      </c>
      <c r="E10" s="174">
        <v>2020110010071</v>
      </c>
      <c r="F10" s="170" t="s">
        <v>62</v>
      </c>
      <c r="G10" s="170" t="s">
        <v>63</v>
      </c>
      <c r="H10" s="170" t="s">
        <v>64</v>
      </c>
      <c r="I10" s="170" t="s">
        <v>65</v>
      </c>
      <c r="J10" s="170" t="s">
        <v>66</v>
      </c>
      <c r="K10" s="170" t="s">
        <v>67</v>
      </c>
      <c r="L10" s="170">
        <v>2</v>
      </c>
      <c r="M10" s="170" t="s">
        <v>79</v>
      </c>
      <c r="N10" s="170" t="s">
        <v>69</v>
      </c>
      <c r="O10" s="170">
        <v>6</v>
      </c>
      <c r="P10" s="170" t="s">
        <v>82</v>
      </c>
      <c r="Q10" s="170" t="s">
        <v>83</v>
      </c>
      <c r="R10" s="174">
        <v>62</v>
      </c>
      <c r="S10" s="170" t="s">
        <v>72</v>
      </c>
      <c r="T10" s="170" t="s">
        <v>73</v>
      </c>
      <c r="U10" s="170" t="s">
        <v>71</v>
      </c>
      <c r="V10" s="170">
        <v>4199011</v>
      </c>
      <c r="W10" s="170" t="s">
        <v>84</v>
      </c>
      <c r="X10" s="170" t="s">
        <v>84</v>
      </c>
      <c r="Y10" s="170" t="s">
        <v>83</v>
      </c>
      <c r="Z10" s="170" t="s">
        <v>75</v>
      </c>
      <c r="AA10" s="170">
        <v>9</v>
      </c>
    </row>
    <row r="11" spans="1:27" x14ac:dyDescent="0.3">
      <c r="A11" s="170" t="str">
        <f t="shared" si="0"/>
        <v>75654199016</v>
      </c>
      <c r="B11" s="170" t="str">
        <f t="shared" si="1"/>
        <v>756562</v>
      </c>
      <c r="C11" s="174" t="str">
        <f t="shared" si="2"/>
        <v>75657</v>
      </c>
      <c r="D11" s="170">
        <v>7565</v>
      </c>
      <c r="E11" s="174">
        <v>2020110010071</v>
      </c>
      <c r="F11" s="170" t="s">
        <v>62</v>
      </c>
      <c r="G11" s="170" t="s">
        <v>63</v>
      </c>
      <c r="H11" s="170" t="s">
        <v>64</v>
      </c>
      <c r="I11" s="170" t="s">
        <v>65</v>
      </c>
      <c r="J11" s="170" t="s">
        <v>66</v>
      </c>
      <c r="K11" s="170" t="s">
        <v>67</v>
      </c>
      <c r="L11" s="170">
        <v>3</v>
      </c>
      <c r="M11" s="170" t="s">
        <v>85</v>
      </c>
      <c r="N11" s="170" t="s">
        <v>69</v>
      </c>
      <c r="O11" s="170">
        <v>7</v>
      </c>
      <c r="P11" s="170" t="s">
        <v>86</v>
      </c>
      <c r="Q11" s="170" t="s">
        <v>83</v>
      </c>
      <c r="R11" s="174">
        <v>62</v>
      </c>
      <c r="S11" s="170" t="s">
        <v>72</v>
      </c>
      <c r="T11" s="170" t="s">
        <v>73</v>
      </c>
      <c r="U11" s="170" t="s">
        <v>71</v>
      </c>
      <c r="V11" s="170">
        <v>4199016</v>
      </c>
      <c r="W11" s="170" t="s">
        <v>87</v>
      </c>
      <c r="X11" s="170" t="s">
        <v>87</v>
      </c>
      <c r="Y11" s="170" t="s">
        <v>83</v>
      </c>
      <c r="Z11" s="170" t="s">
        <v>75</v>
      </c>
      <c r="AA11" s="170">
        <v>9</v>
      </c>
    </row>
    <row r="12" spans="1:27" x14ac:dyDescent="0.3">
      <c r="A12" s="170" t="str">
        <f t="shared" si="0"/>
        <v>75654199023</v>
      </c>
      <c r="B12" s="170" t="str">
        <f t="shared" si="1"/>
        <v>756562</v>
      </c>
      <c r="C12" s="174" t="str">
        <f t="shared" si="2"/>
        <v>75658</v>
      </c>
      <c r="D12" s="170">
        <v>7565</v>
      </c>
      <c r="E12" s="174">
        <v>2020110010071</v>
      </c>
      <c r="F12" s="170" t="s">
        <v>62</v>
      </c>
      <c r="G12" s="170" t="s">
        <v>63</v>
      </c>
      <c r="H12" s="170" t="s">
        <v>64</v>
      </c>
      <c r="I12" s="170" t="s">
        <v>65</v>
      </c>
      <c r="J12" s="170" t="s">
        <v>66</v>
      </c>
      <c r="K12" s="170" t="s">
        <v>67</v>
      </c>
      <c r="L12" s="170">
        <v>4</v>
      </c>
      <c r="M12" s="170" t="s">
        <v>88</v>
      </c>
      <c r="N12" s="170" t="s">
        <v>69</v>
      </c>
      <c r="O12" s="170">
        <v>8</v>
      </c>
      <c r="P12" s="170" t="s">
        <v>89</v>
      </c>
      <c r="Q12" s="170" t="s">
        <v>71</v>
      </c>
      <c r="R12" s="174">
        <v>62</v>
      </c>
      <c r="S12" s="170" t="s">
        <v>72</v>
      </c>
      <c r="T12" s="170" t="s">
        <v>73</v>
      </c>
      <c r="U12" s="170" t="s">
        <v>71</v>
      </c>
      <c r="V12" s="170">
        <v>4199023</v>
      </c>
      <c r="W12" s="170" t="s">
        <v>55</v>
      </c>
      <c r="X12" s="170" t="s">
        <v>55</v>
      </c>
      <c r="Y12" s="170" t="s">
        <v>71</v>
      </c>
      <c r="Z12" s="170" t="s">
        <v>75</v>
      </c>
      <c r="AA12" s="170">
        <v>9</v>
      </c>
    </row>
    <row r="13" spans="1:27" x14ac:dyDescent="0.3">
      <c r="A13" s="170" t="str">
        <f t="shared" si="0"/>
        <v>75654199015</v>
      </c>
      <c r="B13" s="170" t="str">
        <f t="shared" si="1"/>
        <v>756562</v>
      </c>
      <c r="C13" s="174" t="str">
        <f t="shared" si="2"/>
        <v>75659</v>
      </c>
      <c r="D13" s="170">
        <v>7565</v>
      </c>
      <c r="E13" s="174">
        <v>2020110010071</v>
      </c>
      <c r="F13" s="170" t="s">
        <v>62</v>
      </c>
      <c r="G13" s="170" t="s">
        <v>63</v>
      </c>
      <c r="H13" s="170" t="s">
        <v>64</v>
      </c>
      <c r="I13" s="170" t="s">
        <v>65</v>
      </c>
      <c r="J13" s="170" t="s">
        <v>66</v>
      </c>
      <c r="K13" s="170" t="s">
        <v>67</v>
      </c>
      <c r="L13" s="170">
        <v>5</v>
      </c>
      <c r="M13" s="170" t="s">
        <v>90</v>
      </c>
      <c r="N13" s="170" t="s">
        <v>69</v>
      </c>
      <c r="O13" s="170">
        <v>9</v>
      </c>
      <c r="P13" s="170" t="s">
        <v>91</v>
      </c>
      <c r="Q13" s="170" t="s">
        <v>71</v>
      </c>
      <c r="R13" s="174">
        <v>62</v>
      </c>
      <c r="S13" s="170" t="s">
        <v>72</v>
      </c>
      <c r="T13" s="170" t="s">
        <v>73</v>
      </c>
      <c r="U13" s="170" t="s">
        <v>71</v>
      </c>
      <c r="V13" s="170">
        <v>4199015</v>
      </c>
      <c r="W13" s="170" t="s">
        <v>92</v>
      </c>
      <c r="X13" s="170" t="s">
        <v>92</v>
      </c>
      <c r="Y13" s="170" t="s">
        <v>71</v>
      </c>
      <c r="Z13" s="170" t="s">
        <v>75</v>
      </c>
      <c r="AA13" s="170">
        <v>9</v>
      </c>
    </row>
    <row r="14" spans="1:27" x14ac:dyDescent="0.3">
      <c r="A14" s="170" t="str">
        <f t="shared" si="0"/>
        <v>75654199014</v>
      </c>
      <c r="B14" s="170" t="str">
        <f t="shared" si="1"/>
        <v>756562</v>
      </c>
      <c r="C14" s="174" t="str">
        <f t="shared" si="2"/>
        <v>756511</v>
      </c>
      <c r="D14" s="170">
        <v>7565</v>
      </c>
      <c r="E14" s="174">
        <v>2020110010071</v>
      </c>
      <c r="F14" s="170" t="s">
        <v>62</v>
      </c>
      <c r="G14" s="170" t="s">
        <v>63</v>
      </c>
      <c r="H14" s="170" t="s">
        <v>64</v>
      </c>
      <c r="I14" s="170" t="s">
        <v>65</v>
      </c>
      <c r="J14" s="170" t="s">
        <v>66</v>
      </c>
      <c r="K14" s="170" t="s">
        <v>67</v>
      </c>
      <c r="L14" s="170">
        <v>2</v>
      </c>
      <c r="M14" s="170" t="s">
        <v>79</v>
      </c>
      <c r="N14" s="170" t="s">
        <v>69</v>
      </c>
      <c r="O14" s="170">
        <v>11</v>
      </c>
      <c r="P14" s="170" t="s">
        <v>93</v>
      </c>
      <c r="Q14" s="170" t="s">
        <v>71</v>
      </c>
      <c r="R14" s="174">
        <v>62</v>
      </c>
      <c r="S14" s="170" t="s">
        <v>72</v>
      </c>
      <c r="T14" s="170" t="s">
        <v>73</v>
      </c>
      <c r="U14" s="170" t="s">
        <v>71</v>
      </c>
      <c r="V14" s="170">
        <v>4199014</v>
      </c>
      <c r="W14" s="170" t="s">
        <v>81</v>
      </c>
      <c r="X14" s="170" t="s">
        <v>81</v>
      </c>
      <c r="Y14" s="170" t="s">
        <v>71</v>
      </c>
      <c r="Z14" s="170" t="s">
        <v>75</v>
      </c>
      <c r="AA14" s="170">
        <v>9</v>
      </c>
    </row>
    <row r="15" spans="1:27" x14ac:dyDescent="0.3">
      <c r="A15" s="170" t="str">
        <f t="shared" si="0"/>
        <v>75654199009</v>
      </c>
      <c r="B15" s="170" t="str">
        <f t="shared" si="1"/>
        <v>756562</v>
      </c>
      <c r="C15" s="174" t="str">
        <f t="shared" si="2"/>
        <v>756512</v>
      </c>
      <c r="D15" s="170">
        <v>7565</v>
      </c>
      <c r="E15" s="174">
        <v>2020110010071</v>
      </c>
      <c r="F15" s="170" t="s">
        <v>62</v>
      </c>
      <c r="G15" s="170" t="s">
        <v>63</v>
      </c>
      <c r="H15" s="170" t="s">
        <v>64</v>
      </c>
      <c r="I15" s="170" t="s">
        <v>65</v>
      </c>
      <c r="J15" s="170" t="s">
        <v>66</v>
      </c>
      <c r="K15" s="170" t="s">
        <v>67</v>
      </c>
      <c r="L15" s="170">
        <v>1</v>
      </c>
      <c r="M15" s="170" t="s">
        <v>68</v>
      </c>
      <c r="N15" s="170" t="s">
        <v>69</v>
      </c>
      <c r="O15" s="170">
        <v>12</v>
      </c>
      <c r="P15" s="170" t="s">
        <v>94</v>
      </c>
      <c r="Q15" s="170" t="s">
        <v>71</v>
      </c>
      <c r="R15" s="174">
        <v>62</v>
      </c>
      <c r="S15" s="170" t="s">
        <v>72</v>
      </c>
      <c r="T15" s="170" t="s">
        <v>73</v>
      </c>
      <c r="U15" s="170" t="s">
        <v>71</v>
      </c>
      <c r="V15" s="170">
        <v>4199009</v>
      </c>
      <c r="W15" s="170" t="s">
        <v>74</v>
      </c>
      <c r="X15" s="170" t="s">
        <v>74</v>
      </c>
      <c r="Y15" s="170" t="s">
        <v>71</v>
      </c>
      <c r="Z15" s="170" t="s">
        <v>75</v>
      </c>
      <c r="AA15" s="170">
        <v>9</v>
      </c>
    </row>
    <row r="16" spans="1:27" x14ac:dyDescent="0.3">
      <c r="A16" s="170" t="str">
        <f t="shared" si="0"/>
        <v>77304103054</v>
      </c>
      <c r="B16" s="170" t="str">
        <f t="shared" si="1"/>
        <v>773021</v>
      </c>
      <c r="C16" s="174" t="str">
        <f t="shared" si="2"/>
        <v>77301</v>
      </c>
      <c r="D16" s="170">
        <v>7730</v>
      </c>
      <c r="E16" s="174">
        <v>2020110010083</v>
      </c>
      <c r="F16" s="170" t="s">
        <v>95</v>
      </c>
      <c r="G16" s="170" t="s">
        <v>63</v>
      </c>
      <c r="H16" s="170" t="s">
        <v>64</v>
      </c>
      <c r="I16" s="170" t="s">
        <v>65</v>
      </c>
      <c r="J16" s="170" t="s">
        <v>96</v>
      </c>
      <c r="K16" s="170" t="s">
        <v>97</v>
      </c>
      <c r="L16" s="170">
        <v>1</v>
      </c>
      <c r="M16" s="170" t="s">
        <v>98</v>
      </c>
      <c r="N16" s="170" t="s">
        <v>99</v>
      </c>
      <c r="O16" s="170">
        <v>1</v>
      </c>
      <c r="P16" s="170" t="s">
        <v>100</v>
      </c>
      <c r="Q16" s="170" t="s">
        <v>71</v>
      </c>
      <c r="R16" s="174">
        <v>21</v>
      </c>
      <c r="S16" s="170" t="s">
        <v>101</v>
      </c>
      <c r="T16" s="170" t="s">
        <v>102</v>
      </c>
      <c r="U16" s="170" t="s">
        <v>71</v>
      </c>
      <c r="V16" s="170">
        <v>4103054</v>
      </c>
      <c r="W16" s="170" t="s">
        <v>103</v>
      </c>
      <c r="X16" s="170" t="s">
        <v>104</v>
      </c>
      <c r="Y16" s="170" t="s">
        <v>57</v>
      </c>
      <c r="Z16" s="170" t="s">
        <v>105</v>
      </c>
      <c r="AA16" s="170">
        <v>10</v>
      </c>
    </row>
    <row r="17" spans="1:27" x14ac:dyDescent="0.3">
      <c r="A17" s="170" t="str">
        <f t="shared" si="0"/>
        <v>77304103049</v>
      </c>
      <c r="B17" s="170" t="str">
        <f t="shared" si="1"/>
        <v>773021</v>
      </c>
      <c r="C17" s="174" t="str">
        <f t="shared" si="2"/>
        <v>77302</v>
      </c>
      <c r="D17" s="170">
        <v>7730</v>
      </c>
      <c r="E17" s="174">
        <v>2020110010083</v>
      </c>
      <c r="F17" s="170" t="s">
        <v>95</v>
      </c>
      <c r="G17" s="170" t="s">
        <v>63</v>
      </c>
      <c r="H17" s="170" t="s">
        <v>64</v>
      </c>
      <c r="I17" s="170" t="s">
        <v>65</v>
      </c>
      <c r="J17" s="170" t="s">
        <v>96</v>
      </c>
      <c r="K17" s="170" t="s">
        <v>97</v>
      </c>
      <c r="L17" s="170">
        <v>2</v>
      </c>
      <c r="M17" s="170" t="s">
        <v>106</v>
      </c>
      <c r="N17" s="170" t="s">
        <v>99</v>
      </c>
      <c r="O17" s="170">
        <v>2</v>
      </c>
      <c r="P17" s="170" t="s">
        <v>107</v>
      </c>
      <c r="Q17" s="170" t="s">
        <v>71</v>
      </c>
      <c r="R17" s="174">
        <v>21</v>
      </c>
      <c r="S17" s="170" t="s">
        <v>101</v>
      </c>
      <c r="T17" s="170" t="s">
        <v>102</v>
      </c>
      <c r="U17" s="170" t="s">
        <v>71</v>
      </c>
      <c r="V17" s="170">
        <v>4103049</v>
      </c>
      <c r="W17" s="170" t="s">
        <v>108</v>
      </c>
      <c r="X17" s="170" t="s">
        <v>109</v>
      </c>
      <c r="Y17" s="170" t="s">
        <v>57</v>
      </c>
      <c r="Z17" s="170" t="s">
        <v>105</v>
      </c>
      <c r="AA17" s="170">
        <v>10</v>
      </c>
    </row>
    <row r="18" spans="1:27" x14ac:dyDescent="0.3">
      <c r="A18" s="170" t="str">
        <f t="shared" si="0"/>
        <v>77304103052</v>
      </c>
      <c r="B18" s="170" t="str">
        <f t="shared" si="1"/>
        <v>773021</v>
      </c>
      <c r="C18" s="174" t="str">
        <f t="shared" si="2"/>
        <v>77303</v>
      </c>
      <c r="D18" s="170">
        <v>7730</v>
      </c>
      <c r="E18" s="174">
        <v>2020110010083</v>
      </c>
      <c r="F18" s="170" t="s">
        <v>95</v>
      </c>
      <c r="G18" s="170" t="s">
        <v>63</v>
      </c>
      <c r="H18" s="170" t="s">
        <v>64</v>
      </c>
      <c r="I18" s="170" t="s">
        <v>65</v>
      </c>
      <c r="J18" s="170" t="s">
        <v>96</v>
      </c>
      <c r="K18" s="170" t="s">
        <v>97</v>
      </c>
      <c r="L18" s="170">
        <v>3</v>
      </c>
      <c r="M18" s="170" t="s">
        <v>110</v>
      </c>
      <c r="N18" s="170" t="s">
        <v>99</v>
      </c>
      <c r="O18" s="170">
        <v>3</v>
      </c>
      <c r="P18" s="170" t="s">
        <v>111</v>
      </c>
      <c r="Q18" s="170" t="s">
        <v>71</v>
      </c>
      <c r="R18" s="174">
        <v>21</v>
      </c>
      <c r="S18" s="170" t="s">
        <v>101</v>
      </c>
      <c r="T18" s="170" t="s">
        <v>102</v>
      </c>
      <c r="U18" s="170" t="s">
        <v>71</v>
      </c>
      <c r="V18" s="170">
        <v>4103052</v>
      </c>
      <c r="W18" s="170" t="s">
        <v>112</v>
      </c>
      <c r="X18" s="170" t="s">
        <v>113</v>
      </c>
      <c r="Y18" s="170" t="s">
        <v>57</v>
      </c>
      <c r="Z18" s="170" t="s">
        <v>105</v>
      </c>
      <c r="AA18" s="170">
        <v>10</v>
      </c>
    </row>
    <row r="19" spans="1:27" x14ac:dyDescent="0.3">
      <c r="A19" s="170" t="str">
        <f t="shared" si="0"/>
        <v>77332301044</v>
      </c>
      <c r="B19" s="170" t="str">
        <f t="shared" si="1"/>
        <v>7733484</v>
      </c>
      <c r="C19" s="174" t="str">
        <f t="shared" si="2"/>
        <v>77331</v>
      </c>
      <c r="D19" s="170">
        <v>7733</v>
      </c>
      <c r="E19" s="174">
        <v>2020110010082</v>
      </c>
      <c r="F19" s="170" t="s">
        <v>114</v>
      </c>
      <c r="G19" s="170" t="s">
        <v>115</v>
      </c>
      <c r="H19" s="170" t="s">
        <v>116</v>
      </c>
      <c r="I19" s="170" t="s">
        <v>117</v>
      </c>
      <c r="J19" s="170" t="s">
        <v>118</v>
      </c>
      <c r="K19" s="170" t="s">
        <v>119</v>
      </c>
      <c r="L19" s="170">
        <v>1</v>
      </c>
      <c r="M19" s="170" t="s">
        <v>120</v>
      </c>
      <c r="N19" s="170" t="s">
        <v>121</v>
      </c>
      <c r="O19" s="170">
        <v>1</v>
      </c>
      <c r="P19" s="170" t="s">
        <v>122</v>
      </c>
      <c r="Q19" s="170" t="s">
        <v>52</v>
      </c>
      <c r="R19" s="174">
        <v>484</v>
      </c>
      <c r="S19" s="170" t="s">
        <v>123</v>
      </c>
      <c r="T19" s="170" t="s">
        <v>124</v>
      </c>
      <c r="U19" s="170" t="s">
        <v>52</v>
      </c>
      <c r="V19" s="170">
        <v>2301044</v>
      </c>
      <c r="W19" s="170" t="s">
        <v>125</v>
      </c>
      <c r="X19" s="170" t="s">
        <v>126</v>
      </c>
      <c r="Y19" s="170" t="s">
        <v>57</v>
      </c>
      <c r="Z19" s="170" t="s">
        <v>58</v>
      </c>
      <c r="AA19" s="170">
        <v>16</v>
      </c>
    </row>
    <row r="20" spans="1:27" x14ac:dyDescent="0.3">
      <c r="A20" s="170" t="str">
        <f t="shared" si="0"/>
        <v>77332301005</v>
      </c>
      <c r="B20" s="170" t="str">
        <f t="shared" si="1"/>
        <v>7733481</v>
      </c>
      <c r="C20" s="174" t="str">
        <f t="shared" si="2"/>
        <v>77332</v>
      </c>
      <c r="D20" s="170">
        <v>7733</v>
      </c>
      <c r="E20" s="174">
        <v>2020110010082</v>
      </c>
      <c r="F20" s="170" t="s">
        <v>114</v>
      </c>
      <c r="G20" s="170" t="s">
        <v>115</v>
      </c>
      <c r="H20" s="170" t="s">
        <v>116</v>
      </c>
      <c r="I20" s="170" t="s">
        <v>117</v>
      </c>
      <c r="J20" s="170" t="s">
        <v>118</v>
      </c>
      <c r="K20" s="170" t="s">
        <v>119</v>
      </c>
      <c r="L20" s="170">
        <v>2</v>
      </c>
      <c r="M20" s="170" t="s">
        <v>127</v>
      </c>
      <c r="N20" s="170" t="s">
        <v>121</v>
      </c>
      <c r="O20" s="170">
        <v>2</v>
      </c>
      <c r="P20" s="170" t="s">
        <v>128</v>
      </c>
      <c r="Q20" s="170" t="s">
        <v>83</v>
      </c>
      <c r="R20" s="174">
        <v>481</v>
      </c>
      <c r="S20" s="170" t="s">
        <v>129</v>
      </c>
      <c r="T20" s="170" t="s">
        <v>130</v>
      </c>
      <c r="U20" s="170" t="s">
        <v>83</v>
      </c>
      <c r="V20" s="170">
        <v>2301005</v>
      </c>
      <c r="W20" s="170" t="s">
        <v>131</v>
      </c>
      <c r="X20" s="170" t="s">
        <v>132</v>
      </c>
      <c r="Y20" s="170" t="s">
        <v>57</v>
      </c>
      <c r="Z20" s="170" t="s">
        <v>58</v>
      </c>
      <c r="AA20" s="170">
        <v>16</v>
      </c>
    </row>
    <row r="21" spans="1:27" x14ac:dyDescent="0.3">
      <c r="A21" s="170" t="str">
        <f t="shared" si="0"/>
        <v>77332301005</v>
      </c>
      <c r="B21" s="170" t="str">
        <f t="shared" si="1"/>
        <v>7733481</v>
      </c>
      <c r="C21" s="174" t="str">
        <f t="shared" si="2"/>
        <v>77333</v>
      </c>
      <c r="D21" s="170">
        <v>7733</v>
      </c>
      <c r="E21" s="174">
        <v>2020110010082</v>
      </c>
      <c r="F21" s="170" t="s">
        <v>114</v>
      </c>
      <c r="G21" s="170" t="s">
        <v>115</v>
      </c>
      <c r="H21" s="170" t="s">
        <v>116</v>
      </c>
      <c r="I21" s="170" t="s">
        <v>117</v>
      </c>
      <c r="J21" s="170" t="s">
        <v>118</v>
      </c>
      <c r="K21" s="170" t="s">
        <v>119</v>
      </c>
      <c r="L21" s="170">
        <v>2</v>
      </c>
      <c r="M21" s="170" t="s">
        <v>127</v>
      </c>
      <c r="N21" s="170" t="s">
        <v>121</v>
      </c>
      <c r="O21" s="170">
        <v>3</v>
      </c>
      <c r="P21" s="170" t="s">
        <v>133</v>
      </c>
      <c r="Q21" s="170" t="s">
        <v>83</v>
      </c>
      <c r="R21" s="174">
        <v>481</v>
      </c>
      <c r="S21" s="170" t="s">
        <v>129</v>
      </c>
      <c r="T21" s="170" t="s">
        <v>130</v>
      </c>
      <c r="U21" s="170" t="s">
        <v>83</v>
      </c>
      <c r="V21" s="170">
        <v>2301005</v>
      </c>
      <c r="W21" s="170" t="s">
        <v>131</v>
      </c>
      <c r="X21" s="170" t="s">
        <v>132</v>
      </c>
      <c r="Y21" s="170" t="s">
        <v>57</v>
      </c>
      <c r="Z21" s="170" t="s">
        <v>58</v>
      </c>
      <c r="AA21" s="170">
        <v>16</v>
      </c>
    </row>
    <row r="22" spans="1:27" x14ac:dyDescent="0.3">
      <c r="A22" s="170" t="str">
        <f t="shared" si="0"/>
        <v>77332301003</v>
      </c>
      <c r="B22" s="170" t="str">
        <f t="shared" si="1"/>
        <v>7733481</v>
      </c>
      <c r="C22" s="174" t="str">
        <f t="shared" si="2"/>
        <v>77334</v>
      </c>
      <c r="D22" s="170">
        <v>7733</v>
      </c>
      <c r="E22" s="174">
        <v>2020110010082</v>
      </c>
      <c r="F22" s="170" t="s">
        <v>114</v>
      </c>
      <c r="G22" s="170" t="s">
        <v>115</v>
      </c>
      <c r="H22" s="170" t="s">
        <v>116</v>
      </c>
      <c r="I22" s="170" t="s">
        <v>117</v>
      </c>
      <c r="J22" s="170" t="s">
        <v>118</v>
      </c>
      <c r="K22" s="170" t="s">
        <v>119</v>
      </c>
      <c r="L22" s="170">
        <v>3</v>
      </c>
      <c r="M22" s="170" t="s">
        <v>134</v>
      </c>
      <c r="N22" s="170" t="s">
        <v>121</v>
      </c>
      <c r="O22" s="170">
        <v>4</v>
      </c>
      <c r="P22" s="170" t="s">
        <v>135</v>
      </c>
      <c r="Q22" s="170" t="s">
        <v>83</v>
      </c>
      <c r="R22" s="174">
        <v>481</v>
      </c>
      <c r="S22" s="170" t="s">
        <v>129</v>
      </c>
      <c r="T22" s="170" t="s">
        <v>130</v>
      </c>
      <c r="U22" s="170" t="s">
        <v>83</v>
      </c>
      <c r="V22" s="170">
        <v>2301003</v>
      </c>
      <c r="W22" s="170" t="s">
        <v>55</v>
      </c>
      <c r="X22" s="170" t="s">
        <v>136</v>
      </c>
      <c r="Y22" s="170" t="s">
        <v>57</v>
      </c>
      <c r="Z22" s="170" t="s">
        <v>58</v>
      </c>
      <c r="AA22" s="170">
        <v>16</v>
      </c>
    </row>
    <row r="23" spans="1:27" x14ac:dyDescent="0.3">
      <c r="A23" s="170" t="str">
        <f t="shared" si="0"/>
        <v>77354103060</v>
      </c>
      <c r="B23" s="170" t="str">
        <f t="shared" si="1"/>
        <v>7735545</v>
      </c>
      <c r="C23" s="174" t="str">
        <f t="shared" si="2"/>
        <v>77351</v>
      </c>
      <c r="D23" s="170">
        <v>7735</v>
      </c>
      <c r="E23" s="174">
        <v>2020110010077</v>
      </c>
      <c r="F23" s="170" t="s">
        <v>137</v>
      </c>
      <c r="G23" s="170" t="s">
        <v>115</v>
      </c>
      <c r="H23" s="170" t="s">
        <v>116</v>
      </c>
      <c r="I23" s="170" t="s">
        <v>117</v>
      </c>
      <c r="J23" s="170" t="s">
        <v>138</v>
      </c>
      <c r="K23" s="170" t="s">
        <v>139</v>
      </c>
      <c r="L23" s="170">
        <v>1</v>
      </c>
      <c r="M23" s="170" t="s">
        <v>140</v>
      </c>
      <c r="N23" s="170" t="s">
        <v>141</v>
      </c>
      <c r="O23" s="170">
        <v>1</v>
      </c>
      <c r="P23" s="170" t="s">
        <v>142</v>
      </c>
      <c r="Q23" s="170" t="s">
        <v>71</v>
      </c>
      <c r="R23" s="174">
        <v>545</v>
      </c>
      <c r="S23" s="170" t="s">
        <v>143</v>
      </c>
      <c r="T23" s="170" t="s">
        <v>144</v>
      </c>
      <c r="U23" s="170" t="s">
        <v>83</v>
      </c>
      <c r="V23" s="170">
        <v>4103060</v>
      </c>
      <c r="W23" s="170" t="s">
        <v>145</v>
      </c>
      <c r="X23" s="170" t="s">
        <v>136</v>
      </c>
      <c r="Y23" s="170" t="s">
        <v>57</v>
      </c>
      <c r="Z23" s="170" t="s">
        <v>146</v>
      </c>
      <c r="AA23" s="170">
        <v>17</v>
      </c>
    </row>
    <row r="24" spans="1:27" x14ac:dyDescent="0.3">
      <c r="A24" s="170" t="str">
        <f t="shared" si="0"/>
        <v>77354103005</v>
      </c>
      <c r="B24" s="170" t="str">
        <f t="shared" si="1"/>
        <v>7735545</v>
      </c>
      <c r="C24" s="174" t="str">
        <f t="shared" si="2"/>
        <v>77352</v>
      </c>
      <c r="D24" s="170">
        <v>7735</v>
      </c>
      <c r="E24" s="174">
        <v>2020110010077</v>
      </c>
      <c r="F24" s="170" t="s">
        <v>137</v>
      </c>
      <c r="G24" s="170" t="s">
        <v>115</v>
      </c>
      <c r="H24" s="170" t="s">
        <v>116</v>
      </c>
      <c r="I24" s="170" t="s">
        <v>117</v>
      </c>
      <c r="J24" s="170" t="s">
        <v>138</v>
      </c>
      <c r="K24" s="170" t="s">
        <v>139</v>
      </c>
      <c r="L24" s="170">
        <v>2</v>
      </c>
      <c r="M24" s="170" t="s">
        <v>147</v>
      </c>
      <c r="N24" s="170" t="s">
        <v>141</v>
      </c>
      <c r="O24" s="170">
        <v>2</v>
      </c>
      <c r="P24" s="170" t="s">
        <v>148</v>
      </c>
      <c r="Q24" s="170" t="s">
        <v>52</v>
      </c>
      <c r="R24" s="174">
        <v>545</v>
      </c>
      <c r="S24" s="170" t="s">
        <v>143</v>
      </c>
      <c r="T24" s="170" t="s">
        <v>144</v>
      </c>
      <c r="U24" s="170" t="s">
        <v>83</v>
      </c>
      <c r="V24" s="170">
        <v>4103005</v>
      </c>
      <c r="W24" s="170" t="s">
        <v>149</v>
      </c>
      <c r="X24" s="170" t="s">
        <v>150</v>
      </c>
      <c r="Y24" s="170" t="s">
        <v>57</v>
      </c>
      <c r="Z24" s="170" t="s">
        <v>146</v>
      </c>
      <c r="AA24" s="170">
        <v>17</v>
      </c>
    </row>
    <row r="25" spans="1:27" x14ac:dyDescent="0.3">
      <c r="A25" s="170" t="str">
        <f t="shared" si="0"/>
        <v>77354103063</v>
      </c>
      <c r="B25" s="170" t="str">
        <f t="shared" si="1"/>
        <v>7735546</v>
      </c>
      <c r="C25" s="174" t="str">
        <f t="shared" si="2"/>
        <v>77353</v>
      </c>
      <c r="D25" s="170">
        <v>7735</v>
      </c>
      <c r="E25" s="174">
        <v>2020110010077</v>
      </c>
      <c r="F25" s="170" t="s">
        <v>137</v>
      </c>
      <c r="G25" s="170" t="s">
        <v>115</v>
      </c>
      <c r="H25" s="170" t="s">
        <v>116</v>
      </c>
      <c r="I25" s="170" t="s">
        <v>117</v>
      </c>
      <c r="J25" s="170" t="s">
        <v>138</v>
      </c>
      <c r="K25" s="170" t="s">
        <v>139</v>
      </c>
      <c r="L25" s="170">
        <v>3</v>
      </c>
      <c r="M25" s="170" t="s">
        <v>151</v>
      </c>
      <c r="N25" s="170" t="s">
        <v>141</v>
      </c>
      <c r="O25" s="170">
        <v>3</v>
      </c>
      <c r="P25" s="170" t="s">
        <v>152</v>
      </c>
      <c r="Q25" s="170" t="s">
        <v>71</v>
      </c>
      <c r="R25" s="174">
        <v>546</v>
      </c>
      <c r="S25" s="170" t="s">
        <v>153</v>
      </c>
      <c r="T25" s="170" t="s">
        <v>154</v>
      </c>
      <c r="U25" s="170" t="s">
        <v>71</v>
      </c>
      <c r="V25" s="170">
        <v>4103063</v>
      </c>
      <c r="W25" s="170" t="s">
        <v>155</v>
      </c>
      <c r="X25" s="170" t="s">
        <v>156</v>
      </c>
      <c r="Y25" s="170" t="s">
        <v>57</v>
      </c>
      <c r="Z25" s="170" t="s">
        <v>146</v>
      </c>
      <c r="AA25" s="170">
        <v>17</v>
      </c>
    </row>
    <row r="26" spans="1:27" x14ac:dyDescent="0.3">
      <c r="A26" s="170" t="str">
        <f t="shared" si="0"/>
        <v>77354103009</v>
      </c>
      <c r="B26" s="170" t="str">
        <f t="shared" si="1"/>
        <v>7735545</v>
      </c>
      <c r="C26" s="174" t="str">
        <f t="shared" si="2"/>
        <v>77354</v>
      </c>
      <c r="D26" s="170">
        <v>7735</v>
      </c>
      <c r="E26" s="174">
        <v>2020110010077</v>
      </c>
      <c r="F26" s="170" t="s">
        <v>137</v>
      </c>
      <c r="G26" s="170" t="s">
        <v>115</v>
      </c>
      <c r="H26" s="170" t="s">
        <v>116</v>
      </c>
      <c r="I26" s="170" t="s">
        <v>117</v>
      </c>
      <c r="J26" s="170" t="s">
        <v>138</v>
      </c>
      <c r="K26" s="170" t="s">
        <v>139</v>
      </c>
      <c r="L26" s="170">
        <v>4</v>
      </c>
      <c r="M26" s="170" t="s">
        <v>157</v>
      </c>
      <c r="N26" s="170" t="s">
        <v>141</v>
      </c>
      <c r="O26" s="170">
        <v>4</v>
      </c>
      <c r="P26" s="170" t="s">
        <v>158</v>
      </c>
      <c r="Q26" s="170" t="s">
        <v>71</v>
      </c>
      <c r="R26" s="174">
        <v>545</v>
      </c>
      <c r="S26" s="170" t="s">
        <v>143</v>
      </c>
      <c r="T26" s="170" t="s">
        <v>144</v>
      </c>
      <c r="U26" s="170" t="s">
        <v>83</v>
      </c>
      <c r="V26" s="170">
        <v>4103009</v>
      </c>
      <c r="W26" s="170" t="s">
        <v>159</v>
      </c>
      <c r="X26" s="170" t="s">
        <v>160</v>
      </c>
      <c r="Y26" s="170" t="s">
        <v>57</v>
      </c>
      <c r="Z26" s="170" t="s">
        <v>146</v>
      </c>
      <c r="AA26" s="170">
        <v>17</v>
      </c>
    </row>
    <row r="27" spans="1:27" x14ac:dyDescent="0.3">
      <c r="A27" s="170" t="str">
        <f t="shared" si="0"/>
        <v>77354103049</v>
      </c>
      <c r="B27" s="170" t="str">
        <f t="shared" si="1"/>
        <v>7735545</v>
      </c>
      <c r="C27" s="174" t="str">
        <f t="shared" si="2"/>
        <v>77355</v>
      </c>
      <c r="D27" s="170">
        <v>7735</v>
      </c>
      <c r="E27" s="174">
        <v>2020110010077</v>
      </c>
      <c r="F27" s="170" t="s">
        <v>137</v>
      </c>
      <c r="G27" s="170" t="s">
        <v>115</v>
      </c>
      <c r="H27" s="170" t="s">
        <v>116</v>
      </c>
      <c r="I27" s="170" t="s">
        <v>117</v>
      </c>
      <c r="J27" s="170" t="s">
        <v>138</v>
      </c>
      <c r="K27" s="170" t="s">
        <v>139</v>
      </c>
      <c r="L27" s="170">
        <v>4</v>
      </c>
      <c r="M27" s="170" t="s">
        <v>157</v>
      </c>
      <c r="N27" s="170" t="s">
        <v>141</v>
      </c>
      <c r="O27" s="170">
        <v>5</v>
      </c>
      <c r="P27" s="170" t="s">
        <v>161</v>
      </c>
      <c r="Q27" s="170" t="s">
        <v>83</v>
      </c>
      <c r="R27" s="174">
        <v>545</v>
      </c>
      <c r="S27" s="170" t="s">
        <v>143</v>
      </c>
      <c r="T27" s="170" t="s">
        <v>144</v>
      </c>
      <c r="U27" s="170" t="s">
        <v>83</v>
      </c>
      <c r="V27" s="178">
        <v>4103049</v>
      </c>
      <c r="W27" s="170" t="s">
        <v>108</v>
      </c>
      <c r="X27" s="170" t="s">
        <v>109</v>
      </c>
      <c r="Y27" s="170" t="s">
        <v>57</v>
      </c>
      <c r="Z27" s="170" t="s">
        <v>146</v>
      </c>
      <c r="AA27" s="170">
        <v>17</v>
      </c>
    </row>
    <row r="28" spans="1:27" x14ac:dyDescent="0.3">
      <c r="A28" s="170" t="str">
        <f t="shared" si="0"/>
        <v>77404103054</v>
      </c>
      <c r="B28" s="170" t="str">
        <f t="shared" si="1"/>
        <v>7740114</v>
      </c>
      <c r="C28" s="174" t="str">
        <f t="shared" si="2"/>
        <v>77401</v>
      </c>
      <c r="D28" s="170">
        <v>7740</v>
      </c>
      <c r="E28" s="174">
        <v>2020110010089</v>
      </c>
      <c r="F28" s="170" t="s">
        <v>162</v>
      </c>
      <c r="G28" s="170" t="s">
        <v>63</v>
      </c>
      <c r="H28" s="170" t="s">
        <v>163</v>
      </c>
      <c r="I28" s="170" t="s">
        <v>164</v>
      </c>
      <c r="J28" s="170" t="s">
        <v>165</v>
      </c>
      <c r="K28" s="170" t="s">
        <v>166</v>
      </c>
      <c r="L28" s="170">
        <v>1</v>
      </c>
      <c r="M28" s="170" t="s">
        <v>167</v>
      </c>
      <c r="N28" s="170" t="s">
        <v>168</v>
      </c>
      <c r="O28" s="170">
        <v>1</v>
      </c>
      <c r="P28" s="170" t="s">
        <v>169</v>
      </c>
      <c r="Q28" s="170" t="s">
        <v>71</v>
      </c>
      <c r="R28" s="174">
        <v>114</v>
      </c>
      <c r="S28" s="170" t="s">
        <v>170</v>
      </c>
      <c r="T28" s="170" t="s">
        <v>171</v>
      </c>
      <c r="U28" s="170" t="s">
        <v>71</v>
      </c>
      <c r="V28" s="170">
        <v>4103054</v>
      </c>
      <c r="W28" s="170" t="s">
        <v>103</v>
      </c>
      <c r="X28" s="170" t="s">
        <v>172</v>
      </c>
      <c r="Y28" s="170" t="s">
        <v>57</v>
      </c>
      <c r="Z28" s="170" t="s">
        <v>173</v>
      </c>
      <c r="AA28" s="170">
        <v>1</v>
      </c>
    </row>
    <row r="29" spans="1:27" x14ac:dyDescent="0.3">
      <c r="A29" s="170" t="str">
        <f t="shared" si="0"/>
        <v>77404103054</v>
      </c>
      <c r="B29" s="170" t="str">
        <f t="shared" si="1"/>
        <v>7740114</v>
      </c>
      <c r="C29" s="174" t="str">
        <f t="shared" si="2"/>
        <v>77402</v>
      </c>
      <c r="D29" s="170">
        <v>7740</v>
      </c>
      <c r="E29" s="174">
        <v>2020110010089</v>
      </c>
      <c r="F29" s="170" t="s">
        <v>162</v>
      </c>
      <c r="G29" s="170" t="s">
        <v>63</v>
      </c>
      <c r="H29" s="170" t="s">
        <v>163</v>
      </c>
      <c r="I29" s="170" t="s">
        <v>164</v>
      </c>
      <c r="J29" s="170" t="s">
        <v>165</v>
      </c>
      <c r="K29" s="170" t="s">
        <v>166</v>
      </c>
      <c r="L29" s="170">
        <v>1</v>
      </c>
      <c r="M29" s="170" t="s">
        <v>167</v>
      </c>
      <c r="N29" s="170" t="s">
        <v>168</v>
      </c>
      <c r="O29" s="170">
        <v>2</v>
      </c>
      <c r="P29" s="170" t="s">
        <v>174</v>
      </c>
      <c r="Q29" s="170" t="s">
        <v>71</v>
      </c>
      <c r="R29" s="174">
        <v>114</v>
      </c>
      <c r="S29" s="170" t="s">
        <v>170</v>
      </c>
      <c r="T29" s="170" t="s">
        <v>171</v>
      </c>
      <c r="U29" s="170" t="s">
        <v>71</v>
      </c>
      <c r="V29" s="170">
        <v>4103054</v>
      </c>
      <c r="W29" s="170" t="s">
        <v>103</v>
      </c>
      <c r="X29" s="170" t="s">
        <v>172</v>
      </c>
      <c r="Y29" s="170" t="s">
        <v>57</v>
      </c>
      <c r="Z29" s="170" t="s">
        <v>173</v>
      </c>
      <c r="AA29" s="170">
        <v>1</v>
      </c>
    </row>
    <row r="30" spans="1:27" x14ac:dyDescent="0.3">
      <c r="A30" s="170" t="str">
        <f t="shared" si="0"/>
        <v>77404103006</v>
      </c>
      <c r="B30" s="170" t="str">
        <f t="shared" si="1"/>
        <v>7740113</v>
      </c>
      <c r="C30" s="174" t="str">
        <f t="shared" si="2"/>
        <v>77403</v>
      </c>
      <c r="D30" s="170">
        <v>7740</v>
      </c>
      <c r="E30" s="174">
        <v>2020110010089</v>
      </c>
      <c r="F30" s="170" t="s">
        <v>162</v>
      </c>
      <c r="G30" s="170" t="s">
        <v>63</v>
      </c>
      <c r="H30" s="170" t="s">
        <v>163</v>
      </c>
      <c r="I30" s="170" t="s">
        <v>164</v>
      </c>
      <c r="J30" s="170" t="s">
        <v>165</v>
      </c>
      <c r="K30" s="170" t="s">
        <v>166</v>
      </c>
      <c r="L30" s="170">
        <v>2</v>
      </c>
      <c r="M30" s="170" t="s">
        <v>175</v>
      </c>
      <c r="N30" s="170" t="s">
        <v>168</v>
      </c>
      <c r="O30" s="170">
        <v>3</v>
      </c>
      <c r="P30" s="170" t="s">
        <v>176</v>
      </c>
      <c r="Q30" s="170" t="s">
        <v>71</v>
      </c>
      <c r="R30" s="174">
        <v>113</v>
      </c>
      <c r="S30" s="170" t="s">
        <v>177</v>
      </c>
      <c r="T30" s="170" t="s">
        <v>178</v>
      </c>
      <c r="U30" s="170" t="s">
        <v>71</v>
      </c>
      <c r="V30" s="170">
        <v>4103006</v>
      </c>
      <c r="W30" s="170" t="s">
        <v>179</v>
      </c>
      <c r="X30" s="170" t="s">
        <v>180</v>
      </c>
      <c r="Y30" s="170" t="s">
        <v>57</v>
      </c>
      <c r="Z30" s="170" t="s">
        <v>173</v>
      </c>
      <c r="AA30" s="170">
        <v>1</v>
      </c>
    </row>
    <row r="31" spans="1:27" x14ac:dyDescent="0.3">
      <c r="A31" s="170" t="str">
        <f t="shared" si="0"/>
        <v>77404103052</v>
      </c>
      <c r="B31" s="170" t="str">
        <f t="shared" si="1"/>
        <v>7740114</v>
      </c>
      <c r="C31" s="174" t="str">
        <f t="shared" si="2"/>
        <v>77404</v>
      </c>
      <c r="D31" s="170">
        <v>7740</v>
      </c>
      <c r="E31" s="174">
        <v>2020110010089</v>
      </c>
      <c r="F31" s="170" t="s">
        <v>162</v>
      </c>
      <c r="G31" s="170" t="s">
        <v>63</v>
      </c>
      <c r="H31" s="170" t="s">
        <v>163</v>
      </c>
      <c r="I31" s="170" t="s">
        <v>164</v>
      </c>
      <c r="J31" s="170" t="s">
        <v>165</v>
      </c>
      <c r="K31" s="170" t="s">
        <v>166</v>
      </c>
      <c r="L31" s="170">
        <v>3</v>
      </c>
      <c r="M31" s="170" t="s">
        <v>181</v>
      </c>
      <c r="N31" s="170" t="s">
        <v>168</v>
      </c>
      <c r="O31" s="170">
        <v>4</v>
      </c>
      <c r="P31" s="170" t="s">
        <v>182</v>
      </c>
      <c r="Q31" s="170" t="s">
        <v>71</v>
      </c>
      <c r="R31" s="174">
        <v>114</v>
      </c>
      <c r="S31" s="170" t="s">
        <v>170</v>
      </c>
      <c r="T31" s="170" t="s">
        <v>171</v>
      </c>
      <c r="U31" s="170" t="s">
        <v>71</v>
      </c>
      <c r="V31" s="170">
        <v>4103052</v>
      </c>
      <c r="W31" s="170" t="s">
        <v>112</v>
      </c>
      <c r="X31" s="170" t="s">
        <v>183</v>
      </c>
      <c r="Y31" s="170" t="s">
        <v>57</v>
      </c>
      <c r="Z31" s="170" t="s">
        <v>173</v>
      </c>
      <c r="AA31" s="170">
        <v>1</v>
      </c>
    </row>
    <row r="32" spans="1:27" x14ac:dyDescent="0.3">
      <c r="A32" s="170" t="str">
        <f t="shared" si="0"/>
        <v>77404103052</v>
      </c>
      <c r="B32" s="170" t="str">
        <f t="shared" si="1"/>
        <v>7740110</v>
      </c>
      <c r="C32" s="174" t="str">
        <f t="shared" si="2"/>
        <v>77405</v>
      </c>
      <c r="D32" s="170">
        <v>7740</v>
      </c>
      <c r="E32" s="174">
        <v>2020110010089</v>
      </c>
      <c r="F32" s="170" t="s">
        <v>162</v>
      </c>
      <c r="G32" s="170" t="s">
        <v>63</v>
      </c>
      <c r="H32" s="170" t="s">
        <v>163</v>
      </c>
      <c r="I32" s="170" t="s">
        <v>164</v>
      </c>
      <c r="J32" s="170" t="s">
        <v>165</v>
      </c>
      <c r="K32" s="170" t="s">
        <v>166</v>
      </c>
      <c r="L32" s="170">
        <v>3</v>
      </c>
      <c r="M32" s="170" t="s">
        <v>181</v>
      </c>
      <c r="N32" s="170" t="s">
        <v>168</v>
      </c>
      <c r="O32" s="170">
        <v>5</v>
      </c>
      <c r="P32" s="170" t="s">
        <v>184</v>
      </c>
      <c r="Q32" s="170" t="s">
        <v>83</v>
      </c>
      <c r="R32" s="174">
        <v>110</v>
      </c>
      <c r="S32" s="170" t="s">
        <v>185</v>
      </c>
      <c r="T32" s="170" t="s">
        <v>186</v>
      </c>
      <c r="U32" s="170" t="s">
        <v>71</v>
      </c>
      <c r="V32" s="170">
        <v>4103052</v>
      </c>
      <c r="W32" s="170" t="s">
        <v>112</v>
      </c>
      <c r="X32" s="170" t="s">
        <v>183</v>
      </c>
      <c r="Y32" s="170" t="s">
        <v>57</v>
      </c>
      <c r="Z32" s="170" t="s">
        <v>58</v>
      </c>
      <c r="AA32" s="170">
        <v>16</v>
      </c>
    </row>
    <row r="33" spans="1:27" x14ac:dyDescent="0.3">
      <c r="A33" s="170" t="str">
        <f t="shared" si="0"/>
        <v>77414599007</v>
      </c>
      <c r="B33" s="170" t="str">
        <f t="shared" si="1"/>
        <v>7741412</v>
      </c>
      <c r="C33" s="174" t="str">
        <f t="shared" si="2"/>
        <v>77411</v>
      </c>
      <c r="D33" s="170">
        <v>7741</v>
      </c>
      <c r="E33" s="174">
        <v>2020110010088</v>
      </c>
      <c r="F33" s="170" t="s">
        <v>187</v>
      </c>
      <c r="G33" s="170" t="s">
        <v>115</v>
      </c>
      <c r="H33" s="170" t="s">
        <v>188</v>
      </c>
      <c r="I33" s="170" t="s">
        <v>117</v>
      </c>
      <c r="J33" s="170" t="s">
        <v>189</v>
      </c>
      <c r="K33" s="170" t="s">
        <v>190</v>
      </c>
      <c r="L33" s="170">
        <v>1</v>
      </c>
      <c r="M33" s="170" t="s">
        <v>68</v>
      </c>
      <c r="N33" s="170" t="s">
        <v>191</v>
      </c>
      <c r="O33" s="170">
        <v>1</v>
      </c>
      <c r="P33" s="170" t="s">
        <v>192</v>
      </c>
      <c r="Q33" s="170" t="s">
        <v>83</v>
      </c>
      <c r="R33" s="174">
        <v>412</v>
      </c>
      <c r="S33" s="170" t="s">
        <v>193</v>
      </c>
      <c r="T33" s="170" t="s">
        <v>194</v>
      </c>
      <c r="U33" s="170" t="s">
        <v>52</v>
      </c>
      <c r="V33" s="170">
        <v>4599007</v>
      </c>
      <c r="W33" s="170" t="s">
        <v>195</v>
      </c>
      <c r="X33" s="170" t="s">
        <v>196</v>
      </c>
      <c r="Y33" s="170" t="s">
        <v>197</v>
      </c>
      <c r="Z33" s="170" t="s">
        <v>75</v>
      </c>
      <c r="AA33" s="170">
        <v>9</v>
      </c>
    </row>
    <row r="34" spans="1:27" x14ac:dyDescent="0.3">
      <c r="A34" s="170" t="str">
        <f t="shared" si="0"/>
        <v>77414599025</v>
      </c>
      <c r="B34" s="170" t="str">
        <f t="shared" si="1"/>
        <v>7741412</v>
      </c>
      <c r="C34" s="174" t="str">
        <f t="shared" si="2"/>
        <v>77412</v>
      </c>
      <c r="D34" s="170">
        <v>7741</v>
      </c>
      <c r="E34" s="174">
        <v>2020110010088</v>
      </c>
      <c r="F34" s="170" t="s">
        <v>187</v>
      </c>
      <c r="G34" s="170" t="s">
        <v>115</v>
      </c>
      <c r="H34" s="170" t="s">
        <v>188</v>
      </c>
      <c r="I34" s="170" t="s">
        <v>117</v>
      </c>
      <c r="J34" s="170" t="s">
        <v>189</v>
      </c>
      <c r="K34" s="170" t="s">
        <v>190</v>
      </c>
      <c r="L34" s="170">
        <v>1</v>
      </c>
      <c r="M34" s="170" t="s">
        <v>68</v>
      </c>
      <c r="N34" s="170" t="s">
        <v>191</v>
      </c>
      <c r="O34" s="170">
        <v>2</v>
      </c>
      <c r="P34" s="170" t="s">
        <v>198</v>
      </c>
      <c r="Q34" s="170" t="s">
        <v>83</v>
      </c>
      <c r="R34" s="174">
        <v>412</v>
      </c>
      <c r="S34" s="170" t="s">
        <v>193</v>
      </c>
      <c r="T34" s="170" t="s">
        <v>194</v>
      </c>
      <c r="U34" s="170" t="s">
        <v>52</v>
      </c>
      <c r="V34" s="170">
        <v>4599025</v>
      </c>
      <c r="W34" s="170" t="s">
        <v>199</v>
      </c>
      <c r="X34" s="170" t="s">
        <v>200</v>
      </c>
      <c r="Y34" s="170" t="s">
        <v>57</v>
      </c>
      <c r="Z34" s="170" t="s">
        <v>75</v>
      </c>
      <c r="AA34" s="170">
        <v>9</v>
      </c>
    </row>
    <row r="35" spans="1:27" x14ac:dyDescent="0.3">
      <c r="A35" s="170" t="str">
        <f t="shared" ref="A35:A66" si="3">D35&amp;V35</f>
        <v>77414599026</v>
      </c>
      <c r="B35" s="170" t="str">
        <f t="shared" si="1"/>
        <v>7741411</v>
      </c>
      <c r="C35" s="174" t="str">
        <f t="shared" si="2"/>
        <v>77413</v>
      </c>
      <c r="D35" s="170">
        <v>7741</v>
      </c>
      <c r="E35" s="174">
        <v>2020110010088</v>
      </c>
      <c r="F35" s="170" t="s">
        <v>187</v>
      </c>
      <c r="G35" s="170" t="s">
        <v>115</v>
      </c>
      <c r="H35" s="170" t="s">
        <v>188</v>
      </c>
      <c r="I35" s="170" t="s">
        <v>117</v>
      </c>
      <c r="J35" s="170" t="s">
        <v>189</v>
      </c>
      <c r="K35" s="170" t="s">
        <v>190</v>
      </c>
      <c r="L35" s="170">
        <v>2</v>
      </c>
      <c r="M35" s="170" t="s">
        <v>79</v>
      </c>
      <c r="N35" s="170" t="s">
        <v>191</v>
      </c>
      <c r="O35" s="170">
        <v>3</v>
      </c>
      <c r="P35" s="170" t="s">
        <v>201</v>
      </c>
      <c r="Q35" s="170" t="s">
        <v>52</v>
      </c>
      <c r="R35" s="174">
        <v>411</v>
      </c>
      <c r="S35" s="170" t="s">
        <v>202</v>
      </c>
      <c r="T35" s="170" t="s">
        <v>203</v>
      </c>
      <c r="U35" s="170" t="s">
        <v>52</v>
      </c>
      <c r="V35" s="170">
        <v>4599026</v>
      </c>
      <c r="W35" s="170" t="s">
        <v>155</v>
      </c>
      <c r="X35" s="170" t="s">
        <v>204</v>
      </c>
      <c r="Y35" s="170" t="s">
        <v>57</v>
      </c>
      <c r="Z35" s="170" t="s">
        <v>173</v>
      </c>
      <c r="AA35" s="170">
        <v>1</v>
      </c>
    </row>
    <row r="36" spans="1:27" x14ac:dyDescent="0.3">
      <c r="A36" s="170" t="str">
        <f t="shared" si="3"/>
        <v>77414599018</v>
      </c>
      <c r="B36" s="170" t="str">
        <f t="shared" si="1"/>
        <v>7741411</v>
      </c>
      <c r="C36" s="174" t="str">
        <f t="shared" si="2"/>
        <v>77414</v>
      </c>
      <c r="D36" s="170">
        <v>7741</v>
      </c>
      <c r="E36" s="174">
        <v>2020110010088</v>
      </c>
      <c r="F36" s="170" t="s">
        <v>187</v>
      </c>
      <c r="G36" s="170" t="s">
        <v>115</v>
      </c>
      <c r="H36" s="170" t="s">
        <v>188</v>
      </c>
      <c r="I36" s="170" t="s">
        <v>117</v>
      </c>
      <c r="J36" s="170" t="s">
        <v>189</v>
      </c>
      <c r="K36" s="170" t="s">
        <v>190</v>
      </c>
      <c r="L36" s="170">
        <v>2</v>
      </c>
      <c r="M36" s="170" t="s">
        <v>79</v>
      </c>
      <c r="N36" s="170" t="s">
        <v>191</v>
      </c>
      <c r="O36" s="170">
        <v>4</v>
      </c>
      <c r="P36" s="170" t="s">
        <v>205</v>
      </c>
      <c r="Q36" s="170" t="s">
        <v>52</v>
      </c>
      <c r="R36" s="174">
        <v>411</v>
      </c>
      <c r="S36" s="170" t="s">
        <v>202</v>
      </c>
      <c r="T36" s="170" t="s">
        <v>203</v>
      </c>
      <c r="U36" s="170" t="s">
        <v>52</v>
      </c>
      <c r="V36" s="170">
        <v>4599018</v>
      </c>
      <c r="W36" s="170" t="s">
        <v>55</v>
      </c>
      <c r="X36" s="170" t="s">
        <v>206</v>
      </c>
      <c r="Y36" s="170" t="s">
        <v>57</v>
      </c>
      <c r="Z36" s="170" t="s">
        <v>173</v>
      </c>
      <c r="AA36" s="170">
        <v>1</v>
      </c>
    </row>
    <row r="37" spans="1:27" x14ac:dyDescent="0.3">
      <c r="A37" s="170" t="str">
        <f t="shared" si="3"/>
        <v>77414599031</v>
      </c>
      <c r="B37" s="170" t="str">
        <f t="shared" si="1"/>
        <v>7741412</v>
      </c>
      <c r="C37" s="174" t="str">
        <f t="shared" si="2"/>
        <v>77415</v>
      </c>
      <c r="D37" s="170">
        <v>7741</v>
      </c>
      <c r="E37" s="174">
        <v>2020110010088</v>
      </c>
      <c r="F37" s="170" t="s">
        <v>187</v>
      </c>
      <c r="G37" s="170" t="s">
        <v>115</v>
      </c>
      <c r="H37" s="170" t="s">
        <v>188</v>
      </c>
      <c r="I37" s="170" t="s">
        <v>117</v>
      </c>
      <c r="J37" s="170" t="s">
        <v>189</v>
      </c>
      <c r="K37" s="170" t="s">
        <v>190</v>
      </c>
      <c r="L37" s="170">
        <v>2</v>
      </c>
      <c r="M37" s="170" t="s">
        <v>79</v>
      </c>
      <c r="N37" s="170" t="s">
        <v>191</v>
      </c>
      <c r="O37" s="170">
        <v>5</v>
      </c>
      <c r="P37" s="170" t="s">
        <v>207</v>
      </c>
      <c r="Q37" s="170" t="s">
        <v>83</v>
      </c>
      <c r="R37" s="174">
        <v>412</v>
      </c>
      <c r="S37" s="170" t="s">
        <v>193</v>
      </c>
      <c r="T37" s="170" t="s">
        <v>194</v>
      </c>
      <c r="U37" s="170" t="s">
        <v>52</v>
      </c>
      <c r="V37" s="170">
        <v>4599031</v>
      </c>
      <c r="W37" s="170" t="s">
        <v>208</v>
      </c>
      <c r="X37" s="170" t="s">
        <v>209</v>
      </c>
      <c r="Y37" s="170" t="s">
        <v>57</v>
      </c>
      <c r="Z37" s="170" t="s">
        <v>75</v>
      </c>
      <c r="AA37" s="170">
        <v>9</v>
      </c>
    </row>
    <row r="38" spans="1:27" x14ac:dyDescent="0.3">
      <c r="A38" s="170" t="str">
        <f t="shared" si="3"/>
        <v>77414599023</v>
      </c>
      <c r="B38" s="170" t="str">
        <f t="shared" si="1"/>
        <v>7741412</v>
      </c>
      <c r="C38" s="174" t="str">
        <f t="shared" si="2"/>
        <v>77416</v>
      </c>
      <c r="D38" s="170">
        <v>7741</v>
      </c>
      <c r="E38" s="174">
        <v>2020110010088</v>
      </c>
      <c r="F38" s="170" t="s">
        <v>187</v>
      </c>
      <c r="G38" s="170" t="s">
        <v>115</v>
      </c>
      <c r="H38" s="170" t="s">
        <v>188</v>
      </c>
      <c r="I38" s="170" t="s">
        <v>117</v>
      </c>
      <c r="J38" s="170" t="s">
        <v>189</v>
      </c>
      <c r="K38" s="170" t="s">
        <v>190</v>
      </c>
      <c r="L38" s="170">
        <v>3</v>
      </c>
      <c r="M38" s="170" t="s">
        <v>85</v>
      </c>
      <c r="N38" s="170" t="s">
        <v>191</v>
      </c>
      <c r="O38" s="170">
        <v>6</v>
      </c>
      <c r="P38" s="170" t="s">
        <v>210</v>
      </c>
      <c r="Q38" s="170" t="s">
        <v>83</v>
      </c>
      <c r="R38" s="174">
        <v>412</v>
      </c>
      <c r="S38" s="170" t="s">
        <v>193</v>
      </c>
      <c r="T38" s="170" t="s">
        <v>194</v>
      </c>
      <c r="U38" s="170" t="s">
        <v>52</v>
      </c>
      <c r="V38" s="170">
        <v>4599023</v>
      </c>
      <c r="W38" s="170" t="s">
        <v>211</v>
      </c>
      <c r="X38" s="170" t="s">
        <v>212</v>
      </c>
      <c r="Y38" s="170" t="s">
        <v>57</v>
      </c>
      <c r="Z38" s="170" t="s">
        <v>75</v>
      </c>
      <c r="AA38" s="170">
        <v>9</v>
      </c>
    </row>
    <row r="39" spans="1:27" x14ac:dyDescent="0.3">
      <c r="A39" s="170" t="str">
        <f t="shared" si="3"/>
        <v>77414599023</v>
      </c>
      <c r="B39" s="170" t="str">
        <f t="shared" si="1"/>
        <v>7741412</v>
      </c>
      <c r="C39" s="174" t="str">
        <f t="shared" si="2"/>
        <v>77417</v>
      </c>
      <c r="D39" s="170">
        <v>7741</v>
      </c>
      <c r="E39" s="174">
        <v>2020110010088</v>
      </c>
      <c r="F39" s="170" t="s">
        <v>187</v>
      </c>
      <c r="G39" s="170" t="s">
        <v>115</v>
      </c>
      <c r="H39" s="170" t="s">
        <v>188</v>
      </c>
      <c r="I39" s="170" t="s">
        <v>117</v>
      </c>
      <c r="J39" s="170" t="s">
        <v>189</v>
      </c>
      <c r="K39" s="170" t="s">
        <v>190</v>
      </c>
      <c r="L39" s="170">
        <v>3</v>
      </c>
      <c r="M39" s="170" t="s">
        <v>85</v>
      </c>
      <c r="N39" s="170" t="s">
        <v>191</v>
      </c>
      <c r="O39" s="170">
        <v>7</v>
      </c>
      <c r="P39" s="170" t="s">
        <v>213</v>
      </c>
      <c r="Q39" s="170" t="s">
        <v>71</v>
      </c>
      <c r="R39" s="174">
        <v>412</v>
      </c>
      <c r="S39" s="170" t="s">
        <v>193</v>
      </c>
      <c r="T39" s="170" t="s">
        <v>194</v>
      </c>
      <c r="U39" s="170" t="s">
        <v>52</v>
      </c>
      <c r="V39" s="170">
        <v>4599023</v>
      </c>
      <c r="W39" s="170" t="s">
        <v>211</v>
      </c>
      <c r="X39" s="170" t="s">
        <v>212</v>
      </c>
      <c r="Y39" s="170" t="s">
        <v>57</v>
      </c>
      <c r="Z39" s="170" t="s">
        <v>75</v>
      </c>
      <c r="AA39" s="170">
        <v>9</v>
      </c>
    </row>
    <row r="40" spans="1:27" x14ac:dyDescent="0.3">
      <c r="A40" s="170" t="str">
        <f t="shared" si="3"/>
        <v>77414599020</v>
      </c>
      <c r="B40" s="170" t="str">
        <f t="shared" si="1"/>
        <v>7741412</v>
      </c>
      <c r="C40" s="174" t="str">
        <f t="shared" si="2"/>
        <v>77418</v>
      </c>
      <c r="D40" s="170">
        <v>7741</v>
      </c>
      <c r="E40" s="174">
        <v>2020110010088</v>
      </c>
      <c r="F40" s="170" t="s">
        <v>187</v>
      </c>
      <c r="G40" s="170" t="s">
        <v>115</v>
      </c>
      <c r="H40" s="170" t="s">
        <v>188</v>
      </c>
      <c r="I40" s="170" t="s">
        <v>117</v>
      </c>
      <c r="J40" s="170" t="s">
        <v>189</v>
      </c>
      <c r="K40" s="170" t="s">
        <v>190</v>
      </c>
      <c r="L40" s="170">
        <v>4</v>
      </c>
      <c r="M40" s="170" t="s">
        <v>88</v>
      </c>
      <c r="N40" s="170" t="s">
        <v>191</v>
      </c>
      <c r="O40" s="170">
        <v>8</v>
      </c>
      <c r="P40" s="170" t="s">
        <v>214</v>
      </c>
      <c r="Q40" s="170" t="s">
        <v>83</v>
      </c>
      <c r="R40" s="174">
        <v>412</v>
      </c>
      <c r="S40" s="170" t="s">
        <v>193</v>
      </c>
      <c r="T40" s="170" t="s">
        <v>194</v>
      </c>
      <c r="U40" s="170" t="s">
        <v>52</v>
      </c>
      <c r="V40" s="170">
        <v>4599020</v>
      </c>
      <c r="W40" s="170" t="s">
        <v>61</v>
      </c>
      <c r="X40" s="170" t="s">
        <v>215</v>
      </c>
      <c r="Y40" s="170" t="s">
        <v>57</v>
      </c>
      <c r="Z40" s="170" t="s">
        <v>75</v>
      </c>
      <c r="AA40" s="170">
        <v>9</v>
      </c>
    </row>
    <row r="41" spans="1:27" x14ac:dyDescent="0.3">
      <c r="A41" s="170" t="str">
        <f t="shared" si="3"/>
        <v>77444102035</v>
      </c>
      <c r="B41" s="170" t="str">
        <f t="shared" si="1"/>
        <v>774441</v>
      </c>
      <c r="C41" s="174" t="str">
        <f t="shared" si="2"/>
        <v>77441</v>
      </c>
      <c r="D41" s="170">
        <v>7744</v>
      </c>
      <c r="E41" s="174">
        <v>2020110010075</v>
      </c>
      <c r="F41" s="170" t="s">
        <v>216</v>
      </c>
      <c r="G41" s="170" t="s">
        <v>63</v>
      </c>
      <c r="H41" s="170" t="s">
        <v>64</v>
      </c>
      <c r="I41" s="170" t="s">
        <v>65</v>
      </c>
      <c r="J41" s="170" t="s">
        <v>66</v>
      </c>
      <c r="K41" s="170" t="s">
        <v>217</v>
      </c>
      <c r="L41" s="170">
        <v>4</v>
      </c>
      <c r="M41" s="170" t="s">
        <v>218</v>
      </c>
      <c r="N41" s="170" t="s">
        <v>219</v>
      </c>
      <c r="O41" s="170">
        <v>1</v>
      </c>
      <c r="P41" s="170" t="s">
        <v>220</v>
      </c>
      <c r="Q41" s="170" t="s">
        <v>52</v>
      </c>
      <c r="R41" s="174">
        <v>41</v>
      </c>
      <c r="S41" s="170" t="s">
        <v>221</v>
      </c>
      <c r="T41" s="170" t="s">
        <v>222</v>
      </c>
      <c r="U41" s="170" t="s">
        <v>52</v>
      </c>
      <c r="V41" s="170">
        <v>4102035</v>
      </c>
      <c r="W41" s="170" t="s">
        <v>55</v>
      </c>
      <c r="X41" s="170" t="s">
        <v>206</v>
      </c>
      <c r="Y41" s="170" t="s">
        <v>57</v>
      </c>
      <c r="Z41" s="170" t="s">
        <v>173</v>
      </c>
      <c r="AA41" s="170">
        <v>1</v>
      </c>
    </row>
    <row r="42" spans="1:27" x14ac:dyDescent="0.3">
      <c r="A42" s="170" t="str">
        <f t="shared" si="3"/>
        <v>77444102001</v>
      </c>
      <c r="B42" s="170" t="str">
        <f t="shared" si="1"/>
        <v>774442</v>
      </c>
      <c r="C42" s="174" t="str">
        <f t="shared" si="2"/>
        <v>77442</v>
      </c>
      <c r="D42" s="170">
        <v>7744</v>
      </c>
      <c r="E42" s="174">
        <v>2020110010075</v>
      </c>
      <c r="F42" s="170" t="s">
        <v>216</v>
      </c>
      <c r="G42" s="170" t="s">
        <v>63</v>
      </c>
      <c r="H42" s="170" t="s">
        <v>64</v>
      </c>
      <c r="I42" s="170" t="s">
        <v>65</v>
      </c>
      <c r="J42" s="170" t="s">
        <v>66</v>
      </c>
      <c r="K42" s="170" t="s">
        <v>217</v>
      </c>
      <c r="L42" s="170">
        <v>3</v>
      </c>
      <c r="M42" s="170" t="s">
        <v>223</v>
      </c>
      <c r="N42" s="170" t="s">
        <v>219</v>
      </c>
      <c r="O42" s="170">
        <v>2</v>
      </c>
      <c r="P42" s="170" t="s">
        <v>224</v>
      </c>
      <c r="Q42" s="170" t="s">
        <v>83</v>
      </c>
      <c r="R42" s="174">
        <v>42</v>
      </c>
      <c r="S42" s="170" t="s">
        <v>225</v>
      </c>
      <c r="T42" s="170" t="s">
        <v>226</v>
      </c>
      <c r="U42" s="170" t="s">
        <v>83</v>
      </c>
      <c r="V42" s="170">
        <v>4102001</v>
      </c>
      <c r="W42" s="170" t="s">
        <v>227</v>
      </c>
      <c r="X42" s="170" t="s">
        <v>228</v>
      </c>
      <c r="Y42" s="170" t="s">
        <v>57</v>
      </c>
      <c r="Z42" s="170" t="s">
        <v>173</v>
      </c>
      <c r="AA42" s="170">
        <v>1</v>
      </c>
    </row>
    <row r="43" spans="1:27" x14ac:dyDescent="0.3">
      <c r="A43" s="170" t="str">
        <f t="shared" si="3"/>
        <v>77444102001</v>
      </c>
      <c r="B43" s="170" t="str">
        <f t="shared" si="1"/>
        <v>774442</v>
      </c>
      <c r="C43" s="174" t="str">
        <f t="shared" si="2"/>
        <v>77443</v>
      </c>
      <c r="D43" s="170">
        <v>7744</v>
      </c>
      <c r="E43" s="174">
        <v>2020110010075</v>
      </c>
      <c r="F43" s="170" t="s">
        <v>216</v>
      </c>
      <c r="G43" s="170" t="s">
        <v>63</v>
      </c>
      <c r="H43" s="170" t="s">
        <v>64</v>
      </c>
      <c r="I43" s="170" t="s">
        <v>65</v>
      </c>
      <c r="J43" s="170" t="s">
        <v>66</v>
      </c>
      <c r="K43" s="170" t="s">
        <v>217</v>
      </c>
      <c r="L43" s="170">
        <v>3</v>
      </c>
      <c r="M43" s="170" t="s">
        <v>223</v>
      </c>
      <c r="N43" s="170" t="s">
        <v>219</v>
      </c>
      <c r="O43" s="170">
        <v>3</v>
      </c>
      <c r="P43" s="405" t="s">
        <v>3884</v>
      </c>
      <c r="Q43" s="170" t="s">
        <v>52</v>
      </c>
      <c r="R43" s="174">
        <v>42</v>
      </c>
      <c r="S43" s="170" t="s">
        <v>225</v>
      </c>
      <c r="T43" s="170" t="s">
        <v>226</v>
      </c>
      <c r="U43" s="170" t="s">
        <v>83</v>
      </c>
      <c r="V43" s="170">
        <v>4102001</v>
      </c>
      <c r="W43" s="170" t="s">
        <v>227</v>
      </c>
      <c r="X43" s="170" t="s">
        <v>228</v>
      </c>
      <c r="Y43" s="170" t="s">
        <v>57</v>
      </c>
      <c r="Z43" s="170" t="s">
        <v>173</v>
      </c>
      <c r="AA43" s="170">
        <v>1</v>
      </c>
    </row>
    <row r="44" spans="1:27" x14ac:dyDescent="0.3">
      <c r="A44" s="170" t="str">
        <f t="shared" si="3"/>
        <v>77444102001</v>
      </c>
      <c r="B44" s="170" t="str">
        <f t="shared" si="1"/>
        <v>774442</v>
      </c>
      <c r="C44" s="174" t="str">
        <f t="shared" si="2"/>
        <v>77444</v>
      </c>
      <c r="D44" s="170">
        <v>7744</v>
      </c>
      <c r="E44" s="174">
        <v>2020110010075</v>
      </c>
      <c r="F44" s="170" t="s">
        <v>216</v>
      </c>
      <c r="G44" s="170" t="s">
        <v>63</v>
      </c>
      <c r="H44" s="170" t="s">
        <v>64</v>
      </c>
      <c r="I44" s="170" t="s">
        <v>65</v>
      </c>
      <c r="J44" s="170" t="s">
        <v>66</v>
      </c>
      <c r="K44" s="170" t="s">
        <v>217</v>
      </c>
      <c r="L44" s="170">
        <v>3</v>
      </c>
      <c r="M44" s="170" t="s">
        <v>223</v>
      </c>
      <c r="N44" s="170" t="s">
        <v>219</v>
      </c>
      <c r="O44" s="170">
        <v>4</v>
      </c>
      <c r="P44" s="170" t="s">
        <v>230</v>
      </c>
      <c r="Q44" s="170" t="s">
        <v>52</v>
      </c>
      <c r="R44" s="174">
        <v>42</v>
      </c>
      <c r="S44" s="170" t="s">
        <v>225</v>
      </c>
      <c r="T44" s="170" t="s">
        <v>226</v>
      </c>
      <c r="U44" s="170" t="s">
        <v>83</v>
      </c>
      <c r="V44" s="170">
        <v>4102001</v>
      </c>
      <c r="W44" s="170" t="s">
        <v>227</v>
      </c>
      <c r="X44" s="170" t="s">
        <v>228</v>
      </c>
      <c r="Y44" s="170" t="s">
        <v>57</v>
      </c>
      <c r="Z44" s="170" t="s">
        <v>173</v>
      </c>
      <c r="AA44" s="170">
        <v>1</v>
      </c>
    </row>
    <row r="45" spans="1:27" x14ac:dyDescent="0.3">
      <c r="A45" s="170" t="str">
        <f t="shared" si="3"/>
        <v>77444102045</v>
      </c>
      <c r="B45" s="170" t="str">
        <f t="shared" si="1"/>
        <v>774443</v>
      </c>
      <c r="C45" s="174" t="str">
        <f t="shared" si="2"/>
        <v>77445</v>
      </c>
      <c r="D45" s="170">
        <v>7744</v>
      </c>
      <c r="E45" s="174">
        <v>2020110010075</v>
      </c>
      <c r="F45" s="170" t="s">
        <v>216</v>
      </c>
      <c r="G45" s="170" t="s">
        <v>63</v>
      </c>
      <c r="H45" s="170" t="s">
        <v>64</v>
      </c>
      <c r="I45" s="170" t="s">
        <v>65</v>
      </c>
      <c r="J45" s="170" t="s">
        <v>66</v>
      </c>
      <c r="K45" s="170" t="s">
        <v>217</v>
      </c>
      <c r="L45" s="170">
        <v>1</v>
      </c>
      <c r="M45" s="170" t="s">
        <v>231</v>
      </c>
      <c r="N45" s="170" t="s">
        <v>219</v>
      </c>
      <c r="O45" s="170">
        <v>5</v>
      </c>
      <c r="P45" s="405" t="s">
        <v>3885</v>
      </c>
      <c r="Q45" s="170" t="s">
        <v>52</v>
      </c>
      <c r="R45" s="174">
        <v>43</v>
      </c>
      <c r="S45" s="170" t="s">
        <v>233</v>
      </c>
      <c r="T45" s="170" t="s">
        <v>234</v>
      </c>
      <c r="U45" s="170" t="s">
        <v>52</v>
      </c>
      <c r="V45" s="170">
        <v>4102045</v>
      </c>
      <c r="W45" s="170" t="s">
        <v>235</v>
      </c>
      <c r="X45" s="170" t="s">
        <v>236</v>
      </c>
      <c r="Y45" s="170" t="s">
        <v>57</v>
      </c>
      <c r="Z45" s="170" t="s">
        <v>173</v>
      </c>
      <c r="AA45" s="170">
        <v>1</v>
      </c>
    </row>
    <row r="46" spans="1:27" x14ac:dyDescent="0.3">
      <c r="A46" s="170" t="str">
        <f t="shared" si="3"/>
        <v>77444102038</v>
      </c>
      <c r="B46" s="170" t="str">
        <f t="shared" si="1"/>
        <v>774447</v>
      </c>
      <c r="C46" s="174" t="str">
        <f t="shared" si="2"/>
        <v>77446</v>
      </c>
      <c r="D46" s="170">
        <v>7744</v>
      </c>
      <c r="E46" s="174">
        <v>2020110010075</v>
      </c>
      <c r="F46" s="170" t="s">
        <v>216</v>
      </c>
      <c r="G46" s="170" t="s">
        <v>63</v>
      </c>
      <c r="H46" s="170" t="s">
        <v>64</v>
      </c>
      <c r="I46" s="170" t="s">
        <v>65</v>
      </c>
      <c r="J46" s="170" t="s">
        <v>66</v>
      </c>
      <c r="K46" s="170" t="s">
        <v>217</v>
      </c>
      <c r="L46" s="170">
        <v>2</v>
      </c>
      <c r="M46" s="170" t="s">
        <v>237</v>
      </c>
      <c r="N46" s="170" t="s">
        <v>219</v>
      </c>
      <c r="O46" s="170">
        <v>6</v>
      </c>
      <c r="P46" s="170" t="s">
        <v>238</v>
      </c>
      <c r="Q46" s="170" t="s">
        <v>52</v>
      </c>
      <c r="R46" s="174">
        <v>47</v>
      </c>
      <c r="S46" s="170" t="s">
        <v>239</v>
      </c>
      <c r="T46" s="170" t="s">
        <v>240</v>
      </c>
      <c r="U46" s="170" t="s">
        <v>52</v>
      </c>
      <c r="V46" s="170">
        <v>4102038</v>
      </c>
      <c r="W46" s="170" t="s">
        <v>241</v>
      </c>
      <c r="X46" s="170" t="s">
        <v>242</v>
      </c>
      <c r="Y46" s="170" t="s">
        <v>57</v>
      </c>
      <c r="Z46" s="170" t="s">
        <v>58</v>
      </c>
      <c r="AA46" s="170">
        <v>16</v>
      </c>
    </row>
    <row r="47" spans="1:27" x14ac:dyDescent="0.3">
      <c r="A47" s="170" t="str">
        <f t="shared" si="3"/>
        <v>77454103061</v>
      </c>
      <c r="B47" s="170" t="str">
        <f t="shared" si="1"/>
        <v>774546</v>
      </c>
      <c r="C47" s="174" t="str">
        <f t="shared" si="2"/>
        <v>77451</v>
      </c>
      <c r="D47" s="170">
        <v>7745</v>
      </c>
      <c r="E47" s="174">
        <v>2020110010079</v>
      </c>
      <c r="F47" s="170" t="s">
        <v>243</v>
      </c>
      <c r="G47" s="170" t="s">
        <v>63</v>
      </c>
      <c r="H47" s="170" t="s">
        <v>64</v>
      </c>
      <c r="I47" s="170" t="s">
        <v>65</v>
      </c>
      <c r="J47" s="170" t="s">
        <v>66</v>
      </c>
      <c r="K47" s="170" t="s">
        <v>244</v>
      </c>
      <c r="L47" s="170">
        <v>1</v>
      </c>
      <c r="M47" s="170" t="s">
        <v>245</v>
      </c>
      <c r="N47" s="170" t="s">
        <v>246</v>
      </c>
      <c r="O47" s="170">
        <v>1</v>
      </c>
      <c r="P47" s="170" t="s">
        <v>247</v>
      </c>
      <c r="Q47" s="170" t="s">
        <v>71</v>
      </c>
      <c r="R47" s="174">
        <v>46</v>
      </c>
      <c r="S47" s="170" t="s">
        <v>248</v>
      </c>
      <c r="T47" s="170" t="s">
        <v>249</v>
      </c>
      <c r="U47" s="170" t="s">
        <v>71</v>
      </c>
      <c r="V47" s="170">
        <v>4103061</v>
      </c>
      <c r="W47" s="170" t="s">
        <v>250</v>
      </c>
      <c r="X47" s="170" t="s">
        <v>251</v>
      </c>
      <c r="Y47" s="170" t="s">
        <v>57</v>
      </c>
      <c r="Z47" s="170" t="s">
        <v>173</v>
      </c>
      <c r="AA47" s="170">
        <v>1</v>
      </c>
    </row>
    <row r="48" spans="1:27" x14ac:dyDescent="0.3">
      <c r="A48" s="170" t="str">
        <f t="shared" si="3"/>
        <v>77454103017</v>
      </c>
      <c r="B48" s="170" t="str">
        <f t="shared" si="1"/>
        <v>774550</v>
      </c>
      <c r="C48" s="174" t="str">
        <f t="shared" si="2"/>
        <v>77452</v>
      </c>
      <c r="D48" s="170">
        <v>7745</v>
      </c>
      <c r="E48" s="174">
        <v>2020110010079</v>
      </c>
      <c r="F48" s="170" t="s">
        <v>243</v>
      </c>
      <c r="G48" s="170" t="s">
        <v>63</v>
      </c>
      <c r="H48" s="170" t="s">
        <v>64</v>
      </c>
      <c r="I48" s="170" t="s">
        <v>65</v>
      </c>
      <c r="J48" s="170" t="s">
        <v>66</v>
      </c>
      <c r="K48" s="170" t="s">
        <v>244</v>
      </c>
      <c r="L48" s="170">
        <v>1</v>
      </c>
      <c r="M48" s="170" t="s">
        <v>245</v>
      </c>
      <c r="N48" s="170" t="s">
        <v>246</v>
      </c>
      <c r="O48" s="170">
        <v>2</v>
      </c>
      <c r="P48" s="170" t="s">
        <v>252</v>
      </c>
      <c r="Q48" s="170" t="s">
        <v>83</v>
      </c>
      <c r="R48" s="174">
        <v>50</v>
      </c>
      <c r="S48" s="170" t="s">
        <v>253</v>
      </c>
      <c r="T48" s="170" t="s">
        <v>254</v>
      </c>
      <c r="U48" s="170" t="s">
        <v>83</v>
      </c>
      <c r="V48" s="170">
        <v>4103017</v>
      </c>
      <c r="W48" s="170" t="s">
        <v>255</v>
      </c>
      <c r="X48" s="170" t="s">
        <v>256</v>
      </c>
      <c r="Y48" s="170" t="s">
        <v>57</v>
      </c>
      <c r="Z48" s="170" t="s">
        <v>257</v>
      </c>
      <c r="AA48" s="170">
        <v>2</v>
      </c>
    </row>
    <row r="49" spans="1:27" x14ac:dyDescent="0.3">
      <c r="A49" s="170" t="str">
        <f t="shared" si="3"/>
        <v>77454103019</v>
      </c>
      <c r="B49" s="170" t="str">
        <f t="shared" si="1"/>
        <v>774550</v>
      </c>
      <c r="C49" s="174" t="str">
        <f t="shared" si="2"/>
        <v>77453</v>
      </c>
      <c r="D49" s="170">
        <v>7745</v>
      </c>
      <c r="E49" s="174">
        <v>2020110010079</v>
      </c>
      <c r="F49" s="170" t="s">
        <v>243</v>
      </c>
      <c r="G49" s="170" t="s">
        <v>63</v>
      </c>
      <c r="H49" s="170" t="s">
        <v>64</v>
      </c>
      <c r="I49" s="170" t="s">
        <v>65</v>
      </c>
      <c r="J49" s="170" t="s">
        <v>66</v>
      </c>
      <c r="K49" s="170" t="s">
        <v>244</v>
      </c>
      <c r="L49" s="170">
        <v>1</v>
      </c>
      <c r="M49" s="170" t="s">
        <v>245</v>
      </c>
      <c r="N49" s="170" t="s">
        <v>246</v>
      </c>
      <c r="O49" s="170">
        <v>3</v>
      </c>
      <c r="P49" s="170" t="s">
        <v>258</v>
      </c>
      <c r="Q49" s="170" t="s">
        <v>52</v>
      </c>
      <c r="R49" s="174">
        <v>50</v>
      </c>
      <c r="S49" s="170" t="s">
        <v>253</v>
      </c>
      <c r="T49" s="170" t="s">
        <v>254</v>
      </c>
      <c r="U49" s="170" t="s">
        <v>83</v>
      </c>
      <c r="V49" s="170">
        <v>4103019</v>
      </c>
      <c r="W49" s="170" t="s">
        <v>259</v>
      </c>
      <c r="X49" s="170" t="s">
        <v>259</v>
      </c>
      <c r="Y49" s="170" t="s">
        <v>57</v>
      </c>
      <c r="Z49" s="170" t="s">
        <v>257</v>
      </c>
      <c r="AA49" s="170">
        <v>2</v>
      </c>
    </row>
    <row r="50" spans="1:27" x14ac:dyDescent="0.3">
      <c r="A50" s="170" t="str">
        <f t="shared" si="3"/>
        <v>77454103051</v>
      </c>
      <c r="B50" s="170" t="str">
        <f t="shared" si="1"/>
        <v>774551</v>
      </c>
      <c r="C50" s="174" t="str">
        <f t="shared" si="2"/>
        <v>77454</v>
      </c>
      <c r="D50" s="170">
        <v>7745</v>
      </c>
      <c r="E50" s="174">
        <v>2020110010079</v>
      </c>
      <c r="F50" s="170" t="s">
        <v>243</v>
      </c>
      <c r="G50" s="170" t="s">
        <v>63</v>
      </c>
      <c r="H50" s="170" t="s">
        <v>64</v>
      </c>
      <c r="I50" s="170" t="s">
        <v>65</v>
      </c>
      <c r="J50" s="170" t="s">
        <v>66</v>
      </c>
      <c r="K50" s="170" t="s">
        <v>244</v>
      </c>
      <c r="L50" s="170">
        <v>1</v>
      </c>
      <c r="M50" s="170" t="s">
        <v>245</v>
      </c>
      <c r="N50" s="170" t="s">
        <v>246</v>
      </c>
      <c r="O50" s="170">
        <v>4</v>
      </c>
      <c r="P50" s="170" t="s">
        <v>260</v>
      </c>
      <c r="Q50" s="170" t="s">
        <v>83</v>
      </c>
      <c r="R50" s="174">
        <v>51</v>
      </c>
      <c r="S50" s="170" t="s">
        <v>261</v>
      </c>
      <c r="T50" s="170" t="s">
        <v>262</v>
      </c>
      <c r="U50" s="170" t="s">
        <v>83</v>
      </c>
      <c r="V50" s="170">
        <v>4103051</v>
      </c>
      <c r="W50" s="170" t="s">
        <v>263</v>
      </c>
      <c r="X50" s="170" t="s">
        <v>264</v>
      </c>
      <c r="Y50" s="170" t="s">
        <v>57</v>
      </c>
      <c r="Z50" s="170" t="s">
        <v>257</v>
      </c>
      <c r="AA50" s="170">
        <v>2</v>
      </c>
    </row>
    <row r="51" spans="1:27" x14ac:dyDescent="0.3">
      <c r="A51" s="170" t="str">
        <f t="shared" si="3"/>
        <v>77454103051</v>
      </c>
      <c r="B51" s="170" t="str">
        <f t="shared" si="1"/>
        <v>774564</v>
      </c>
      <c r="C51" s="174" t="str">
        <f t="shared" si="2"/>
        <v>77455</v>
      </c>
      <c r="D51" s="170">
        <v>7745</v>
      </c>
      <c r="E51" s="174">
        <v>2020110010079</v>
      </c>
      <c r="F51" s="170" t="s">
        <v>243</v>
      </c>
      <c r="G51" s="170" t="s">
        <v>63</v>
      </c>
      <c r="H51" s="170" t="s">
        <v>64</v>
      </c>
      <c r="I51" s="170" t="s">
        <v>65</v>
      </c>
      <c r="J51" s="170" t="s">
        <v>66</v>
      </c>
      <c r="K51" s="170" t="s">
        <v>244</v>
      </c>
      <c r="L51" s="170">
        <v>1</v>
      </c>
      <c r="M51" s="170" t="s">
        <v>245</v>
      </c>
      <c r="N51" s="170" t="s">
        <v>246</v>
      </c>
      <c r="O51" s="170">
        <v>5</v>
      </c>
      <c r="P51" s="170" t="s">
        <v>265</v>
      </c>
      <c r="Q51" s="170" t="s">
        <v>83</v>
      </c>
      <c r="R51" s="174">
        <v>64</v>
      </c>
      <c r="S51" s="170" t="s">
        <v>266</v>
      </c>
      <c r="T51" s="170" t="s">
        <v>267</v>
      </c>
      <c r="U51" s="170" t="s">
        <v>83</v>
      </c>
      <c r="V51" s="170">
        <v>4103051</v>
      </c>
      <c r="W51" s="170" t="s">
        <v>263</v>
      </c>
      <c r="X51" s="170" t="s">
        <v>264</v>
      </c>
      <c r="Y51" s="170" t="s">
        <v>57</v>
      </c>
      <c r="Z51" s="170" t="s">
        <v>257</v>
      </c>
      <c r="AA51" s="170">
        <v>2</v>
      </c>
    </row>
    <row r="52" spans="1:27" x14ac:dyDescent="0.3">
      <c r="A52" s="170" t="str">
        <f t="shared" si="3"/>
        <v>77454103051</v>
      </c>
      <c r="B52" s="170" t="str">
        <f t="shared" si="1"/>
        <v>774564</v>
      </c>
      <c r="C52" s="174" t="str">
        <f t="shared" si="2"/>
        <v>77456</v>
      </c>
      <c r="D52" s="170">
        <v>7745</v>
      </c>
      <c r="E52" s="174">
        <v>2020110010079</v>
      </c>
      <c r="F52" s="170" t="s">
        <v>243</v>
      </c>
      <c r="G52" s="170" t="s">
        <v>63</v>
      </c>
      <c r="H52" s="170" t="s">
        <v>64</v>
      </c>
      <c r="I52" s="170" t="s">
        <v>65</v>
      </c>
      <c r="J52" s="170" t="s">
        <v>66</v>
      </c>
      <c r="K52" s="170" t="s">
        <v>244</v>
      </c>
      <c r="L52" s="170">
        <v>1</v>
      </c>
      <c r="M52" s="170" t="s">
        <v>245</v>
      </c>
      <c r="N52" s="170" t="s">
        <v>246</v>
      </c>
      <c r="O52" s="170">
        <v>6</v>
      </c>
      <c r="P52" s="170" t="s">
        <v>268</v>
      </c>
      <c r="Q52" s="170" t="s">
        <v>83</v>
      </c>
      <c r="R52" s="174">
        <v>64</v>
      </c>
      <c r="S52" s="170" t="s">
        <v>266</v>
      </c>
      <c r="T52" s="170" t="s">
        <v>267</v>
      </c>
      <c r="U52" s="170" t="s">
        <v>83</v>
      </c>
      <c r="V52" s="170">
        <v>4103051</v>
      </c>
      <c r="W52" s="170" t="s">
        <v>263</v>
      </c>
      <c r="X52" s="170" t="s">
        <v>264</v>
      </c>
      <c r="Y52" s="170" t="s">
        <v>57</v>
      </c>
      <c r="Z52" s="170" t="s">
        <v>257</v>
      </c>
      <c r="AA52" s="170">
        <v>2</v>
      </c>
    </row>
    <row r="53" spans="1:27" x14ac:dyDescent="0.3">
      <c r="A53" s="170" t="str">
        <f t="shared" si="3"/>
        <v>77454103053</v>
      </c>
      <c r="B53" s="170" t="str">
        <f t="shared" si="1"/>
        <v>774551</v>
      </c>
      <c r="C53" s="174" t="str">
        <f t="shared" si="2"/>
        <v>77457</v>
      </c>
      <c r="D53" s="170">
        <v>7745</v>
      </c>
      <c r="E53" s="174">
        <v>2020110010079</v>
      </c>
      <c r="F53" s="170" t="s">
        <v>243</v>
      </c>
      <c r="G53" s="170" t="s">
        <v>63</v>
      </c>
      <c r="H53" s="170" t="s">
        <v>64</v>
      </c>
      <c r="I53" s="170" t="s">
        <v>65</v>
      </c>
      <c r="J53" s="170" t="s">
        <v>66</v>
      </c>
      <c r="K53" s="170" t="s">
        <v>244</v>
      </c>
      <c r="L53" s="170">
        <v>2</v>
      </c>
      <c r="M53" s="170" t="s">
        <v>269</v>
      </c>
      <c r="N53" s="170" t="s">
        <v>246</v>
      </c>
      <c r="O53" s="170">
        <v>7</v>
      </c>
      <c r="P53" s="170" t="s">
        <v>270</v>
      </c>
      <c r="Q53" s="170" t="s">
        <v>71</v>
      </c>
      <c r="R53" s="174">
        <v>51</v>
      </c>
      <c r="S53" s="170" t="s">
        <v>261</v>
      </c>
      <c r="T53" s="170" t="s">
        <v>262</v>
      </c>
      <c r="U53" s="170" t="s">
        <v>83</v>
      </c>
      <c r="V53" s="170">
        <v>4103053</v>
      </c>
      <c r="W53" s="170" t="s">
        <v>271</v>
      </c>
      <c r="X53" s="170" t="s">
        <v>272</v>
      </c>
      <c r="Y53" s="170" t="s">
        <v>57</v>
      </c>
      <c r="Z53" s="170" t="s">
        <v>257</v>
      </c>
      <c r="AA53" s="170">
        <v>2</v>
      </c>
    </row>
    <row r="54" spans="1:27" x14ac:dyDescent="0.3">
      <c r="A54" s="170" t="str">
        <f t="shared" si="3"/>
        <v>77454103053</v>
      </c>
      <c r="B54" s="170" t="str">
        <f t="shared" si="1"/>
        <v>774551</v>
      </c>
      <c r="C54" s="174" t="str">
        <f t="shared" si="2"/>
        <v>77458</v>
      </c>
      <c r="D54" s="170">
        <v>7745</v>
      </c>
      <c r="E54" s="174">
        <v>2020110010079</v>
      </c>
      <c r="F54" s="170" t="s">
        <v>243</v>
      </c>
      <c r="G54" s="170" t="s">
        <v>63</v>
      </c>
      <c r="H54" s="170" t="s">
        <v>64</v>
      </c>
      <c r="I54" s="170" t="s">
        <v>65</v>
      </c>
      <c r="J54" s="170" t="s">
        <v>66</v>
      </c>
      <c r="K54" s="170" t="s">
        <v>244</v>
      </c>
      <c r="L54" s="170">
        <v>2</v>
      </c>
      <c r="M54" s="170" t="s">
        <v>269</v>
      </c>
      <c r="N54" s="170" t="s">
        <v>246</v>
      </c>
      <c r="O54" s="170">
        <v>8</v>
      </c>
      <c r="P54" s="170" t="s">
        <v>273</v>
      </c>
      <c r="Q54" s="170" t="s">
        <v>71</v>
      </c>
      <c r="R54" s="174">
        <v>51</v>
      </c>
      <c r="S54" s="170" t="s">
        <v>261</v>
      </c>
      <c r="T54" s="170" t="s">
        <v>262</v>
      </c>
      <c r="U54" s="170" t="s">
        <v>83</v>
      </c>
      <c r="V54" s="170">
        <v>4103053</v>
      </c>
      <c r="W54" s="170" t="s">
        <v>271</v>
      </c>
      <c r="X54" s="170" t="s">
        <v>272</v>
      </c>
      <c r="Y54" s="170" t="s">
        <v>57</v>
      </c>
      <c r="Z54" s="170" t="s">
        <v>257</v>
      </c>
      <c r="AA54" s="170">
        <v>2</v>
      </c>
    </row>
    <row r="55" spans="1:27" x14ac:dyDescent="0.3">
      <c r="A55" s="170" t="str">
        <f t="shared" si="3"/>
        <v>77454103050</v>
      </c>
      <c r="B55" s="170" t="str">
        <f t="shared" si="1"/>
        <v>774554</v>
      </c>
      <c r="C55" s="174" t="str">
        <f t="shared" si="2"/>
        <v>77459</v>
      </c>
      <c r="D55" s="170">
        <v>7745</v>
      </c>
      <c r="E55" s="174">
        <v>2020110010079</v>
      </c>
      <c r="F55" s="170" t="s">
        <v>243</v>
      </c>
      <c r="G55" s="170" t="s">
        <v>63</v>
      </c>
      <c r="H55" s="170" t="s">
        <v>64</v>
      </c>
      <c r="I55" s="170" t="s">
        <v>65</v>
      </c>
      <c r="J55" s="170" t="s">
        <v>66</v>
      </c>
      <c r="K55" s="170" t="s">
        <v>244</v>
      </c>
      <c r="L55" s="170">
        <v>3</v>
      </c>
      <c r="M55" s="170" t="s">
        <v>274</v>
      </c>
      <c r="N55" s="170" t="s">
        <v>246</v>
      </c>
      <c r="O55" s="170">
        <v>9</v>
      </c>
      <c r="P55" s="170" t="s">
        <v>275</v>
      </c>
      <c r="Q55" s="170" t="s">
        <v>52</v>
      </c>
      <c r="R55" s="174">
        <v>54</v>
      </c>
      <c r="S55" s="170" t="s">
        <v>276</v>
      </c>
      <c r="T55" s="170" t="s">
        <v>277</v>
      </c>
      <c r="U55" s="170" t="s">
        <v>52</v>
      </c>
      <c r="V55" s="170">
        <v>4103050</v>
      </c>
      <c r="W55" s="170" t="s">
        <v>278</v>
      </c>
      <c r="X55" s="170" t="s">
        <v>279</v>
      </c>
      <c r="Y55" s="170" t="s">
        <v>57</v>
      </c>
      <c r="Z55" s="170" t="s">
        <v>257</v>
      </c>
      <c r="AA55" s="170">
        <v>2</v>
      </c>
    </row>
    <row r="56" spans="1:27" x14ac:dyDescent="0.3">
      <c r="A56" s="170" t="str">
        <f t="shared" si="3"/>
        <v>77454103050</v>
      </c>
      <c r="B56" s="170" t="str">
        <f t="shared" si="1"/>
        <v>774554</v>
      </c>
      <c r="C56" s="174" t="str">
        <f t="shared" si="2"/>
        <v>774510</v>
      </c>
      <c r="D56" s="170">
        <v>7745</v>
      </c>
      <c r="E56" s="174">
        <v>2020110010079</v>
      </c>
      <c r="F56" s="170" t="s">
        <v>243</v>
      </c>
      <c r="G56" s="170" t="s">
        <v>63</v>
      </c>
      <c r="H56" s="170" t="s">
        <v>64</v>
      </c>
      <c r="I56" s="170" t="s">
        <v>65</v>
      </c>
      <c r="J56" s="170" t="s">
        <v>66</v>
      </c>
      <c r="K56" s="170" t="s">
        <v>244</v>
      </c>
      <c r="L56" s="170">
        <v>3</v>
      </c>
      <c r="M56" s="170" t="s">
        <v>274</v>
      </c>
      <c r="N56" s="170" t="s">
        <v>246</v>
      </c>
      <c r="O56" s="170">
        <v>10</v>
      </c>
      <c r="P56" s="170" t="s">
        <v>280</v>
      </c>
      <c r="Q56" s="170" t="s">
        <v>52</v>
      </c>
      <c r="R56" s="174">
        <v>54</v>
      </c>
      <c r="S56" s="170" t="s">
        <v>276</v>
      </c>
      <c r="T56" s="170" t="s">
        <v>277</v>
      </c>
      <c r="U56" s="170" t="s">
        <v>52</v>
      </c>
      <c r="V56" s="170">
        <v>4103050</v>
      </c>
      <c r="W56" s="170" t="s">
        <v>278</v>
      </c>
      <c r="X56" s="170" t="s">
        <v>279</v>
      </c>
      <c r="Y56" s="170" t="s">
        <v>57</v>
      </c>
      <c r="Z56" s="170" t="s">
        <v>257</v>
      </c>
      <c r="AA56" s="170">
        <v>2</v>
      </c>
    </row>
    <row r="57" spans="1:27" x14ac:dyDescent="0.3">
      <c r="A57" s="170" t="str">
        <f t="shared" si="3"/>
        <v>77454103052</v>
      </c>
      <c r="B57" s="170" t="str">
        <f t="shared" si="1"/>
        <v>774545</v>
      </c>
      <c r="C57" s="174" t="str">
        <f t="shared" si="2"/>
        <v>774511</v>
      </c>
      <c r="D57" s="170">
        <v>7745</v>
      </c>
      <c r="E57" s="174">
        <v>2020110010079</v>
      </c>
      <c r="F57" s="170" t="s">
        <v>243</v>
      </c>
      <c r="G57" s="170" t="s">
        <v>63</v>
      </c>
      <c r="H57" s="170" t="s">
        <v>64</v>
      </c>
      <c r="I57" s="170" t="s">
        <v>65</v>
      </c>
      <c r="J57" s="170" t="s">
        <v>66</v>
      </c>
      <c r="K57" s="170" t="s">
        <v>244</v>
      </c>
      <c r="L57" s="170">
        <v>4</v>
      </c>
      <c r="M57" s="170" t="s">
        <v>281</v>
      </c>
      <c r="N57" s="170" t="s">
        <v>246</v>
      </c>
      <c r="O57" s="170">
        <v>11</v>
      </c>
      <c r="P57" s="170" t="s">
        <v>282</v>
      </c>
      <c r="Q57" s="170" t="s">
        <v>83</v>
      </c>
      <c r="R57" s="174">
        <v>45</v>
      </c>
      <c r="S57" s="170" t="s">
        <v>283</v>
      </c>
      <c r="T57" s="170" t="s">
        <v>284</v>
      </c>
      <c r="U57" s="170" t="s">
        <v>83</v>
      </c>
      <c r="V57" s="170">
        <v>4103052</v>
      </c>
      <c r="W57" s="170" t="s">
        <v>112</v>
      </c>
      <c r="X57" s="170" t="s">
        <v>113</v>
      </c>
      <c r="Y57" s="170" t="s">
        <v>57</v>
      </c>
      <c r="Z57" s="170" t="s">
        <v>257</v>
      </c>
      <c r="AA57" s="170">
        <v>2</v>
      </c>
    </row>
    <row r="58" spans="1:27" x14ac:dyDescent="0.3">
      <c r="A58" s="170" t="str">
        <f t="shared" si="3"/>
        <v>77484199054</v>
      </c>
      <c r="B58" s="170" t="str">
        <f t="shared" si="1"/>
        <v>7748513</v>
      </c>
      <c r="C58" s="174" t="str">
        <f t="shared" si="2"/>
        <v>77481</v>
      </c>
      <c r="D58" s="170">
        <v>7748</v>
      </c>
      <c r="E58" s="174">
        <v>2020110010068</v>
      </c>
      <c r="F58" s="170" t="s">
        <v>285</v>
      </c>
      <c r="G58" s="170" t="s">
        <v>115</v>
      </c>
      <c r="H58" s="170" t="s">
        <v>116</v>
      </c>
      <c r="I58" s="170" t="s">
        <v>117</v>
      </c>
      <c r="J58" s="170" t="s">
        <v>118</v>
      </c>
      <c r="K58" s="170" t="s">
        <v>286</v>
      </c>
      <c r="L58" s="170">
        <v>3</v>
      </c>
      <c r="M58" s="170" t="s">
        <v>287</v>
      </c>
      <c r="N58" s="170" t="s">
        <v>288</v>
      </c>
      <c r="O58" s="170">
        <v>1</v>
      </c>
      <c r="P58" s="170" t="s">
        <v>289</v>
      </c>
      <c r="Q58" s="170" t="s">
        <v>83</v>
      </c>
      <c r="R58" s="174">
        <v>513</v>
      </c>
      <c r="S58" s="170" t="s">
        <v>290</v>
      </c>
      <c r="T58" s="170" t="s">
        <v>291</v>
      </c>
      <c r="U58" s="170" t="s">
        <v>83</v>
      </c>
      <c r="V58" s="170">
        <v>4199054</v>
      </c>
      <c r="W58" s="170" t="s">
        <v>292</v>
      </c>
      <c r="X58" s="170" t="s">
        <v>293</v>
      </c>
      <c r="Y58" s="170" t="s">
        <v>57</v>
      </c>
      <c r="Z58" s="170" t="s">
        <v>58</v>
      </c>
      <c r="AA58" s="170">
        <v>16</v>
      </c>
    </row>
    <row r="59" spans="1:27" x14ac:dyDescent="0.3">
      <c r="A59" s="170" t="str">
        <f t="shared" si="3"/>
        <v>77484199052</v>
      </c>
      <c r="B59" s="170" t="str">
        <f t="shared" si="1"/>
        <v>7748513</v>
      </c>
      <c r="C59" s="174" t="str">
        <f t="shared" si="2"/>
        <v>77482</v>
      </c>
      <c r="D59" s="170">
        <v>7748</v>
      </c>
      <c r="E59" s="174">
        <v>2020110010068</v>
      </c>
      <c r="F59" s="170" t="s">
        <v>285</v>
      </c>
      <c r="G59" s="170" t="s">
        <v>115</v>
      </c>
      <c r="H59" s="170" t="s">
        <v>116</v>
      </c>
      <c r="I59" s="170" t="s">
        <v>117</v>
      </c>
      <c r="J59" s="170" t="s">
        <v>118</v>
      </c>
      <c r="K59" s="170" t="s">
        <v>286</v>
      </c>
      <c r="L59" s="170">
        <v>4</v>
      </c>
      <c r="M59" s="170" t="s">
        <v>294</v>
      </c>
      <c r="N59" s="170" t="s">
        <v>288</v>
      </c>
      <c r="O59" s="170">
        <v>2</v>
      </c>
      <c r="P59" s="170" t="s">
        <v>295</v>
      </c>
      <c r="Q59" s="170" t="s">
        <v>52</v>
      </c>
      <c r="R59" s="174">
        <v>513</v>
      </c>
      <c r="S59" s="170" t="s">
        <v>290</v>
      </c>
      <c r="T59" s="170" t="s">
        <v>291</v>
      </c>
      <c r="U59" s="170" t="s">
        <v>83</v>
      </c>
      <c r="V59" s="170">
        <v>4199052</v>
      </c>
      <c r="W59" s="170" t="s">
        <v>296</v>
      </c>
      <c r="X59" s="170" t="s">
        <v>297</v>
      </c>
      <c r="Y59" s="170" t="s">
        <v>57</v>
      </c>
      <c r="Z59" s="170" t="s">
        <v>58</v>
      </c>
      <c r="AA59" s="170">
        <v>16</v>
      </c>
    </row>
    <row r="60" spans="1:27" x14ac:dyDescent="0.3">
      <c r="A60" s="170" t="str">
        <f t="shared" si="3"/>
        <v>77484199053</v>
      </c>
      <c r="B60" s="170" t="str">
        <f t="shared" si="1"/>
        <v>7748513</v>
      </c>
      <c r="C60" s="174" t="str">
        <f t="shared" si="2"/>
        <v>77483</v>
      </c>
      <c r="D60" s="170">
        <v>7748</v>
      </c>
      <c r="E60" s="174">
        <v>2020110010068</v>
      </c>
      <c r="F60" s="170" t="s">
        <v>285</v>
      </c>
      <c r="G60" s="170" t="s">
        <v>115</v>
      </c>
      <c r="H60" s="170" t="s">
        <v>116</v>
      </c>
      <c r="I60" s="170" t="s">
        <v>117</v>
      </c>
      <c r="J60" s="170" t="s">
        <v>118</v>
      </c>
      <c r="K60" s="170" t="s">
        <v>286</v>
      </c>
      <c r="L60" s="170">
        <v>5</v>
      </c>
      <c r="M60" s="170" t="s">
        <v>298</v>
      </c>
      <c r="N60" s="170" t="s">
        <v>288</v>
      </c>
      <c r="O60" s="170">
        <v>3</v>
      </c>
      <c r="P60" s="170" t="s">
        <v>299</v>
      </c>
      <c r="Q60" s="170" t="s">
        <v>52</v>
      </c>
      <c r="R60" s="174">
        <v>513</v>
      </c>
      <c r="S60" s="170" t="s">
        <v>290</v>
      </c>
      <c r="T60" s="170" t="s">
        <v>291</v>
      </c>
      <c r="U60" s="170" t="s">
        <v>83</v>
      </c>
      <c r="V60" s="170">
        <v>4199053</v>
      </c>
      <c r="W60" s="170" t="s">
        <v>55</v>
      </c>
      <c r="X60" s="170" t="s">
        <v>206</v>
      </c>
      <c r="Y60" s="170" t="s">
        <v>57</v>
      </c>
      <c r="Z60" s="170" t="s">
        <v>58</v>
      </c>
      <c r="AA60" s="170">
        <v>16</v>
      </c>
    </row>
    <row r="61" spans="1:27" x14ac:dyDescent="0.3">
      <c r="A61" s="170" t="str">
        <f t="shared" si="3"/>
        <v>77484199057</v>
      </c>
      <c r="B61" s="170" t="str">
        <f t="shared" si="1"/>
        <v>7748519</v>
      </c>
      <c r="C61" s="174" t="str">
        <f t="shared" si="2"/>
        <v>77484</v>
      </c>
      <c r="D61" s="170">
        <v>7748</v>
      </c>
      <c r="E61" s="174">
        <v>2020110010068</v>
      </c>
      <c r="F61" s="170" t="s">
        <v>285</v>
      </c>
      <c r="G61" s="170" t="s">
        <v>115</v>
      </c>
      <c r="H61" s="170" t="s">
        <v>116</v>
      </c>
      <c r="I61" s="170" t="s">
        <v>117</v>
      </c>
      <c r="J61" s="170" t="s">
        <v>118</v>
      </c>
      <c r="K61" s="170" t="s">
        <v>286</v>
      </c>
      <c r="L61" s="170">
        <v>1</v>
      </c>
      <c r="M61" s="170" t="s">
        <v>300</v>
      </c>
      <c r="N61" s="170" t="s">
        <v>288</v>
      </c>
      <c r="O61" s="170">
        <v>4</v>
      </c>
      <c r="P61" s="170" t="s">
        <v>301</v>
      </c>
      <c r="Q61" s="170" t="s">
        <v>83</v>
      </c>
      <c r="R61" s="174">
        <v>519</v>
      </c>
      <c r="S61" s="170" t="s">
        <v>302</v>
      </c>
      <c r="T61" s="170" t="s">
        <v>303</v>
      </c>
      <c r="U61" s="170" t="s">
        <v>83</v>
      </c>
      <c r="V61" s="170">
        <v>4199057</v>
      </c>
      <c r="W61" s="220" t="s">
        <v>304</v>
      </c>
      <c r="X61" s="170" t="s">
        <v>305</v>
      </c>
      <c r="Y61" s="170" t="s">
        <v>57</v>
      </c>
      <c r="Z61" s="170" t="s">
        <v>306</v>
      </c>
      <c r="AA61" s="170">
        <v>8</v>
      </c>
    </row>
    <row r="62" spans="1:27" x14ac:dyDescent="0.3">
      <c r="A62" s="170" t="str">
        <f t="shared" si="3"/>
        <v>77484199056</v>
      </c>
      <c r="B62" s="170" t="str">
        <f t="shared" si="1"/>
        <v>7748519</v>
      </c>
      <c r="C62" s="174" t="str">
        <f t="shared" si="2"/>
        <v>77485</v>
      </c>
      <c r="D62" s="170">
        <v>7748</v>
      </c>
      <c r="E62" s="174">
        <v>2020110010068</v>
      </c>
      <c r="F62" s="170" t="s">
        <v>285</v>
      </c>
      <c r="G62" s="170" t="s">
        <v>115</v>
      </c>
      <c r="H62" s="170" t="s">
        <v>116</v>
      </c>
      <c r="I62" s="170" t="s">
        <v>117</v>
      </c>
      <c r="J62" s="170" t="s">
        <v>118</v>
      </c>
      <c r="K62" s="170" t="s">
        <v>286</v>
      </c>
      <c r="L62" s="170">
        <v>1</v>
      </c>
      <c r="M62" s="170" t="s">
        <v>300</v>
      </c>
      <c r="N62" s="170" t="s">
        <v>288</v>
      </c>
      <c r="O62" s="170">
        <v>5</v>
      </c>
      <c r="P62" s="170" t="s">
        <v>307</v>
      </c>
      <c r="Q62" s="170" t="s">
        <v>52</v>
      </c>
      <c r="R62" s="174">
        <v>519</v>
      </c>
      <c r="S62" s="170" t="s">
        <v>302</v>
      </c>
      <c r="T62" s="170" t="s">
        <v>303</v>
      </c>
      <c r="U62" s="170" t="s">
        <v>83</v>
      </c>
      <c r="V62" s="170">
        <v>4199056</v>
      </c>
      <c r="W62" s="170" t="s">
        <v>308</v>
      </c>
      <c r="X62" s="170" t="s">
        <v>309</v>
      </c>
      <c r="Y62" s="170" t="s">
        <v>57</v>
      </c>
      <c r="Z62" s="170" t="s">
        <v>306</v>
      </c>
      <c r="AA62" s="170">
        <v>8</v>
      </c>
    </row>
    <row r="63" spans="1:27" x14ac:dyDescent="0.3">
      <c r="A63" s="170" t="str">
        <f t="shared" si="3"/>
        <v>77484199064</v>
      </c>
      <c r="B63" s="170" t="str">
        <f t="shared" si="1"/>
        <v>7748519</v>
      </c>
      <c r="C63" s="174" t="str">
        <f t="shared" si="2"/>
        <v>77486</v>
      </c>
      <c r="D63" s="170">
        <v>7748</v>
      </c>
      <c r="E63" s="174">
        <v>2020110010068</v>
      </c>
      <c r="F63" s="170" t="s">
        <v>285</v>
      </c>
      <c r="G63" s="170" t="s">
        <v>115</v>
      </c>
      <c r="H63" s="170" t="s">
        <v>116</v>
      </c>
      <c r="I63" s="170" t="s">
        <v>117</v>
      </c>
      <c r="J63" s="170" t="s">
        <v>118</v>
      </c>
      <c r="K63" s="170" t="s">
        <v>286</v>
      </c>
      <c r="L63" s="170">
        <v>2</v>
      </c>
      <c r="M63" s="170" t="s">
        <v>310</v>
      </c>
      <c r="N63" s="170" t="s">
        <v>288</v>
      </c>
      <c r="O63" s="170">
        <v>6</v>
      </c>
      <c r="P63" s="170" t="s">
        <v>311</v>
      </c>
      <c r="Q63" s="170" t="s">
        <v>52</v>
      </c>
      <c r="R63" s="174">
        <v>519</v>
      </c>
      <c r="S63" s="170" t="s">
        <v>302</v>
      </c>
      <c r="T63" s="170" t="s">
        <v>303</v>
      </c>
      <c r="U63" s="170" t="s">
        <v>83</v>
      </c>
      <c r="V63" s="170">
        <v>4199064</v>
      </c>
      <c r="W63" s="170" t="s">
        <v>211</v>
      </c>
      <c r="X63" s="170" t="s">
        <v>212</v>
      </c>
      <c r="Y63" s="170" t="s">
        <v>57</v>
      </c>
      <c r="Z63" s="170" t="s">
        <v>306</v>
      </c>
      <c r="AA63" s="170">
        <v>8</v>
      </c>
    </row>
    <row r="64" spans="1:27" x14ac:dyDescent="0.3">
      <c r="A64" s="170" t="str">
        <f t="shared" si="3"/>
        <v>77484199055</v>
      </c>
      <c r="B64" s="170" t="str">
        <f t="shared" si="1"/>
        <v>7748519</v>
      </c>
      <c r="C64" s="174" t="str">
        <f t="shared" si="2"/>
        <v>77487</v>
      </c>
      <c r="D64" s="170">
        <v>7748</v>
      </c>
      <c r="E64" s="174">
        <v>2020110010068</v>
      </c>
      <c r="F64" s="170" t="s">
        <v>285</v>
      </c>
      <c r="G64" s="170" t="s">
        <v>115</v>
      </c>
      <c r="H64" s="170" t="s">
        <v>116</v>
      </c>
      <c r="I64" s="170" t="s">
        <v>117</v>
      </c>
      <c r="J64" s="170" t="s">
        <v>118</v>
      </c>
      <c r="K64" s="170" t="s">
        <v>286</v>
      </c>
      <c r="L64" s="170">
        <v>2</v>
      </c>
      <c r="M64" s="170" t="s">
        <v>310</v>
      </c>
      <c r="N64" s="170" t="s">
        <v>288</v>
      </c>
      <c r="O64" s="170">
        <v>7</v>
      </c>
      <c r="P64" s="170" t="s">
        <v>312</v>
      </c>
      <c r="Q64" s="170" t="s">
        <v>52</v>
      </c>
      <c r="R64" s="174">
        <v>519</v>
      </c>
      <c r="S64" s="170" t="s">
        <v>302</v>
      </c>
      <c r="T64" s="170" t="s">
        <v>303</v>
      </c>
      <c r="U64" s="170" t="s">
        <v>83</v>
      </c>
      <c r="V64" s="170">
        <v>4199055</v>
      </c>
      <c r="W64" s="170" t="s">
        <v>61</v>
      </c>
      <c r="X64" s="170" t="s">
        <v>215</v>
      </c>
      <c r="Y64" s="170" t="s">
        <v>57</v>
      </c>
      <c r="Z64" s="170" t="s">
        <v>306</v>
      </c>
      <c r="AA64" s="170">
        <v>8</v>
      </c>
    </row>
    <row r="65" spans="1:27" x14ac:dyDescent="0.3">
      <c r="A65" s="170" t="str">
        <f t="shared" si="3"/>
        <v>77494103054</v>
      </c>
      <c r="B65" s="170" t="str">
        <f t="shared" si="1"/>
        <v>774963</v>
      </c>
      <c r="C65" s="174" t="str">
        <f t="shared" si="2"/>
        <v>77491</v>
      </c>
      <c r="D65" s="170">
        <v>7749</v>
      </c>
      <c r="E65" s="174">
        <v>2020110010085</v>
      </c>
      <c r="F65" s="170" t="s">
        <v>313</v>
      </c>
      <c r="G65" s="170" t="s">
        <v>63</v>
      </c>
      <c r="H65" s="170" t="s">
        <v>64</v>
      </c>
      <c r="I65" s="170" t="s">
        <v>65</v>
      </c>
      <c r="J65" s="170" t="s">
        <v>66</v>
      </c>
      <c r="K65" s="170" t="s">
        <v>314</v>
      </c>
      <c r="L65" s="170">
        <v>1</v>
      </c>
      <c r="M65" s="170" t="s">
        <v>315</v>
      </c>
      <c r="N65" s="170" t="s">
        <v>99</v>
      </c>
      <c r="O65" s="170">
        <v>1</v>
      </c>
      <c r="P65" s="170" t="s">
        <v>316</v>
      </c>
      <c r="Q65" s="170" t="s">
        <v>71</v>
      </c>
      <c r="R65" s="174">
        <v>63</v>
      </c>
      <c r="S65" s="170" t="s">
        <v>317</v>
      </c>
      <c r="T65" s="170" t="s">
        <v>318</v>
      </c>
      <c r="U65" s="170" t="s">
        <v>71</v>
      </c>
      <c r="V65" s="170">
        <v>4103054</v>
      </c>
      <c r="W65" s="170" t="s">
        <v>103</v>
      </c>
      <c r="X65" s="170" t="s">
        <v>104</v>
      </c>
      <c r="Y65" s="170" t="s">
        <v>57</v>
      </c>
      <c r="Z65" s="170" t="s">
        <v>319</v>
      </c>
      <c r="AA65" s="170">
        <v>1</v>
      </c>
    </row>
    <row r="66" spans="1:27" x14ac:dyDescent="0.3">
      <c r="A66" s="170" t="str">
        <f t="shared" si="3"/>
        <v>77494103049</v>
      </c>
      <c r="B66" s="170" t="str">
        <f t="shared" si="1"/>
        <v>774963</v>
      </c>
      <c r="C66" s="174" t="str">
        <f t="shared" si="2"/>
        <v>77492</v>
      </c>
      <c r="D66" s="170">
        <v>7749</v>
      </c>
      <c r="E66" s="174">
        <v>2020110010085</v>
      </c>
      <c r="F66" s="170" t="s">
        <v>313</v>
      </c>
      <c r="G66" s="170" t="s">
        <v>63</v>
      </c>
      <c r="H66" s="170" t="s">
        <v>64</v>
      </c>
      <c r="I66" s="170" t="s">
        <v>65</v>
      </c>
      <c r="J66" s="170" t="s">
        <v>66</v>
      </c>
      <c r="K66" s="170" t="s">
        <v>314</v>
      </c>
      <c r="L66" s="170">
        <v>2</v>
      </c>
      <c r="M66" s="170" t="s">
        <v>320</v>
      </c>
      <c r="N66" s="170" t="s">
        <v>99</v>
      </c>
      <c r="O66" s="170">
        <v>2</v>
      </c>
      <c r="P66" s="170" t="s">
        <v>321</v>
      </c>
      <c r="Q66" s="170" t="s">
        <v>71</v>
      </c>
      <c r="R66" s="174">
        <v>63</v>
      </c>
      <c r="S66" s="170" t="s">
        <v>317</v>
      </c>
      <c r="T66" s="170" t="s">
        <v>318</v>
      </c>
      <c r="U66" s="170" t="s">
        <v>71</v>
      </c>
      <c r="V66" s="170">
        <v>4103049</v>
      </c>
      <c r="W66" s="170" t="s">
        <v>108</v>
      </c>
      <c r="X66" s="170" t="s">
        <v>322</v>
      </c>
      <c r="Y66" s="170" t="s">
        <v>57</v>
      </c>
      <c r="Z66" s="170" t="s">
        <v>319</v>
      </c>
      <c r="AA66" s="170">
        <v>1</v>
      </c>
    </row>
    <row r="67" spans="1:27" x14ac:dyDescent="0.3">
      <c r="A67" s="170" t="str">
        <f t="shared" ref="A67:A98" si="4">D67&amp;V67</f>
        <v>77494103052</v>
      </c>
      <c r="B67" s="170" t="str">
        <f t="shared" si="1"/>
        <v>774963</v>
      </c>
      <c r="C67" s="174" t="str">
        <f t="shared" si="2"/>
        <v>77493</v>
      </c>
      <c r="D67" s="170">
        <v>7749</v>
      </c>
      <c r="E67" s="174">
        <v>2020110010085</v>
      </c>
      <c r="F67" s="170" t="s">
        <v>313</v>
      </c>
      <c r="G67" s="170" t="s">
        <v>63</v>
      </c>
      <c r="H67" s="170" t="s">
        <v>64</v>
      </c>
      <c r="I67" s="170" t="s">
        <v>65</v>
      </c>
      <c r="J67" s="170" t="s">
        <v>66</v>
      </c>
      <c r="K67" s="170" t="s">
        <v>314</v>
      </c>
      <c r="L67" s="170">
        <v>3</v>
      </c>
      <c r="M67" s="170" t="s">
        <v>323</v>
      </c>
      <c r="N67" s="170" t="s">
        <v>99</v>
      </c>
      <c r="O67" s="170">
        <v>3</v>
      </c>
      <c r="P67" s="170" t="s">
        <v>324</v>
      </c>
      <c r="Q67" s="170" t="s">
        <v>71</v>
      </c>
      <c r="R67" s="174">
        <v>63</v>
      </c>
      <c r="S67" s="170" t="s">
        <v>317</v>
      </c>
      <c r="T67" s="170" t="s">
        <v>318</v>
      </c>
      <c r="U67" s="170" t="s">
        <v>71</v>
      </c>
      <c r="V67" s="170">
        <v>4103052</v>
      </c>
      <c r="W67" s="170" t="s">
        <v>112</v>
      </c>
      <c r="X67" s="170" t="s">
        <v>113</v>
      </c>
      <c r="Y67" s="170" t="s">
        <v>57</v>
      </c>
      <c r="Z67" s="170" t="s">
        <v>319</v>
      </c>
      <c r="AA67" s="170">
        <v>1</v>
      </c>
    </row>
    <row r="68" spans="1:27" x14ac:dyDescent="0.3">
      <c r="A68" s="170" t="str">
        <f t="shared" si="4"/>
        <v>77494103049</v>
      </c>
      <c r="B68" s="170" t="str">
        <f t="shared" ref="B68:B110" si="5">D68&amp;R68</f>
        <v>774963</v>
      </c>
      <c r="C68" s="174" t="str">
        <f t="shared" ref="C68:C110" si="6">D68&amp;O68</f>
        <v>77494</v>
      </c>
      <c r="D68" s="170">
        <v>7749</v>
      </c>
      <c r="E68" s="174">
        <v>2020110010085</v>
      </c>
      <c r="F68" s="170" t="s">
        <v>313</v>
      </c>
      <c r="G68" s="170" t="s">
        <v>63</v>
      </c>
      <c r="H68" s="170" t="s">
        <v>64</v>
      </c>
      <c r="I68" s="170" t="s">
        <v>65</v>
      </c>
      <c r="J68" s="170" t="s">
        <v>66</v>
      </c>
      <c r="K68" s="170" t="s">
        <v>314</v>
      </c>
      <c r="L68" s="170">
        <v>3</v>
      </c>
      <c r="M68" s="170" t="s">
        <v>323</v>
      </c>
      <c r="N68" s="170" t="s">
        <v>99</v>
      </c>
      <c r="O68" s="170">
        <v>4</v>
      </c>
      <c r="P68" s="170" t="s">
        <v>325</v>
      </c>
      <c r="Q68" s="170" t="s">
        <v>71</v>
      </c>
      <c r="R68" s="174">
        <v>63</v>
      </c>
      <c r="S68" s="170" t="s">
        <v>317</v>
      </c>
      <c r="T68" s="170" t="s">
        <v>318</v>
      </c>
      <c r="U68" s="170" t="s">
        <v>71</v>
      </c>
      <c r="V68" s="170">
        <v>4103049</v>
      </c>
      <c r="W68" s="170" t="s">
        <v>108</v>
      </c>
      <c r="X68" s="170" t="s">
        <v>322</v>
      </c>
      <c r="Y68" s="170" t="s">
        <v>57</v>
      </c>
      <c r="Z68" s="170" t="s">
        <v>319</v>
      </c>
      <c r="AA68" s="170">
        <v>1</v>
      </c>
    </row>
    <row r="69" spans="1:27" x14ac:dyDescent="0.3">
      <c r="A69" s="170" t="str">
        <f t="shared" si="4"/>
        <v>77524102040</v>
      </c>
      <c r="B69" s="170" t="str">
        <f t="shared" si="5"/>
        <v>775244</v>
      </c>
      <c r="C69" s="174" t="str">
        <f t="shared" si="6"/>
        <v>77521</v>
      </c>
      <c r="D69" s="170">
        <v>7752</v>
      </c>
      <c r="E69" s="174">
        <v>2020110010069</v>
      </c>
      <c r="F69" s="170" t="s">
        <v>326</v>
      </c>
      <c r="G69" s="170" t="s">
        <v>63</v>
      </c>
      <c r="H69" s="170" t="s">
        <v>64</v>
      </c>
      <c r="I69" s="170" t="s">
        <v>65</v>
      </c>
      <c r="J69" s="170" t="s">
        <v>66</v>
      </c>
      <c r="K69" s="170" t="s">
        <v>327</v>
      </c>
      <c r="L69" s="170">
        <v>1</v>
      </c>
      <c r="M69" s="170" t="s">
        <v>328</v>
      </c>
      <c r="N69" s="170" t="s">
        <v>50</v>
      </c>
      <c r="O69" s="170">
        <v>1</v>
      </c>
      <c r="P69" s="170" t="s">
        <v>329</v>
      </c>
      <c r="Q69" s="170" t="s">
        <v>83</v>
      </c>
      <c r="R69" s="174">
        <v>44</v>
      </c>
      <c r="S69" s="170" t="s">
        <v>330</v>
      </c>
      <c r="T69" s="170" t="s">
        <v>331</v>
      </c>
      <c r="U69" s="170" t="s">
        <v>83</v>
      </c>
      <c r="V69" s="170">
        <v>4102040</v>
      </c>
      <c r="W69" s="170" t="s">
        <v>61</v>
      </c>
      <c r="X69" s="170" t="s">
        <v>56</v>
      </c>
      <c r="Y69" s="170" t="s">
        <v>57</v>
      </c>
      <c r="Z69" s="170" t="s">
        <v>173</v>
      </c>
      <c r="AA69" s="170">
        <v>1</v>
      </c>
    </row>
    <row r="70" spans="1:27" x14ac:dyDescent="0.3">
      <c r="A70" s="170" t="str">
        <f t="shared" si="4"/>
        <v>77524102035</v>
      </c>
      <c r="B70" s="170" t="str">
        <f t="shared" si="5"/>
        <v>775255</v>
      </c>
      <c r="C70" s="174" t="str">
        <f t="shared" si="6"/>
        <v>77522</v>
      </c>
      <c r="D70" s="170">
        <v>7752</v>
      </c>
      <c r="E70" s="174">
        <v>2020110010069</v>
      </c>
      <c r="F70" s="170" t="s">
        <v>326</v>
      </c>
      <c r="G70" s="170" t="s">
        <v>63</v>
      </c>
      <c r="H70" s="170" t="s">
        <v>64</v>
      </c>
      <c r="I70" s="170" t="s">
        <v>65</v>
      </c>
      <c r="J70" s="170" t="s">
        <v>66</v>
      </c>
      <c r="K70" s="170" t="s">
        <v>327</v>
      </c>
      <c r="L70" s="170">
        <v>2</v>
      </c>
      <c r="M70" s="170" t="s">
        <v>332</v>
      </c>
      <c r="N70" s="170" t="s">
        <v>50</v>
      </c>
      <c r="O70" s="170">
        <v>2</v>
      </c>
      <c r="P70" s="170" t="s">
        <v>333</v>
      </c>
      <c r="Q70" s="170" t="s">
        <v>52</v>
      </c>
      <c r="R70" s="174">
        <v>55</v>
      </c>
      <c r="S70" s="170" t="s">
        <v>334</v>
      </c>
      <c r="T70" s="170" t="s">
        <v>335</v>
      </c>
      <c r="U70" s="170" t="s">
        <v>52</v>
      </c>
      <c r="V70" s="170">
        <v>4102035</v>
      </c>
      <c r="W70" s="170" t="s">
        <v>55</v>
      </c>
      <c r="X70" s="170" t="s">
        <v>56</v>
      </c>
      <c r="Y70" s="170" t="s">
        <v>57</v>
      </c>
      <c r="Z70" s="170" t="s">
        <v>58</v>
      </c>
      <c r="AA70" s="170">
        <v>16</v>
      </c>
    </row>
    <row r="71" spans="1:27" x14ac:dyDescent="0.3">
      <c r="A71" s="170" t="str">
        <f t="shared" si="4"/>
        <v>77524102035</v>
      </c>
      <c r="B71" s="170" t="str">
        <f t="shared" si="5"/>
        <v>775255</v>
      </c>
      <c r="C71" s="174" t="str">
        <f t="shared" si="6"/>
        <v>77523</v>
      </c>
      <c r="D71" s="170">
        <v>7752</v>
      </c>
      <c r="E71" s="174">
        <v>2020110010069</v>
      </c>
      <c r="F71" s="170" t="s">
        <v>326</v>
      </c>
      <c r="G71" s="170" t="s">
        <v>63</v>
      </c>
      <c r="H71" s="170" t="s">
        <v>64</v>
      </c>
      <c r="I71" s="170" t="s">
        <v>65</v>
      </c>
      <c r="J71" s="170" t="s">
        <v>66</v>
      </c>
      <c r="K71" s="170" t="s">
        <v>327</v>
      </c>
      <c r="L71" s="170">
        <v>2</v>
      </c>
      <c r="M71" s="170" t="s">
        <v>332</v>
      </c>
      <c r="N71" s="170" t="s">
        <v>50</v>
      </c>
      <c r="O71" s="170">
        <v>3</v>
      </c>
      <c r="P71" s="170" t="s">
        <v>336</v>
      </c>
      <c r="Q71" s="170" t="s">
        <v>52</v>
      </c>
      <c r="R71" s="174">
        <v>55</v>
      </c>
      <c r="S71" s="170" t="s">
        <v>334</v>
      </c>
      <c r="T71" s="170" t="s">
        <v>335</v>
      </c>
      <c r="U71" s="170" t="s">
        <v>52</v>
      </c>
      <c r="V71" s="170">
        <v>4102035</v>
      </c>
      <c r="W71" s="170" t="s">
        <v>55</v>
      </c>
      <c r="X71" s="170" t="s">
        <v>56</v>
      </c>
      <c r="Y71" s="170" t="s">
        <v>57</v>
      </c>
      <c r="Z71" s="170" t="s">
        <v>58</v>
      </c>
      <c r="AA71" s="170">
        <v>16</v>
      </c>
    </row>
    <row r="72" spans="1:27" x14ac:dyDescent="0.3">
      <c r="A72" s="170" t="str">
        <f t="shared" si="4"/>
        <v>77534102045</v>
      </c>
      <c r="B72" s="170" t="str">
        <f t="shared" si="5"/>
        <v>775373</v>
      </c>
      <c r="C72" s="174" t="str">
        <f t="shared" si="6"/>
        <v>77531</v>
      </c>
      <c r="D72" s="170">
        <v>7753</v>
      </c>
      <c r="E72" s="174">
        <v>2020110010081</v>
      </c>
      <c r="F72" s="170" t="s">
        <v>337</v>
      </c>
      <c r="G72" s="170" t="s">
        <v>63</v>
      </c>
      <c r="H72" s="170" t="s">
        <v>338</v>
      </c>
      <c r="I72" s="170" t="s">
        <v>65</v>
      </c>
      <c r="J72" s="170" t="s">
        <v>339</v>
      </c>
      <c r="K72" s="170" t="s">
        <v>340</v>
      </c>
      <c r="L72" s="170">
        <v>1</v>
      </c>
      <c r="M72" s="170" t="s">
        <v>341</v>
      </c>
      <c r="N72" s="170" t="s">
        <v>168</v>
      </c>
      <c r="O72" s="170">
        <v>1</v>
      </c>
      <c r="P72" s="170" t="s">
        <v>342</v>
      </c>
      <c r="Q72" s="170" t="s">
        <v>71</v>
      </c>
      <c r="R72" s="174">
        <v>73</v>
      </c>
      <c r="S72" s="170" t="s">
        <v>343</v>
      </c>
      <c r="T72" s="170" t="s">
        <v>344</v>
      </c>
      <c r="U72" s="170" t="s">
        <v>71</v>
      </c>
      <c r="V72" s="170">
        <v>4102045</v>
      </c>
      <c r="W72" s="170" t="s">
        <v>235</v>
      </c>
      <c r="X72" s="170" t="s">
        <v>236</v>
      </c>
      <c r="Y72" s="170" t="s">
        <v>57</v>
      </c>
      <c r="Z72" s="170" t="s">
        <v>345</v>
      </c>
      <c r="AA72" s="170">
        <v>3</v>
      </c>
    </row>
    <row r="73" spans="1:27" x14ac:dyDescent="0.3">
      <c r="A73" s="170" t="str">
        <f t="shared" si="4"/>
        <v>77534102003</v>
      </c>
      <c r="B73" s="170" t="str">
        <f t="shared" si="5"/>
        <v>775373</v>
      </c>
      <c r="C73" s="174" t="str">
        <f t="shared" si="6"/>
        <v>77532</v>
      </c>
      <c r="D73" s="170">
        <v>7753</v>
      </c>
      <c r="E73" s="174">
        <v>2020110010081</v>
      </c>
      <c r="F73" s="170" t="s">
        <v>337</v>
      </c>
      <c r="G73" s="170" t="s">
        <v>63</v>
      </c>
      <c r="H73" s="170" t="s">
        <v>338</v>
      </c>
      <c r="I73" s="170" t="s">
        <v>65</v>
      </c>
      <c r="J73" s="170" t="s">
        <v>339</v>
      </c>
      <c r="K73" s="170" t="s">
        <v>340</v>
      </c>
      <c r="L73" s="170">
        <v>2</v>
      </c>
      <c r="M73" s="170" t="s">
        <v>346</v>
      </c>
      <c r="N73" s="170" t="s">
        <v>168</v>
      </c>
      <c r="O73" s="170">
        <v>2</v>
      </c>
      <c r="P73" s="170" t="s">
        <v>347</v>
      </c>
      <c r="Q73" s="170" t="s">
        <v>71</v>
      </c>
      <c r="R73" s="174">
        <v>73</v>
      </c>
      <c r="S73" s="170" t="s">
        <v>343</v>
      </c>
      <c r="T73" s="170" t="s">
        <v>344</v>
      </c>
      <c r="U73" s="170" t="s">
        <v>71</v>
      </c>
      <c r="V73" s="170">
        <v>4102003</v>
      </c>
      <c r="W73" s="170" t="s">
        <v>348</v>
      </c>
      <c r="X73" s="170" t="s">
        <v>348</v>
      </c>
      <c r="Y73" s="170" t="s">
        <v>57</v>
      </c>
      <c r="Z73" s="170" t="s">
        <v>345</v>
      </c>
      <c r="AA73" s="170">
        <v>3</v>
      </c>
    </row>
    <row r="74" spans="1:27" x14ac:dyDescent="0.3">
      <c r="A74" s="170" t="str">
        <f t="shared" si="4"/>
        <v>77534102003</v>
      </c>
      <c r="B74" s="170" t="str">
        <f t="shared" si="5"/>
        <v>775373</v>
      </c>
      <c r="C74" s="174" t="str">
        <f t="shared" si="6"/>
        <v>77533</v>
      </c>
      <c r="D74" s="170">
        <v>7753</v>
      </c>
      <c r="E74" s="174">
        <v>2020110010081</v>
      </c>
      <c r="F74" s="170" t="s">
        <v>337</v>
      </c>
      <c r="G74" s="170" t="s">
        <v>63</v>
      </c>
      <c r="H74" s="170" t="s">
        <v>338</v>
      </c>
      <c r="I74" s="170" t="s">
        <v>65</v>
      </c>
      <c r="J74" s="170" t="s">
        <v>339</v>
      </c>
      <c r="K74" s="170" t="s">
        <v>340</v>
      </c>
      <c r="L74" s="170">
        <v>2</v>
      </c>
      <c r="M74" s="170" t="s">
        <v>346</v>
      </c>
      <c r="N74" s="170" t="s">
        <v>168</v>
      </c>
      <c r="O74" s="170">
        <v>3</v>
      </c>
      <c r="P74" s="170" t="s">
        <v>349</v>
      </c>
      <c r="Q74" s="170" t="s">
        <v>83</v>
      </c>
      <c r="R74" s="174">
        <v>73</v>
      </c>
      <c r="S74" s="170" t="s">
        <v>343</v>
      </c>
      <c r="T74" s="170" t="s">
        <v>344</v>
      </c>
      <c r="U74" s="170" t="s">
        <v>71</v>
      </c>
      <c r="V74" s="170">
        <v>4102003</v>
      </c>
      <c r="W74" s="170" t="s">
        <v>348</v>
      </c>
      <c r="X74" s="170" t="s">
        <v>348</v>
      </c>
      <c r="Y74" s="170" t="s">
        <v>57</v>
      </c>
      <c r="Z74" s="170" t="s">
        <v>345</v>
      </c>
      <c r="AA74" s="170">
        <v>3</v>
      </c>
    </row>
    <row r="75" spans="1:27" x14ac:dyDescent="0.3">
      <c r="A75" s="170" t="str">
        <f t="shared" si="4"/>
        <v>77534102046</v>
      </c>
      <c r="B75" s="170" t="str">
        <f t="shared" si="5"/>
        <v>775373</v>
      </c>
      <c r="C75" s="174" t="str">
        <f t="shared" si="6"/>
        <v>77534</v>
      </c>
      <c r="D75" s="170">
        <v>7753</v>
      </c>
      <c r="E75" s="174">
        <v>2020110010081</v>
      </c>
      <c r="F75" s="170" t="s">
        <v>337</v>
      </c>
      <c r="G75" s="170" t="s">
        <v>63</v>
      </c>
      <c r="H75" s="170" t="s">
        <v>338</v>
      </c>
      <c r="I75" s="170" t="s">
        <v>65</v>
      </c>
      <c r="J75" s="170" t="s">
        <v>339</v>
      </c>
      <c r="K75" s="170" t="s">
        <v>340</v>
      </c>
      <c r="L75" s="170">
        <v>3</v>
      </c>
      <c r="M75" s="170" t="s">
        <v>350</v>
      </c>
      <c r="N75" s="170" t="s">
        <v>168</v>
      </c>
      <c r="O75" s="170">
        <v>4</v>
      </c>
      <c r="P75" s="170" t="s">
        <v>351</v>
      </c>
      <c r="Q75" s="170" t="s">
        <v>71</v>
      </c>
      <c r="R75" s="174">
        <v>73</v>
      </c>
      <c r="S75" s="170" t="s">
        <v>343</v>
      </c>
      <c r="T75" s="170" t="s">
        <v>344</v>
      </c>
      <c r="U75" s="170" t="s">
        <v>71</v>
      </c>
      <c r="V75" s="170">
        <v>4102046</v>
      </c>
      <c r="W75" s="170" t="s">
        <v>352</v>
      </c>
      <c r="X75" s="170" t="s">
        <v>352</v>
      </c>
      <c r="Y75" s="170" t="s">
        <v>57</v>
      </c>
      <c r="Z75" s="170" t="s">
        <v>345</v>
      </c>
      <c r="AA75" s="170">
        <v>3</v>
      </c>
    </row>
    <row r="76" spans="1:27" x14ac:dyDescent="0.3">
      <c r="A76" s="170" t="str">
        <f t="shared" si="4"/>
        <v>77564103009</v>
      </c>
      <c r="B76" s="170" t="str">
        <f t="shared" si="5"/>
        <v>775631</v>
      </c>
      <c r="C76" s="174" t="str">
        <f t="shared" si="6"/>
        <v>77561</v>
      </c>
      <c r="D76" s="170">
        <v>7756</v>
      </c>
      <c r="E76" s="174">
        <v>2020110010115</v>
      </c>
      <c r="F76" s="170" t="s">
        <v>353</v>
      </c>
      <c r="G76" s="170" t="s">
        <v>63</v>
      </c>
      <c r="H76" s="170" t="s">
        <v>64</v>
      </c>
      <c r="I76" s="170" t="s">
        <v>65</v>
      </c>
      <c r="J76" s="170" t="s">
        <v>96</v>
      </c>
      <c r="K76" s="170" t="s">
        <v>354</v>
      </c>
      <c r="L76" s="170">
        <v>1</v>
      </c>
      <c r="M76" s="170" t="s">
        <v>355</v>
      </c>
      <c r="N76" s="170" t="s">
        <v>356</v>
      </c>
      <c r="O76" s="170">
        <v>1</v>
      </c>
      <c r="P76" s="170" t="s">
        <v>357</v>
      </c>
      <c r="Q76" s="170" t="s">
        <v>71</v>
      </c>
      <c r="R76" s="174">
        <v>31</v>
      </c>
      <c r="S76" s="170" t="s">
        <v>358</v>
      </c>
      <c r="T76" s="170" t="s">
        <v>359</v>
      </c>
      <c r="U76" s="170" t="s">
        <v>71</v>
      </c>
      <c r="V76" s="170">
        <v>4103009</v>
      </c>
      <c r="W76" s="170" t="s">
        <v>159</v>
      </c>
      <c r="X76" s="170" t="s">
        <v>160</v>
      </c>
      <c r="Y76" s="170" t="s">
        <v>57</v>
      </c>
      <c r="Z76" s="170" t="s">
        <v>105</v>
      </c>
      <c r="AA76" s="170">
        <v>10</v>
      </c>
    </row>
    <row r="77" spans="1:27" x14ac:dyDescent="0.3">
      <c r="A77" s="170" t="str">
        <f t="shared" si="4"/>
        <v>77564103006</v>
      </c>
      <c r="B77" s="170" t="str">
        <f t="shared" si="5"/>
        <v>775631</v>
      </c>
      <c r="C77" s="174" t="str">
        <f t="shared" si="6"/>
        <v>77562</v>
      </c>
      <c r="D77" s="170">
        <v>7756</v>
      </c>
      <c r="E77" s="174">
        <v>2020110010115</v>
      </c>
      <c r="F77" s="170" t="s">
        <v>353</v>
      </c>
      <c r="G77" s="170" t="s">
        <v>63</v>
      </c>
      <c r="H77" s="170" t="s">
        <v>64</v>
      </c>
      <c r="I77" s="170" t="s">
        <v>65</v>
      </c>
      <c r="J77" s="170" t="s">
        <v>96</v>
      </c>
      <c r="K77" s="170" t="s">
        <v>354</v>
      </c>
      <c r="L77" s="170">
        <v>1</v>
      </c>
      <c r="M77" s="170" t="s">
        <v>355</v>
      </c>
      <c r="N77" s="170" t="s">
        <v>356</v>
      </c>
      <c r="O77" s="170">
        <v>2</v>
      </c>
      <c r="P77" s="170" t="s">
        <v>360</v>
      </c>
      <c r="Q77" s="170" t="s">
        <v>71</v>
      </c>
      <c r="R77" s="174">
        <v>31</v>
      </c>
      <c r="S77" s="170" t="s">
        <v>358</v>
      </c>
      <c r="T77" s="170" t="s">
        <v>359</v>
      </c>
      <c r="U77" s="170" t="s">
        <v>71</v>
      </c>
      <c r="V77" s="170">
        <v>4103006</v>
      </c>
      <c r="W77" s="170" t="s">
        <v>179</v>
      </c>
      <c r="X77" s="170" t="s">
        <v>180</v>
      </c>
      <c r="Y77" s="170" t="s">
        <v>57</v>
      </c>
      <c r="Z77" s="170" t="s">
        <v>105</v>
      </c>
      <c r="AA77" s="170">
        <v>10</v>
      </c>
    </row>
    <row r="78" spans="1:27" x14ac:dyDescent="0.3">
      <c r="A78" s="170" t="str">
        <f t="shared" si="4"/>
        <v>77564103054</v>
      </c>
      <c r="B78" s="170" t="str">
        <f t="shared" si="5"/>
        <v>775625</v>
      </c>
      <c r="C78" s="174" t="str">
        <f t="shared" si="6"/>
        <v>77563</v>
      </c>
      <c r="D78" s="170">
        <v>7756</v>
      </c>
      <c r="E78" s="174">
        <v>2020110010115</v>
      </c>
      <c r="F78" s="170" t="s">
        <v>353</v>
      </c>
      <c r="G78" s="170" t="s">
        <v>63</v>
      </c>
      <c r="H78" s="170" t="s">
        <v>64</v>
      </c>
      <c r="I78" s="170" t="s">
        <v>65</v>
      </c>
      <c r="J78" s="170" t="s">
        <v>96</v>
      </c>
      <c r="K78" s="170" t="s">
        <v>354</v>
      </c>
      <c r="L78" s="170">
        <v>2</v>
      </c>
      <c r="M78" s="170" t="s">
        <v>361</v>
      </c>
      <c r="N78" s="170" t="s">
        <v>356</v>
      </c>
      <c r="O78" s="170">
        <v>3</v>
      </c>
      <c r="P78" s="170" t="s">
        <v>362</v>
      </c>
      <c r="Q78" s="170" t="s">
        <v>83</v>
      </c>
      <c r="R78" s="174">
        <v>25</v>
      </c>
      <c r="S78" s="170" t="s">
        <v>363</v>
      </c>
      <c r="T78" s="170" t="s">
        <v>364</v>
      </c>
      <c r="U78" s="170" t="s">
        <v>71</v>
      </c>
      <c r="V78" s="170">
        <v>4103054</v>
      </c>
      <c r="W78" s="170" t="s">
        <v>103</v>
      </c>
      <c r="X78" s="170" t="s">
        <v>104</v>
      </c>
      <c r="Y78" s="170" t="s">
        <v>57</v>
      </c>
      <c r="Z78" s="170" t="s">
        <v>58</v>
      </c>
      <c r="AA78" s="170">
        <v>16</v>
      </c>
    </row>
    <row r="79" spans="1:27" x14ac:dyDescent="0.3">
      <c r="A79" s="170" t="str">
        <f t="shared" si="4"/>
        <v>77564103052</v>
      </c>
      <c r="B79" s="170" t="str">
        <f t="shared" si="5"/>
        <v>775625</v>
      </c>
      <c r="C79" s="174" t="str">
        <f t="shared" si="6"/>
        <v>77564</v>
      </c>
      <c r="D79" s="170">
        <v>7756</v>
      </c>
      <c r="E79" s="174">
        <v>2020110010115</v>
      </c>
      <c r="F79" s="170" t="s">
        <v>353</v>
      </c>
      <c r="G79" s="170" t="s">
        <v>63</v>
      </c>
      <c r="H79" s="170" t="s">
        <v>64</v>
      </c>
      <c r="I79" s="170" t="s">
        <v>65</v>
      </c>
      <c r="J79" s="170" t="s">
        <v>96</v>
      </c>
      <c r="K79" s="170" t="s">
        <v>354</v>
      </c>
      <c r="L79" s="170">
        <v>2</v>
      </c>
      <c r="M79" s="170" t="s">
        <v>361</v>
      </c>
      <c r="N79" s="170" t="s">
        <v>356</v>
      </c>
      <c r="O79" s="170">
        <v>4</v>
      </c>
      <c r="P79" s="170" t="s">
        <v>365</v>
      </c>
      <c r="Q79" s="170" t="s">
        <v>71</v>
      </c>
      <c r="R79" s="174">
        <v>25</v>
      </c>
      <c r="S79" s="170" t="s">
        <v>363</v>
      </c>
      <c r="T79" s="170" t="s">
        <v>364</v>
      </c>
      <c r="U79" s="170" t="s">
        <v>71</v>
      </c>
      <c r="V79" s="170">
        <v>4103052</v>
      </c>
      <c r="W79" s="170" t="s">
        <v>112</v>
      </c>
      <c r="X79" s="170" t="s">
        <v>113</v>
      </c>
      <c r="Y79" s="170" t="s">
        <v>57</v>
      </c>
      <c r="Z79" s="170" t="s">
        <v>58</v>
      </c>
      <c r="AA79" s="170">
        <v>16</v>
      </c>
    </row>
    <row r="80" spans="1:27" x14ac:dyDescent="0.3">
      <c r="A80" s="170" t="str">
        <f t="shared" si="4"/>
        <v>77564103052</v>
      </c>
      <c r="B80" s="170" t="str">
        <f t="shared" si="5"/>
        <v>775625</v>
      </c>
      <c r="C80" s="174" t="str">
        <f t="shared" si="6"/>
        <v>77565</v>
      </c>
      <c r="D80" s="170">
        <v>7756</v>
      </c>
      <c r="E80" s="174">
        <v>2020110010115</v>
      </c>
      <c r="F80" s="170" t="s">
        <v>353</v>
      </c>
      <c r="G80" s="170" t="s">
        <v>63</v>
      </c>
      <c r="H80" s="170" t="s">
        <v>64</v>
      </c>
      <c r="I80" s="170" t="s">
        <v>65</v>
      </c>
      <c r="J80" s="170" t="s">
        <v>96</v>
      </c>
      <c r="K80" s="170" t="s">
        <v>354</v>
      </c>
      <c r="L80" s="170">
        <v>2</v>
      </c>
      <c r="M80" s="170" t="s">
        <v>361</v>
      </c>
      <c r="N80" s="170" t="s">
        <v>356</v>
      </c>
      <c r="O80" s="170">
        <v>5</v>
      </c>
      <c r="P80" s="170" t="s">
        <v>366</v>
      </c>
      <c r="Q80" s="170" t="s">
        <v>71</v>
      </c>
      <c r="R80" s="174">
        <v>25</v>
      </c>
      <c r="S80" s="170" t="s">
        <v>363</v>
      </c>
      <c r="T80" s="170" t="s">
        <v>364</v>
      </c>
      <c r="U80" s="170" t="s">
        <v>71</v>
      </c>
      <c r="V80" s="170">
        <v>4103052</v>
      </c>
      <c r="W80" s="170" t="s">
        <v>112</v>
      </c>
      <c r="X80" s="170" t="s">
        <v>113</v>
      </c>
      <c r="Y80" s="170" t="s">
        <v>57</v>
      </c>
      <c r="Z80" s="170" t="s">
        <v>58</v>
      </c>
      <c r="AA80" s="170">
        <v>16</v>
      </c>
    </row>
    <row r="81" spans="1:27" x14ac:dyDescent="0.3">
      <c r="A81" s="170" t="str">
        <f t="shared" si="4"/>
        <v>77574103060</v>
      </c>
      <c r="B81" s="170" t="str">
        <f t="shared" si="5"/>
        <v>775713</v>
      </c>
      <c r="C81" s="174" t="str">
        <f t="shared" si="6"/>
        <v>77571</v>
      </c>
      <c r="D81" s="170">
        <v>7757</v>
      </c>
      <c r="E81" s="174">
        <v>2020110010099</v>
      </c>
      <c r="F81" s="170" t="s">
        <v>367</v>
      </c>
      <c r="G81" s="170" t="s">
        <v>63</v>
      </c>
      <c r="H81" s="170" t="s">
        <v>368</v>
      </c>
      <c r="I81" s="170" t="s">
        <v>164</v>
      </c>
      <c r="J81" s="170" t="s">
        <v>369</v>
      </c>
      <c r="K81" s="170" t="s">
        <v>370</v>
      </c>
      <c r="L81" s="170">
        <v>1</v>
      </c>
      <c r="M81" s="170" t="s">
        <v>371</v>
      </c>
      <c r="N81" s="170" t="s">
        <v>372</v>
      </c>
      <c r="O81" s="170">
        <v>1</v>
      </c>
      <c r="P81" s="170" t="s">
        <v>373</v>
      </c>
      <c r="Q81" s="170" t="s">
        <v>52</v>
      </c>
      <c r="R81" s="174">
        <v>13</v>
      </c>
      <c r="S81" s="170" t="s">
        <v>374</v>
      </c>
      <c r="T81" s="170" t="s">
        <v>375</v>
      </c>
      <c r="U81" s="170" t="s">
        <v>52</v>
      </c>
      <c r="V81" s="170">
        <v>4103060</v>
      </c>
      <c r="W81" s="170" t="s">
        <v>55</v>
      </c>
      <c r="X81" s="170" t="s">
        <v>136</v>
      </c>
      <c r="Y81" s="170" t="s">
        <v>57</v>
      </c>
      <c r="Z81" s="170" t="s">
        <v>319</v>
      </c>
      <c r="AA81" s="170">
        <v>1</v>
      </c>
    </row>
    <row r="82" spans="1:27" x14ac:dyDescent="0.3">
      <c r="A82" s="170" t="str">
        <f t="shared" si="4"/>
        <v>77574103054</v>
      </c>
      <c r="B82" s="170" t="str">
        <f t="shared" si="5"/>
        <v>775713</v>
      </c>
      <c r="C82" s="174" t="str">
        <f t="shared" si="6"/>
        <v>77572</v>
      </c>
      <c r="D82" s="170">
        <v>7757</v>
      </c>
      <c r="E82" s="174">
        <v>2020110010099</v>
      </c>
      <c r="F82" s="170" t="s">
        <v>367</v>
      </c>
      <c r="G82" s="170" t="s">
        <v>63</v>
      </c>
      <c r="H82" s="170" t="s">
        <v>368</v>
      </c>
      <c r="I82" s="170" t="s">
        <v>164</v>
      </c>
      <c r="J82" s="170" t="s">
        <v>369</v>
      </c>
      <c r="K82" s="170" t="s">
        <v>370</v>
      </c>
      <c r="L82" s="170">
        <v>2</v>
      </c>
      <c r="M82" s="170" t="s">
        <v>376</v>
      </c>
      <c r="N82" s="170" t="s">
        <v>372</v>
      </c>
      <c r="O82" s="170">
        <v>2</v>
      </c>
      <c r="P82" s="170" t="s">
        <v>377</v>
      </c>
      <c r="Q82" s="170" t="s">
        <v>52</v>
      </c>
      <c r="R82" s="174">
        <v>13</v>
      </c>
      <c r="S82" s="170" t="s">
        <v>374</v>
      </c>
      <c r="T82" s="170" t="s">
        <v>375</v>
      </c>
      <c r="U82" s="170" t="s">
        <v>52</v>
      </c>
      <c r="V82" s="170">
        <v>4103054</v>
      </c>
      <c r="W82" s="170" t="s">
        <v>103</v>
      </c>
      <c r="X82" s="170" t="s">
        <v>104</v>
      </c>
      <c r="Y82" s="170" t="s">
        <v>57</v>
      </c>
      <c r="Z82" s="170" t="s">
        <v>319</v>
      </c>
      <c r="AA82" s="170">
        <v>1</v>
      </c>
    </row>
    <row r="83" spans="1:27" x14ac:dyDescent="0.3">
      <c r="A83" s="170" t="str">
        <f t="shared" si="4"/>
        <v>77574103047</v>
      </c>
      <c r="B83" s="170" t="str">
        <f t="shared" si="5"/>
        <v>775716</v>
      </c>
      <c r="C83" s="174" t="str">
        <f t="shared" si="6"/>
        <v>77573</v>
      </c>
      <c r="D83" s="170">
        <v>7757</v>
      </c>
      <c r="E83" s="174">
        <v>2020110010099</v>
      </c>
      <c r="F83" s="170" t="s">
        <v>367</v>
      </c>
      <c r="G83" s="170" t="s">
        <v>63</v>
      </c>
      <c r="H83" s="170" t="s">
        <v>368</v>
      </c>
      <c r="I83" s="170" t="s">
        <v>164</v>
      </c>
      <c r="J83" s="170" t="s">
        <v>369</v>
      </c>
      <c r="K83" s="170" t="s">
        <v>370</v>
      </c>
      <c r="L83" s="170">
        <v>3</v>
      </c>
      <c r="M83" s="170" t="s">
        <v>378</v>
      </c>
      <c r="N83" s="170" t="s">
        <v>372</v>
      </c>
      <c r="O83" s="170">
        <v>3</v>
      </c>
      <c r="P83" s="170" t="s">
        <v>379</v>
      </c>
      <c r="Q83" s="170" t="s">
        <v>83</v>
      </c>
      <c r="R83" s="174">
        <v>16</v>
      </c>
      <c r="S83" s="170" t="s">
        <v>380</v>
      </c>
      <c r="T83" s="170" t="s">
        <v>381</v>
      </c>
      <c r="U83" s="170" t="s">
        <v>52</v>
      </c>
      <c r="V83" s="170">
        <v>4103047</v>
      </c>
      <c r="W83" s="170" t="s">
        <v>382</v>
      </c>
      <c r="X83" s="170" t="s">
        <v>383</v>
      </c>
      <c r="Y83" s="170" t="s">
        <v>57</v>
      </c>
      <c r="Z83" s="170" t="s">
        <v>319</v>
      </c>
      <c r="AA83" s="170">
        <v>1</v>
      </c>
    </row>
    <row r="84" spans="1:27" x14ac:dyDescent="0.3">
      <c r="A84" s="170" t="str">
        <f t="shared" si="4"/>
        <v>77574103052</v>
      </c>
      <c r="B84" s="170" t="str">
        <f t="shared" si="5"/>
        <v>775717</v>
      </c>
      <c r="C84" s="174" t="str">
        <f t="shared" si="6"/>
        <v>77574</v>
      </c>
      <c r="D84" s="170">
        <v>7757</v>
      </c>
      <c r="E84" s="174">
        <v>2020110010099</v>
      </c>
      <c r="F84" s="170" t="s">
        <v>367</v>
      </c>
      <c r="G84" s="170" t="s">
        <v>63</v>
      </c>
      <c r="H84" s="170" t="s">
        <v>368</v>
      </c>
      <c r="I84" s="170" t="s">
        <v>164</v>
      </c>
      <c r="J84" s="170" t="s">
        <v>369</v>
      </c>
      <c r="K84" s="170" t="s">
        <v>370</v>
      </c>
      <c r="L84" s="170">
        <v>4</v>
      </c>
      <c r="M84" s="170" t="s">
        <v>384</v>
      </c>
      <c r="N84" s="170" t="s">
        <v>372</v>
      </c>
      <c r="O84" s="170">
        <v>4</v>
      </c>
      <c r="P84" s="170" t="s">
        <v>385</v>
      </c>
      <c r="Q84" s="170" t="s">
        <v>83</v>
      </c>
      <c r="R84" s="174">
        <v>17</v>
      </c>
      <c r="S84" s="170" t="s">
        <v>386</v>
      </c>
      <c r="T84" s="170" t="s">
        <v>387</v>
      </c>
      <c r="U84" s="170" t="s">
        <v>52</v>
      </c>
      <c r="V84" s="170">
        <v>4103052</v>
      </c>
      <c r="W84" s="170" t="s">
        <v>112</v>
      </c>
      <c r="X84" s="170" t="s">
        <v>113</v>
      </c>
      <c r="Y84" s="170" t="s">
        <v>57</v>
      </c>
      <c r="Z84" s="170" t="s">
        <v>319</v>
      </c>
      <c r="AA84" s="170">
        <v>1</v>
      </c>
    </row>
    <row r="85" spans="1:27" x14ac:dyDescent="0.3">
      <c r="A85" s="170" t="str">
        <f t="shared" si="4"/>
        <v>77574103064</v>
      </c>
      <c r="B85" s="170" t="str">
        <f t="shared" si="5"/>
        <v>775717</v>
      </c>
      <c r="C85" s="174" t="str">
        <f t="shared" si="6"/>
        <v>77575</v>
      </c>
      <c r="D85" s="170">
        <v>7757</v>
      </c>
      <c r="E85" s="174">
        <v>2020110010099</v>
      </c>
      <c r="F85" s="170" t="s">
        <v>367</v>
      </c>
      <c r="G85" s="170" t="s">
        <v>63</v>
      </c>
      <c r="H85" s="170" t="s">
        <v>368</v>
      </c>
      <c r="I85" s="170" t="s">
        <v>164</v>
      </c>
      <c r="J85" s="170" t="s">
        <v>369</v>
      </c>
      <c r="K85" s="170" t="s">
        <v>370</v>
      </c>
      <c r="L85" s="170">
        <v>5</v>
      </c>
      <c r="M85" s="170" t="s">
        <v>388</v>
      </c>
      <c r="N85" s="170" t="s">
        <v>372</v>
      </c>
      <c r="O85" s="170">
        <v>5</v>
      </c>
      <c r="P85" s="170" t="s">
        <v>389</v>
      </c>
      <c r="Q85" s="170" t="s">
        <v>52</v>
      </c>
      <c r="R85" s="174">
        <v>17</v>
      </c>
      <c r="S85" s="170" t="s">
        <v>386</v>
      </c>
      <c r="T85" s="170" t="s">
        <v>387</v>
      </c>
      <c r="U85" s="170" t="s">
        <v>52</v>
      </c>
      <c r="V85" s="170">
        <v>4103064</v>
      </c>
      <c r="W85" s="170" t="s">
        <v>390</v>
      </c>
      <c r="X85" s="170" t="s">
        <v>391</v>
      </c>
      <c r="Y85" s="170" t="s">
        <v>57</v>
      </c>
      <c r="Z85" s="170" t="s">
        <v>319</v>
      </c>
      <c r="AA85" s="170">
        <v>1</v>
      </c>
    </row>
    <row r="86" spans="1:27" x14ac:dyDescent="0.3">
      <c r="A86" s="170" t="str">
        <f t="shared" si="4"/>
        <v>77684103063</v>
      </c>
      <c r="B86" s="170" t="str">
        <f t="shared" si="5"/>
        <v>776815</v>
      </c>
      <c r="C86" s="174" t="str">
        <f t="shared" si="6"/>
        <v>77681</v>
      </c>
      <c r="D86" s="170">
        <v>7768</v>
      </c>
      <c r="E86" s="174">
        <v>2020110010113</v>
      </c>
      <c r="F86" s="170" t="s">
        <v>392</v>
      </c>
      <c r="G86" s="170" t="s">
        <v>63</v>
      </c>
      <c r="H86" s="170" t="s">
        <v>368</v>
      </c>
      <c r="I86" s="170" t="s">
        <v>393</v>
      </c>
      <c r="J86" s="170" t="s">
        <v>369</v>
      </c>
      <c r="K86" s="170" t="s">
        <v>394</v>
      </c>
      <c r="L86" s="170">
        <v>1</v>
      </c>
      <c r="M86" s="170" t="s">
        <v>395</v>
      </c>
      <c r="N86" s="170" t="s">
        <v>141</v>
      </c>
      <c r="O86" s="170">
        <v>1</v>
      </c>
      <c r="P86" s="170" t="s">
        <v>396</v>
      </c>
      <c r="Q86" s="170" t="s">
        <v>83</v>
      </c>
      <c r="R86" s="174">
        <v>15</v>
      </c>
      <c r="S86" s="170" t="s">
        <v>397</v>
      </c>
      <c r="T86" s="170" t="s">
        <v>398</v>
      </c>
      <c r="U86" s="170" t="s">
        <v>71</v>
      </c>
      <c r="V86" s="170">
        <v>4103063</v>
      </c>
      <c r="W86" s="170" t="s">
        <v>155</v>
      </c>
      <c r="X86" s="170" t="s">
        <v>156</v>
      </c>
      <c r="Y86" s="170" t="s">
        <v>57</v>
      </c>
      <c r="Z86" s="170" t="s">
        <v>319</v>
      </c>
      <c r="AA86" s="170">
        <v>1</v>
      </c>
    </row>
    <row r="87" spans="1:27" x14ac:dyDescent="0.3">
      <c r="A87" s="170" t="str">
        <f t="shared" si="4"/>
        <v>77684103050</v>
      </c>
      <c r="B87" s="170" t="str">
        <f t="shared" si="5"/>
        <v>776815</v>
      </c>
      <c r="C87" s="174" t="str">
        <f t="shared" si="6"/>
        <v>77682</v>
      </c>
      <c r="D87" s="170">
        <v>7768</v>
      </c>
      <c r="E87" s="174">
        <v>2020110010113</v>
      </c>
      <c r="F87" s="170" t="s">
        <v>392</v>
      </c>
      <c r="G87" s="170" t="s">
        <v>63</v>
      </c>
      <c r="H87" s="170" t="s">
        <v>368</v>
      </c>
      <c r="I87" s="170" t="s">
        <v>393</v>
      </c>
      <c r="J87" s="170" t="s">
        <v>369</v>
      </c>
      <c r="K87" s="170" t="s">
        <v>394</v>
      </c>
      <c r="L87" s="170">
        <v>2</v>
      </c>
      <c r="M87" s="170" t="s">
        <v>399</v>
      </c>
      <c r="N87" s="170" t="s">
        <v>141</v>
      </c>
      <c r="O87" s="170">
        <v>2</v>
      </c>
      <c r="P87" s="170" t="s">
        <v>400</v>
      </c>
      <c r="Q87" s="170" t="s">
        <v>71</v>
      </c>
      <c r="R87" s="174">
        <v>15</v>
      </c>
      <c r="S87" s="170" t="s">
        <v>397</v>
      </c>
      <c r="T87" s="170" t="s">
        <v>398</v>
      </c>
      <c r="U87" s="170" t="s">
        <v>71</v>
      </c>
      <c r="V87" s="170">
        <v>4103050</v>
      </c>
      <c r="W87" s="170" t="s">
        <v>278</v>
      </c>
      <c r="X87" s="170" t="s">
        <v>279</v>
      </c>
      <c r="Y87" s="170" t="s">
        <v>401</v>
      </c>
      <c r="Z87" s="170" t="s">
        <v>319</v>
      </c>
      <c r="AA87" s="170">
        <v>1</v>
      </c>
    </row>
    <row r="88" spans="1:27" x14ac:dyDescent="0.3">
      <c r="A88" s="170" t="str">
        <f t="shared" si="4"/>
        <v>77684103054</v>
      </c>
      <c r="B88" s="170" t="str">
        <f t="shared" si="5"/>
        <v>776815</v>
      </c>
      <c r="C88" s="174" t="str">
        <f t="shared" si="6"/>
        <v>77683</v>
      </c>
      <c r="D88" s="170">
        <v>7768</v>
      </c>
      <c r="E88" s="174">
        <v>2020110010113</v>
      </c>
      <c r="F88" s="170" t="s">
        <v>392</v>
      </c>
      <c r="G88" s="170" t="s">
        <v>63</v>
      </c>
      <c r="H88" s="170" t="s">
        <v>368</v>
      </c>
      <c r="I88" s="170" t="s">
        <v>393</v>
      </c>
      <c r="J88" s="170" t="s">
        <v>369</v>
      </c>
      <c r="K88" s="170" t="s">
        <v>394</v>
      </c>
      <c r="L88" s="170">
        <v>3</v>
      </c>
      <c r="M88" s="170" t="s">
        <v>402</v>
      </c>
      <c r="N88" s="170" t="s">
        <v>141</v>
      </c>
      <c r="O88" s="170">
        <v>3</v>
      </c>
      <c r="P88" s="170" t="s">
        <v>403</v>
      </c>
      <c r="Q88" s="170" t="s">
        <v>71</v>
      </c>
      <c r="R88" s="174">
        <v>15</v>
      </c>
      <c r="S88" s="170" t="s">
        <v>397</v>
      </c>
      <c r="T88" s="170" t="s">
        <v>398</v>
      </c>
      <c r="U88" s="170" t="s">
        <v>71</v>
      </c>
      <c r="V88" s="170">
        <v>4103054</v>
      </c>
      <c r="W88" s="170" t="s">
        <v>103</v>
      </c>
      <c r="X88" s="170" t="s">
        <v>104</v>
      </c>
      <c r="Y88" s="170" t="s">
        <v>57</v>
      </c>
      <c r="Z88" s="170" t="s">
        <v>319</v>
      </c>
      <c r="AA88" s="170">
        <v>1</v>
      </c>
    </row>
    <row r="89" spans="1:27" x14ac:dyDescent="0.3">
      <c r="A89" s="170" t="str">
        <f t="shared" si="4"/>
        <v>77684103006</v>
      </c>
      <c r="B89" s="170" t="str">
        <f t="shared" si="5"/>
        <v>776814</v>
      </c>
      <c r="C89" s="174" t="str">
        <f t="shared" si="6"/>
        <v>77684</v>
      </c>
      <c r="D89" s="170">
        <v>7768</v>
      </c>
      <c r="E89" s="174">
        <v>2020110010113</v>
      </c>
      <c r="F89" s="170" t="s">
        <v>392</v>
      </c>
      <c r="G89" s="170" t="s">
        <v>63</v>
      </c>
      <c r="H89" s="170" t="s">
        <v>368</v>
      </c>
      <c r="I89" s="170" t="s">
        <v>393</v>
      </c>
      <c r="J89" s="170" t="s">
        <v>369</v>
      </c>
      <c r="K89" s="170" t="s">
        <v>394</v>
      </c>
      <c r="L89" s="170">
        <v>3</v>
      </c>
      <c r="M89" s="170" t="s">
        <v>402</v>
      </c>
      <c r="N89" s="170" t="s">
        <v>141</v>
      </c>
      <c r="O89" s="170">
        <v>4</v>
      </c>
      <c r="P89" s="170" t="s">
        <v>404</v>
      </c>
      <c r="Q89" s="170" t="s">
        <v>71</v>
      </c>
      <c r="R89" s="174">
        <v>14</v>
      </c>
      <c r="S89" s="170" t="s">
        <v>405</v>
      </c>
      <c r="T89" s="170" t="s">
        <v>406</v>
      </c>
      <c r="U89" s="170" t="s">
        <v>71</v>
      </c>
      <c r="V89" s="178">
        <v>4103006</v>
      </c>
      <c r="W89" s="170" t="s">
        <v>179</v>
      </c>
      <c r="X89" s="170" t="s">
        <v>180</v>
      </c>
      <c r="Y89" s="170" t="s">
        <v>57</v>
      </c>
      <c r="Z89" s="170" t="s">
        <v>319</v>
      </c>
      <c r="AA89" s="170">
        <v>1</v>
      </c>
    </row>
    <row r="90" spans="1:27" x14ac:dyDescent="0.3">
      <c r="A90" s="170" t="str">
        <f t="shared" si="4"/>
        <v>77704103052</v>
      </c>
      <c r="B90" s="170" t="str">
        <f t="shared" si="5"/>
        <v>777060</v>
      </c>
      <c r="C90" s="174" t="str">
        <f t="shared" si="6"/>
        <v>77702</v>
      </c>
      <c r="D90" s="170">
        <v>7770</v>
      </c>
      <c r="E90" s="174">
        <v>2020110010129</v>
      </c>
      <c r="F90" s="170" t="s">
        <v>407</v>
      </c>
      <c r="G90" s="170" t="s">
        <v>63</v>
      </c>
      <c r="H90" s="170" t="s">
        <v>64</v>
      </c>
      <c r="I90" s="170" t="s">
        <v>65</v>
      </c>
      <c r="J90" s="170" t="s">
        <v>66</v>
      </c>
      <c r="K90" s="170" t="s">
        <v>408</v>
      </c>
      <c r="L90" s="170">
        <v>1</v>
      </c>
      <c r="M90" s="170" t="s">
        <v>409</v>
      </c>
      <c r="N90" s="170" t="s">
        <v>410</v>
      </c>
      <c r="O90" s="170">
        <v>2</v>
      </c>
      <c r="P90" s="170" t="s">
        <v>411</v>
      </c>
      <c r="Q90" s="170" t="s">
        <v>52</v>
      </c>
      <c r="R90" s="174">
        <v>60</v>
      </c>
      <c r="S90" s="170" t="s">
        <v>412</v>
      </c>
      <c r="T90" s="170" t="s">
        <v>413</v>
      </c>
      <c r="U90" s="170" t="s">
        <v>52</v>
      </c>
      <c r="V90" s="170">
        <v>4103052</v>
      </c>
      <c r="W90" s="170" t="s">
        <v>112</v>
      </c>
      <c r="X90" s="170" t="s">
        <v>113</v>
      </c>
      <c r="Y90" s="170" t="s">
        <v>57</v>
      </c>
      <c r="Z90" s="170" t="s">
        <v>173</v>
      </c>
      <c r="AA90" s="170">
        <v>1</v>
      </c>
    </row>
    <row r="91" spans="1:27" x14ac:dyDescent="0.3">
      <c r="A91" s="170" t="str">
        <f t="shared" si="4"/>
        <v>77704103052</v>
      </c>
      <c r="B91" s="170" t="str">
        <f t="shared" si="5"/>
        <v>777060</v>
      </c>
      <c r="C91" s="174" t="str">
        <f t="shared" si="6"/>
        <v>77703</v>
      </c>
      <c r="D91" s="170">
        <v>7770</v>
      </c>
      <c r="E91" s="174">
        <v>2020110010129</v>
      </c>
      <c r="F91" s="170" t="s">
        <v>407</v>
      </c>
      <c r="G91" s="170" t="s">
        <v>63</v>
      </c>
      <c r="H91" s="170" t="s">
        <v>64</v>
      </c>
      <c r="I91" s="170" t="s">
        <v>65</v>
      </c>
      <c r="J91" s="170" t="s">
        <v>66</v>
      </c>
      <c r="K91" s="170" t="s">
        <v>408</v>
      </c>
      <c r="L91" s="170">
        <v>1</v>
      </c>
      <c r="M91" s="170" t="s">
        <v>409</v>
      </c>
      <c r="N91" s="170" t="s">
        <v>410</v>
      </c>
      <c r="O91" s="170">
        <v>3</v>
      </c>
      <c r="P91" s="170" t="s">
        <v>414</v>
      </c>
      <c r="Q91" s="170" t="s">
        <v>52</v>
      </c>
      <c r="R91" s="174">
        <v>60</v>
      </c>
      <c r="S91" s="170" t="s">
        <v>412</v>
      </c>
      <c r="T91" s="170" t="s">
        <v>413</v>
      </c>
      <c r="U91" s="170" t="s">
        <v>52</v>
      </c>
      <c r="V91" s="170">
        <v>4103052</v>
      </c>
      <c r="W91" s="170" t="s">
        <v>112</v>
      </c>
      <c r="X91" s="170" t="s">
        <v>113</v>
      </c>
      <c r="Y91" s="170" t="s">
        <v>57</v>
      </c>
      <c r="Z91" s="170" t="s">
        <v>173</v>
      </c>
      <c r="AA91" s="170">
        <v>1</v>
      </c>
    </row>
    <row r="92" spans="1:27" x14ac:dyDescent="0.3">
      <c r="A92" s="170" t="str">
        <f t="shared" si="4"/>
        <v>77704103052</v>
      </c>
      <c r="B92" s="170" t="str">
        <f t="shared" si="5"/>
        <v>777060</v>
      </c>
      <c r="C92" s="174" t="str">
        <f t="shared" si="6"/>
        <v>77704</v>
      </c>
      <c r="D92" s="170">
        <v>7770</v>
      </c>
      <c r="E92" s="174">
        <v>2020110010129</v>
      </c>
      <c r="F92" s="170" t="s">
        <v>407</v>
      </c>
      <c r="G92" s="170" t="s">
        <v>63</v>
      </c>
      <c r="H92" s="170" t="s">
        <v>64</v>
      </c>
      <c r="I92" s="170" t="s">
        <v>65</v>
      </c>
      <c r="J92" s="170" t="s">
        <v>66</v>
      </c>
      <c r="K92" s="170" t="s">
        <v>408</v>
      </c>
      <c r="L92" s="170">
        <v>1</v>
      </c>
      <c r="M92" s="170" t="s">
        <v>409</v>
      </c>
      <c r="N92" s="170" t="s">
        <v>410</v>
      </c>
      <c r="O92" s="170">
        <v>4</v>
      </c>
      <c r="P92" s="170" t="s">
        <v>415</v>
      </c>
      <c r="Q92" s="170" t="s">
        <v>52</v>
      </c>
      <c r="R92" s="174">
        <v>60</v>
      </c>
      <c r="S92" s="170" t="s">
        <v>412</v>
      </c>
      <c r="T92" s="170" t="s">
        <v>413</v>
      </c>
      <c r="U92" s="170" t="s">
        <v>52</v>
      </c>
      <c r="V92" s="170">
        <v>4103052</v>
      </c>
      <c r="W92" s="170" t="s">
        <v>112</v>
      </c>
      <c r="X92" s="170" t="s">
        <v>113</v>
      </c>
      <c r="Y92" s="170" t="s">
        <v>57</v>
      </c>
      <c r="Z92" s="170" t="s">
        <v>173</v>
      </c>
      <c r="AA92" s="170">
        <v>1</v>
      </c>
    </row>
    <row r="93" spans="1:27" x14ac:dyDescent="0.3">
      <c r="A93" s="170" t="str">
        <f t="shared" si="4"/>
        <v>77704103063</v>
      </c>
      <c r="B93" s="170" t="str">
        <f t="shared" si="5"/>
        <v>777060</v>
      </c>
      <c r="C93" s="174" t="str">
        <f t="shared" si="6"/>
        <v>77706</v>
      </c>
      <c r="D93" s="170">
        <v>7770</v>
      </c>
      <c r="E93" s="174">
        <v>2020110010129</v>
      </c>
      <c r="F93" s="170" t="s">
        <v>407</v>
      </c>
      <c r="G93" s="170" t="s">
        <v>63</v>
      </c>
      <c r="H93" s="170" t="s">
        <v>64</v>
      </c>
      <c r="I93" s="170" t="s">
        <v>65</v>
      </c>
      <c r="J93" s="170" t="s">
        <v>66</v>
      </c>
      <c r="K93" s="170" t="s">
        <v>408</v>
      </c>
      <c r="L93" s="170">
        <v>1</v>
      </c>
      <c r="M93" s="170" t="s">
        <v>409</v>
      </c>
      <c r="N93" s="170" t="s">
        <v>410</v>
      </c>
      <c r="O93" s="170">
        <v>6</v>
      </c>
      <c r="P93" s="170" t="s">
        <v>416</v>
      </c>
      <c r="Q93" s="170" t="s">
        <v>83</v>
      </c>
      <c r="R93" s="174">
        <v>60</v>
      </c>
      <c r="S93" s="170" t="s">
        <v>412</v>
      </c>
      <c r="T93" s="170" t="s">
        <v>413</v>
      </c>
      <c r="U93" s="170" t="s">
        <v>52</v>
      </c>
      <c r="V93" s="170">
        <v>4103063</v>
      </c>
      <c r="W93" s="170" t="s">
        <v>155</v>
      </c>
      <c r="X93" s="170" t="s">
        <v>156</v>
      </c>
      <c r="Y93" s="170" t="s">
        <v>57</v>
      </c>
      <c r="Z93" s="170" t="s">
        <v>173</v>
      </c>
      <c r="AA93" s="170">
        <v>1</v>
      </c>
    </row>
    <row r="94" spans="1:27" x14ac:dyDescent="0.3">
      <c r="A94" s="170" t="str">
        <f t="shared" si="4"/>
        <v>77704103063</v>
      </c>
      <c r="B94" s="170" t="str">
        <f t="shared" si="5"/>
        <v>777060</v>
      </c>
      <c r="C94" s="174" t="str">
        <f t="shared" si="6"/>
        <v>77707</v>
      </c>
      <c r="D94" s="170">
        <v>7770</v>
      </c>
      <c r="E94" s="174">
        <v>2020110010129</v>
      </c>
      <c r="F94" s="170" t="s">
        <v>407</v>
      </c>
      <c r="G94" s="170" t="s">
        <v>63</v>
      </c>
      <c r="H94" s="170" t="s">
        <v>64</v>
      </c>
      <c r="I94" s="170" t="s">
        <v>65</v>
      </c>
      <c r="J94" s="170" t="s">
        <v>66</v>
      </c>
      <c r="K94" s="170" t="s">
        <v>408</v>
      </c>
      <c r="L94" s="170">
        <v>1</v>
      </c>
      <c r="M94" s="170" t="s">
        <v>409</v>
      </c>
      <c r="N94" s="170" t="s">
        <v>410</v>
      </c>
      <c r="O94" s="170">
        <v>7</v>
      </c>
      <c r="P94" s="170" t="s">
        <v>417</v>
      </c>
      <c r="Q94" s="170" t="s">
        <v>71</v>
      </c>
      <c r="R94" s="174">
        <v>60</v>
      </c>
      <c r="S94" s="170" t="s">
        <v>412</v>
      </c>
      <c r="T94" s="170" t="s">
        <v>413</v>
      </c>
      <c r="U94" s="170" t="s">
        <v>52</v>
      </c>
      <c r="V94" s="170">
        <v>4103063</v>
      </c>
      <c r="W94" s="170" t="s">
        <v>155</v>
      </c>
      <c r="X94" s="170" t="s">
        <v>156</v>
      </c>
      <c r="Y94" s="170" t="s">
        <v>57</v>
      </c>
      <c r="Z94" s="170" t="s">
        <v>173</v>
      </c>
      <c r="AA94" s="170">
        <v>1</v>
      </c>
    </row>
    <row r="95" spans="1:27" x14ac:dyDescent="0.3">
      <c r="A95" s="170" t="str">
        <f t="shared" si="4"/>
        <v>77704103049</v>
      </c>
      <c r="B95" s="170" t="str">
        <f t="shared" si="5"/>
        <v>777049</v>
      </c>
      <c r="C95" s="174" t="str">
        <f t="shared" si="6"/>
        <v>77705</v>
      </c>
      <c r="D95" s="170">
        <v>7770</v>
      </c>
      <c r="E95" s="174">
        <v>2020110010129</v>
      </c>
      <c r="F95" s="170" t="s">
        <v>407</v>
      </c>
      <c r="G95" s="170" t="s">
        <v>63</v>
      </c>
      <c r="H95" s="170" t="s">
        <v>64</v>
      </c>
      <c r="I95" s="170" t="s">
        <v>65</v>
      </c>
      <c r="J95" s="170" t="s">
        <v>66</v>
      </c>
      <c r="K95" s="170" t="s">
        <v>408</v>
      </c>
      <c r="L95" s="170">
        <v>2</v>
      </c>
      <c r="M95" s="170" t="s">
        <v>418</v>
      </c>
      <c r="N95" s="170" t="s">
        <v>410</v>
      </c>
      <c r="O95" s="170">
        <v>5</v>
      </c>
      <c r="P95" s="170" t="s">
        <v>419</v>
      </c>
      <c r="Q95" s="170" t="s">
        <v>52</v>
      </c>
      <c r="R95" s="174">
        <v>49</v>
      </c>
      <c r="S95" s="170" t="s">
        <v>420</v>
      </c>
      <c r="T95" s="170" t="s">
        <v>421</v>
      </c>
      <c r="U95" s="170" t="s">
        <v>52</v>
      </c>
      <c r="V95" s="170">
        <v>4103049</v>
      </c>
      <c r="W95" s="170" t="s">
        <v>108</v>
      </c>
      <c r="X95" s="170" t="s">
        <v>109</v>
      </c>
      <c r="Y95" s="170" t="s">
        <v>57</v>
      </c>
      <c r="Z95" s="170" t="s">
        <v>422</v>
      </c>
      <c r="AA95" s="170">
        <v>5</v>
      </c>
    </row>
    <row r="96" spans="1:27" x14ac:dyDescent="0.3">
      <c r="A96" s="170" t="str">
        <f t="shared" si="4"/>
        <v>77704103006</v>
      </c>
      <c r="B96" s="170" t="str">
        <f t="shared" si="5"/>
        <v>777061</v>
      </c>
      <c r="C96" s="174" t="str">
        <f t="shared" si="6"/>
        <v>77701</v>
      </c>
      <c r="D96" s="170">
        <v>7770</v>
      </c>
      <c r="E96" s="174">
        <v>2020110010129</v>
      </c>
      <c r="F96" s="170" t="s">
        <v>407</v>
      </c>
      <c r="G96" s="170" t="s">
        <v>63</v>
      </c>
      <c r="H96" s="170" t="s">
        <v>64</v>
      </c>
      <c r="I96" s="170" t="s">
        <v>65</v>
      </c>
      <c r="J96" s="170" t="s">
        <v>66</v>
      </c>
      <c r="K96" s="170" t="s">
        <v>408</v>
      </c>
      <c r="L96" s="170">
        <v>3</v>
      </c>
      <c r="M96" s="170" t="s">
        <v>423</v>
      </c>
      <c r="N96" s="170" t="s">
        <v>410</v>
      </c>
      <c r="O96" s="170">
        <v>1</v>
      </c>
      <c r="P96" s="170" t="s">
        <v>424</v>
      </c>
      <c r="Q96" s="170" t="s">
        <v>52</v>
      </c>
      <c r="R96" s="174">
        <v>61</v>
      </c>
      <c r="S96" s="170" t="s">
        <v>425</v>
      </c>
      <c r="T96" s="170" t="s">
        <v>426</v>
      </c>
      <c r="U96" s="170" t="s">
        <v>52</v>
      </c>
      <c r="V96" s="170">
        <v>4103006</v>
      </c>
      <c r="W96" s="170" t="s">
        <v>179</v>
      </c>
      <c r="X96" s="170" t="s">
        <v>180</v>
      </c>
      <c r="Y96" s="170" t="s">
        <v>57</v>
      </c>
      <c r="Z96" s="170" t="s">
        <v>173</v>
      </c>
      <c r="AA96" s="170">
        <v>1</v>
      </c>
    </row>
    <row r="97" spans="1:27" x14ac:dyDescent="0.3">
      <c r="A97" s="170" t="str">
        <f t="shared" si="4"/>
        <v>77704103006</v>
      </c>
      <c r="B97" s="170" t="str">
        <f t="shared" si="5"/>
        <v>777061</v>
      </c>
      <c r="C97" s="174" t="str">
        <f t="shared" si="6"/>
        <v>77701</v>
      </c>
      <c r="D97" s="170">
        <v>7770</v>
      </c>
      <c r="E97" s="174">
        <v>2020110010129</v>
      </c>
      <c r="F97" s="170" t="s">
        <v>407</v>
      </c>
      <c r="G97" s="170" t="s">
        <v>63</v>
      </c>
      <c r="H97" s="170" t="s">
        <v>64</v>
      </c>
      <c r="I97" s="170" t="s">
        <v>65</v>
      </c>
      <c r="J97" s="170" t="s">
        <v>66</v>
      </c>
      <c r="K97" s="170" t="s">
        <v>408</v>
      </c>
      <c r="L97" s="170">
        <v>3</v>
      </c>
      <c r="M97" s="170" t="s">
        <v>423</v>
      </c>
      <c r="N97" s="170" t="s">
        <v>410</v>
      </c>
      <c r="O97" s="170">
        <v>1</v>
      </c>
      <c r="P97" s="170" t="s">
        <v>424</v>
      </c>
      <c r="Q97" s="170" t="s">
        <v>52</v>
      </c>
      <c r="R97" s="174">
        <v>61</v>
      </c>
      <c r="S97" s="170" t="s">
        <v>425</v>
      </c>
      <c r="T97" s="170" t="s">
        <v>427</v>
      </c>
      <c r="U97" s="170" t="s">
        <v>52</v>
      </c>
      <c r="V97" s="170">
        <v>4103006</v>
      </c>
      <c r="W97" s="170" t="s">
        <v>179</v>
      </c>
      <c r="X97" s="170" t="s">
        <v>180</v>
      </c>
      <c r="Y97" s="170" t="s">
        <v>57</v>
      </c>
      <c r="Z97" s="170" t="s">
        <v>173</v>
      </c>
      <c r="AA97" s="170">
        <v>1</v>
      </c>
    </row>
    <row r="98" spans="1:27" x14ac:dyDescent="0.3">
      <c r="A98" s="170" t="str">
        <f t="shared" si="4"/>
        <v>77714103049</v>
      </c>
      <c r="B98" s="170" t="str">
        <f t="shared" si="5"/>
        <v>777157</v>
      </c>
      <c r="C98" s="174" t="str">
        <f t="shared" si="6"/>
        <v>77711</v>
      </c>
      <c r="D98" s="170">
        <v>7771</v>
      </c>
      <c r="E98" s="174">
        <v>2020110010121</v>
      </c>
      <c r="F98" s="170" t="s">
        <v>428</v>
      </c>
      <c r="G98" s="170" t="s">
        <v>63</v>
      </c>
      <c r="H98" s="170" t="s">
        <v>64</v>
      </c>
      <c r="I98" s="170" t="s">
        <v>65</v>
      </c>
      <c r="J98" s="170" t="s">
        <v>66</v>
      </c>
      <c r="K98" s="170" t="s">
        <v>429</v>
      </c>
      <c r="L98" s="170">
        <v>1</v>
      </c>
      <c r="M98" s="170" t="s">
        <v>430</v>
      </c>
      <c r="N98" s="170" t="s">
        <v>431</v>
      </c>
      <c r="O98" s="170">
        <v>1</v>
      </c>
      <c r="P98" s="192" t="s">
        <v>432</v>
      </c>
      <c r="Q98" s="170" t="s">
        <v>71</v>
      </c>
      <c r="R98" s="174">
        <v>57</v>
      </c>
      <c r="S98" s="170" t="s">
        <v>433</v>
      </c>
      <c r="T98" s="170" t="s">
        <v>434</v>
      </c>
      <c r="U98" s="170" t="s">
        <v>71</v>
      </c>
      <c r="V98" s="170">
        <v>4103049</v>
      </c>
      <c r="W98" s="170" t="s">
        <v>108</v>
      </c>
      <c r="X98" s="170" t="s">
        <v>109</v>
      </c>
      <c r="Y98" s="170" t="s">
        <v>57</v>
      </c>
      <c r="Z98" s="170" t="s">
        <v>105</v>
      </c>
      <c r="AA98" s="170">
        <v>10</v>
      </c>
    </row>
    <row r="99" spans="1:27" x14ac:dyDescent="0.3">
      <c r="A99" s="170" t="str">
        <f t="shared" ref="A99:A110" si="7">D99&amp;V99</f>
        <v>77714103052</v>
      </c>
      <c r="B99" s="170" t="str">
        <f t="shared" si="5"/>
        <v>777158</v>
      </c>
      <c r="C99" s="174" t="str">
        <f t="shared" si="6"/>
        <v>77712</v>
      </c>
      <c r="D99" s="170">
        <v>7771</v>
      </c>
      <c r="E99" s="174">
        <v>2020110010121</v>
      </c>
      <c r="F99" s="170" t="s">
        <v>428</v>
      </c>
      <c r="G99" s="170" t="s">
        <v>63</v>
      </c>
      <c r="H99" s="170" t="s">
        <v>64</v>
      </c>
      <c r="I99" s="170" t="s">
        <v>65</v>
      </c>
      <c r="J99" s="170" t="s">
        <v>66</v>
      </c>
      <c r="K99" s="170" t="s">
        <v>429</v>
      </c>
      <c r="L99" s="170">
        <v>2</v>
      </c>
      <c r="M99" s="170" t="s">
        <v>435</v>
      </c>
      <c r="N99" s="170" t="s">
        <v>431</v>
      </c>
      <c r="O99" s="170">
        <v>2</v>
      </c>
      <c r="P99" s="192" t="s">
        <v>436</v>
      </c>
      <c r="Q99" s="170" t="s">
        <v>52</v>
      </c>
      <c r="R99" s="174">
        <v>58</v>
      </c>
      <c r="S99" s="170" t="s">
        <v>437</v>
      </c>
      <c r="T99" s="170" t="s">
        <v>438</v>
      </c>
      <c r="U99" s="170" t="s">
        <v>52</v>
      </c>
      <c r="V99" s="170">
        <v>4103052</v>
      </c>
      <c r="W99" s="170" t="s">
        <v>112</v>
      </c>
      <c r="X99" s="170" t="s">
        <v>113</v>
      </c>
      <c r="Y99" s="170" t="s">
        <v>57</v>
      </c>
      <c r="Z99" s="170" t="s">
        <v>105</v>
      </c>
      <c r="AA99" s="170">
        <v>10</v>
      </c>
    </row>
    <row r="100" spans="1:27" x14ac:dyDescent="0.3">
      <c r="A100" s="170" t="str">
        <f t="shared" si="7"/>
        <v>77714103052</v>
      </c>
      <c r="B100" s="170" t="str">
        <f t="shared" si="5"/>
        <v>777158</v>
      </c>
      <c r="C100" s="174" t="str">
        <f t="shared" si="6"/>
        <v>77712</v>
      </c>
      <c r="D100" s="170">
        <v>7771</v>
      </c>
      <c r="E100" s="174">
        <v>2020110010121</v>
      </c>
      <c r="F100" s="170" t="s">
        <v>428</v>
      </c>
      <c r="G100" s="170" t="s">
        <v>63</v>
      </c>
      <c r="H100" s="170" t="s">
        <v>64</v>
      </c>
      <c r="I100" s="170" t="s">
        <v>65</v>
      </c>
      <c r="J100" s="170" t="s">
        <v>66</v>
      </c>
      <c r="K100" s="170" t="s">
        <v>429</v>
      </c>
      <c r="L100" s="170">
        <v>2</v>
      </c>
      <c r="M100" s="170" t="s">
        <v>435</v>
      </c>
      <c r="N100" s="170" t="s">
        <v>431</v>
      </c>
      <c r="O100" s="170">
        <v>2</v>
      </c>
      <c r="P100" s="192" t="s">
        <v>436</v>
      </c>
      <c r="Q100" s="170" t="s">
        <v>52</v>
      </c>
      <c r="R100" s="174">
        <v>58</v>
      </c>
      <c r="S100" s="170" t="s">
        <v>437</v>
      </c>
      <c r="T100" s="170" t="s">
        <v>439</v>
      </c>
      <c r="U100" s="170" t="s">
        <v>52</v>
      </c>
      <c r="V100" s="170">
        <v>4103052</v>
      </c>
      <c r="W100" s="170" t="s">
        <v>112</v>
      </c>
      <c r="X100" s="170" t="s">
        <v>113</v>
      </c>
      <c r="Y100" s="170" t="s">
        <v>57</v>
      </c>
      <c r="Z100" s="170" t="s">
        <v>105</v>
      </c>
      <c r="AA100" s="170">
        <v>10</v>
      </c>
    </row>
    <row r="101" spans="1:27" x14ac:dyDescent="0.3">
      <c r="A101" s="170" t="str">
        <f t="shared" si="7"/>
        <v>77714103054</v>
      </c>
      <c r="B101" s="170" t="str">
        <f t="shared" si="5"/>
        <v>777159</v>
      </c>
      <c r="C101" s="174" t="str">
        <f t="shared" si="6"/>
        <v>77713</v>
      </c>
      <c r="D101" s="170">
        <v>7771</v>
      </c>
      <c r="E101" s="174">
        <v>2020110010121</v>
      </c>
      <c r="F101" s="170" t="s">
        <v>428</v>
      </c>
      <c r="G101" s="170" t="s">
        <v>63</v>
      </c>
      <c r="H101" s="170" t="s">
        <v>64</v>
      </c>
      <c r="I101" s="170" t="s">
        <v>65</v>
      </c>
      <c r="J101" s="170" t="s">
        <v>66</v>
      </c>
      <c r="K101" s="170" t="s">
        <v>429</v>
      </c>
      <c r="L101" s="170">
        <v>3</v>
      </c>
      <c r="M101" s="170" t="s">
        <v>440</v>
      </c>
      <c r="N101" s="170" t="s">
        <v>431</v>
      </c>
      <c r="O101" s="170">
        <v>3</v>
      </c>
      <c r="P101" s="170" t="s">
        <v>441</v>
      </c>
      <c r="Q101" s="170" t="s">
        <v>71</v>
      </c>
      <c r="R101" s="174">
        <v>59</v>
      </c>
      <c r="S101" s="170" t="s">
        <v>442</v>
      </c>
      <c r="T101" s="170" t="s">
        <v>443</v>
      </c>
      <c r="U101" s="170" t="s">
        <v>71</v>
      </c>
      <c r="V101" s="170">
        <v>4103054</v>
      </c>
      <c r="W101" s="170" t="s">
        <v>103</v>
      </c>
      <c r="X101" s="170" t="s">
        <v>104</v>
      </c>
      <c r="Y101" s="170" t="s">
        <v>57</v>
      </c>
      <c r="Z101" s="170" t="s">
        <v>105</v>
      </c>
      <c r="AA101" s="170">
        <v>10</v>
      </c>
    </row>
    <row r="102" spans="1:27" x14ac:dyDescent="0.3">
      <c r="A102" s="170" t="str">
        <f t="shared" si="7"/>
        <v>77714103054</v>
      </c>
      <c r="B102" s="170" t="str">
        <f t="shared" si="5"/>
        <v>777159</v>
      </c>
      <c r="C102" s="174" t="str">
        <f t="shared" si="6"/>
        <v>77713</v>
      </c>
      <c r="D102" s="170">
        <v>7771</v>
      </c>
      <c r="E102" s="174">
        <v>2020110010121</v>
      </c>
      <c r="F102" s="170" t="s">
        <v>428</v>
      </c>
      <c r="G102" s="170" t="s">
        <v>63</v>
      </c>
      <c r="H102" s="170" t="s">
        <v>64</v>
      </c>
      <c r="I102" s="170" t="s">
        <v>65</v>
      </c>
      <c r="J102" s="170" t="s">
        <v>66</v>
      </c>
      <c r="K102" s="170" t="s">
        <v>429</v>
      </c>
      <c r="L102" s="170">
        <v>3</v>
      </c>
      <c r="M102" s="170" t="s">
        <v>440</v>
      </c>
      <c r="N102" s="170" t="s">
        <v>431</v>
      </c>
      <c r="O102" s="170">
        <v>3</v>
      </c>
      <c r="P102" s="170" t="s">
        <v>441</v>
      </c>
      <c r="Q102" s="170" t="s">
        <v>71</v>
      </c>
      <c r="R102" s="174">
        <v>59</v>
      </c>
      <c r="S102" s="170" t="s">
        <v>442</v>
      </c>
      <c r="T102" s="170" t="s">
        <v>444</v>
      </c>
      <c r="U102" s="170" t="s">
        <v>71</v>
      </c>
      <c r="V102" s="170">
        <v>4103054</v>
      </c>
      <c r="W102" s="170" t="s">
        <v>103</v>
      </c>
      <c r="X102" s="170" t="s">
        <v>104</v>
      </c>
      <c r="Y102" s="170" t="s">
        <v>57</v>
      </c>
      <c r="Z102" s="170" t="s">
        <v>105</v>
      </c>
      <c r="AA102" s="170">
        <v>10</v>
      </c>
    </row>
    <row r="103" spans="1:27" x14ac:dyDescent="0.3">
      <c r="A103" s="170" t="str">
        <f t="shared" si="7"/>
        <v>77714103054</v>
      </c>
      <c r="B103" s="170" t="str">
        <f t="shared" si="5"/>
        <v>777159</v>
      </c>
      <c r="C103" s="174" t="str">
        <f t="shared" si="6"/>
        <v>77714</v>
      </c>
      <c r="D103" s="170">
        <v>7771</v>
      </c>
      <c r="E103" s="174">
        <v>2020110010121</v>
      </c>
      <c r="F103" s="170" t="s">
        <v>428</v>
      </c>
      <c r="G103" s="170" t="s">
        <v>63</v>
      </c>
      <c r="H103" s="170" t="s">
        <v>64</v>
      </c>
      <c r="I103" s="170" t="s">
        <v>65</v>
      </c>
      <c r="J103" s="170" t="s">
        <v>66</v>
      </c>
      <c r="K103" s="170" t="s">
        <v>429</v>
      </c>
      <c r="L103" s="170">
        <v>3</v>
      </c>
      <c r="M103" s="170" t="s">
        <v>440</v>
      </c>
      <c r="N103" s="170" t="s">
        <v>431</v>
      </c>
      <c r="O103" s="170">
        <v>4</v>
      </c>
      <c r="P103" s="170" t="s">
        <v>445</v>
      </c>
      <c r="Q103" s="170" t="s">
        <v>71</v>
      </c>
      <c r="R103" s="174">
        <v>59</v>
      </c>
      <c r="S103" s="170" t="s">
        <v>442</v>
      </c>
      <c r="T103" s="170" t="s">
        <v>443</v>
      </c>
      <c r="U103" s="170" t="s">
        <v>71</v>
      </c>
      <c r="V103" s="170">
        <v>4103054</v>
      </c>
      <c r="W103" s="170" t="s">
        <v>103</v>
      </c>
      <c r="X103" s="170" t="s">
        <v>104</v>
      </c>
      <c r="Y103" s="170" t="s">
        <v>57</v>
      </c>
      <c r="Z103" s="170" t="s">
        <v>105</v>
      </c>
      <c r="AA103" s="170">
        <v>10</v>
      </c>
    </row>
    <row r="104" spans="1:27" x14ac:dyDescent="0.3">
      <c r="A104" s="170" t="str">
        <f t="shared" si="7"/>
        <v>77714103054</v>
      </c>
      <c r="B104" s="170" t="str">
        <f t="shared" si="5"/>
        <v>777159</v>
      </c>
      <c r="C104" s="174" t="str">
        <f t="shared" si="6"/>
        <v>77714</v>
      </c>
      <c r="D104" s="170">
        <v>7771</v>
      </c>
      <c r="E104" s="174">
        <v>2020110010121</v>
      </c>
      <c r="F104" s="170" t="s">
        <v>428</v>
      </c>
      <c r="G104" s="170" t="s">
        <v>63</v>
      </c>
      <c r="H104" s="170" t="s">
        <v>64</v>
      </c>
      <c r="I104" s="170" t="s">
        <v>65</v>
      </c>
      <c r="J104" s="170" t="s">
        <v>66</v>
      </c>
      <c r="K104" s="170" t="s">
        <v>429</v>
      </c>
      <c r="L104" s="170">
        <v>3</v>
      </c>
      <c r="M104" s="170" t="s">
        <v>440</v>
      </c>
      <c r="N104" s="170" t="s">
        <v>431</v>
      </c>
      <c r="O104" s="170">
        <v>4</v>
      </c>
      <c r="P104" s="170" t="s">
        <v>445</v>
      </c>
      <c r="Q104" s="170" t="s">
        <v>71</v>
      </c>
      <c r="R104" s="174">
        <v>59</v>
      </c>
      <c r="S104" s="170" t="s">
        <v>442</v>
      </c>
      <c r="T104" s="170" t="s">
        <v>444</v>
      </c>
      <c r="U104" s="170" t="s">
        <v>71</v>
      </c>
      <c r="V104" s="170">
        <v>4103054</v>
      </c>
      <c r="W104" s="170" t="s">
        <v>103</v>
      </c>
      <c r="X104" s="170" t="s">
        <v>104</v>
      </c>
      <c r="Y104" s="170" t="s">
        <v>57</v>
      </c>
      <c r="Z104" s="170" t="s">
        <v>105</v>
      </c>
      <c r="AA104" s="170">
        <v>10</v>
      </c>
    </row>
    <row r="105" spans="1:27" x14ac:dyDescent="0.3">
      <c r="A105" s="170" t="str">
        <f t="shared" si="7"/>
        <v>77714103054</v>
      </c>
      <c r="B105" s="170" t="str">
        <f t="shared" si="5"/>
        <v>777159</v>
      </c>
      <c r="C105" s="174" t="str">
        <f t="shared" si="6"/>
        <v>77715</v>
      </c>
      <c r="D105" s="170">
        <v>7771</v>
      </c>
      <c r="E105" s="174">
        <v>2020110010121</v>
      </c>
      <c r="F105" s="170" t="s">
        <v>428</v>
      </c>
      <c r="G105" s="170" t="s">
        <v>63</v>
      </c>
      <c r="H105" s="170" t="s">
        <v>64</v>
      </c>
      <c r="I105" s="170" t="s">
        <v>65</v>
      </c>
      <c r="J105" s="170" t="s">
        <v>66</v>
      </c>
      <c r="K105" s="170" t="s">
        <v>429</v>
      </c>
      <c r="L105" s="170">
        <v>3</v>
      </c>
      <c r="M105" s="170" t="s">
        <v>440</v>
      </c>
      <c r="N105" s="170" t="s">
        <v>431</v>
      </c>
      <c r="O105" s="170">
        <v>5</v>
      </c>
      <c r="P105" s="170" t="s">
        <v>446</v>
      </c>
      <c r="Q105" s="170" t="s">
        <v>71</v>
      </c>
      <c r="R105" s="174">
        <v>59</v>
      </c>
      <c r="S105" s="170" t="s">
        <v>442</v>
      </c>
      <c r="T105" s="170" t="s">
        <v>443</v>
      </c>
      <c r="U105" s="170" t="s">
        <v>71</v>
      </c>
      <c r="V105" s="170">
        <v>4103054</v>
      </c>
      <c r="W105" s="170" t="s">
        <v>103</v>
      </c>
      <c r="X105" s="170" t="s">
        <v>104</v>
      </c>
      <c r="Y105" s="170" t="s">
        <v>57</v>
      </c>
      <c r="Z105" s="170" t="s">
        <v>105</v>
      </c>
      <c r="AA105" s="170">
        <v>10</v>
      </c>
    </row>
    <row r="106" spans="1:27" x14ac:dyDescent="0.3">
      <c r="A106" s="170" t="str">
        <f t="shared" si="7"/>
        <v>77714103054</v>
      </c>
      <c r="B106" s="170" t="str">
        <f t="shared" si="5"/>
        <v>777159</v>
      </c>
      <c r="C106" s="174" t="str">
        <f t="shared" si="6"/>
        <v>77715</v>
      </c>
      <c r="D106" s="170">
        <v>7771</v>
      </c>
      <c r="E106" s="174">
        <v>2020110010121</v>
      </c>
      <c r="F106" s="170" t="s">
        <v>428</v>
      </c>
      <c r="G106" s="170" t="s">
        <v>63</v>
      </c>
      <c r="H106" s="170" t="s">
        <v>64</v>
      </c>
      <c r="I106" s="170" t="s">
        <v>65</v>
      </c>
      <c r="J106" s="170" t="s">
        <v>66</v>
      </c>
      <c r="K106" s="170" t="s">
        <v>429</v>
      </c>
      <c r="L106" s="170">
        <v>3</v>
      </c>
      <c r="M106" s="170" t="s">
        <v>440</v>
      </c>
      <c r="N106" s="170" t="s">
        <v>431</v>
      </c>
      <c r="O106" s="170">
        <v>5</v>
      </c>
      <c r="P106" s="170" t="s">
        <v>446</v>
      </c>
      <c r="Q106" s="170" t="s">
        <v>71</v>
      </c>
      <c r="R106" s="174">
        <v>59</v>
      </c>
      <c r="S106" s="170" t="s">
        <v>442</v>
      </c>
      <c r="T106" s="170" t="s">
        <v>444</v>
      </c>
      <c r="U106" s="170" t="s">
        <v>71</v>
      </c>
      <c r="V106" s="170">
        <v>4103054</v>
      </c>
      <c r="W106" s="170" t="s">
        <v>103</v>
      </c>
      <c r="X106" s="170" t="s">
        <v>104</v>
      </c>
      <c r="Y106" s="170" t="s">
        <v>57</v>
      </c>
      <c r="Z106" s="170" t="s">
        <v>105</v>
      </c>
      <c r="AA106" s="170">
        <v>10</v>
      </c>
    </row>
    <row r="107" spans="1:27" x14ac:dyDescent="0.3">
      <c r="A107" s="170" t="str">
        <f t="shared" si="7"/>
        <v>79184103061</v>
      </c>
      <c r="B107" s="170" t="str">
        <f t="shared" si="5"/>
        <v>791815</v>
      </c>
      <c r="C107" s="174" t="str">
        <f t="shared" si="6"/>
        <v>79181</v>
      </c>
      <c r="D107" s="170">
        <v>7918</v>
      </c>
      <c r="E107" s="174">
        <v>2022110010006</v>
      </c>
      <c r="F107" s="170" t="s">
        <v>447</v>
      </c>
      <c r="G107" s="170" t="s">
        <v>63</v>
      </c>
      <c r="H107" s="170" t="s">
        <v>368</v>
      </c>
      <c r="I107" s="170" t="s">
        <v>393</v>
      </c>
      <c r="J107" s="170" t="s">
        <v>369</v>
      </c>
      <c r="K107" s="170" t="s">
        <v>448</v>
      </c>
      <c r="L107" s="170">
        <v>1</v>
      </c>
      <c r="M107" s="170" t="s">
        <v>449</v>
      </c>
      <c r="N107" s="170" t="s">
        <v>450</v>
      </c>
      <c r="O107" s="170">
        <v>1</v>
      </c>
      <c r="P107" s="170" t="s">
        <v>451</v>
      </c>
      <c r="Q107" s="170" t="s">
        <v>83</v>
      </c>
      <c r="R107" s="174">
        <v>15</v>
      </c>
      <c r="S107" s="170" t="s">
        <v>452</v>
      </c>
      <c r="T107" s="170" t="s">
        <v>453</v>
      </c>
      <c r="U107" s="170" t="s">
        <v>83</v>
      </c>
      <c r="V107" s="170">
        <v>4103061</v>
      </c>
      <c r="W107" s="170" t="s">
        <v>250</v>
      </c>
      <c r="X107" s="170" t="s">
        <v>251</v>
      </c>
      <c r="Y107" s="170" t="s">
        <v>57</v>
      </c>
      <c r="Z107" s="170" t="s">
        <v>454</v>
      </c>
      <c r="AA107" s="170">
        <v>1</v>
      </c>
    </row>
    <row r="108" spans="1:27" x14ac:dyDescent="0.3">
      <c r="A108" s="170" t="str">
        <f t="shared" si="7"/>
        <v>79184103061</v>
      </c>
      <c r="B108" s="170" t="str">
        <f t="shared" si="5"/>
        <v>791815</v>
      </c>
      <c r="C108" s="174" t="str">
        <f t="shared" si="6"/>
        <v>79182</v>
      </c>
      <c r="D108" s="170">
        <v>7918</v>
      </c>
      <c r="E108" s="174">
        <v>2022110010006</v>
      </c>
      <c r="F108" s="170" t="s">
        <v>447</v>
      </c>
      <c r="G108" s="170" t="s">
        <v>63</v>
      </c>
      <c r="H108" s="170" t="s">
        <v>368</v>
      </c>
      <c r="I108" s="170" t="s">
        <v>393</v>
      </c>
      <c r="J108" s="170" t="s">
        <v>369</v>
      </c>
      <c r="K108" s="170" t="s">
        <v>448</v>
      </c>
      <c r="L108" s="170">
        <v>1</v>
      </c>
      <c r="M108" s="170" t="s">
        <v>449</v>
      </c>
      <c r="N108" s="170" t="s">
        <v>450</v>
      </c>
      <c r="O108" s="170">
        <v>2</v>
      </c>
      <c r="P108" s="170" t="s">
        <v>455</v>
      </c>
      <c r="Q108" s="170" t="s">
        <v>83</v>
      </c>
      <c r="R108" s="174">
        <v>15</v>
      </c>
      <c r="S108" s="170" t="s">
        <v>452</v>
      </c>
      <c r="T108" s="170" t="s">
        <v>453</v>
      </c>
      <c r="U108" s="170" t="s">
        <v>83</v>
      </c>
      <c r="V108" s="170">
        <v>4103061</v>
      </c>
      <c r="W108" s="170" t="s">
        <v>250</v>
      </c>
      <c r="X108" s="170" t="s">
        <v>251</v>
      </c>
      <c r="Y108" s="170" t="s">
        <v>57</v>
      </c>
      <c r="Z108" s="170" t="s">
        <v>454</v>
      </c>
      <c r="AA108" s="170">
        <v>1</v>
      </c>
    </row>
    <row r="109" spans="1:27" x14ac:dyDescent="0.3">
      <c r="A109" s="170" t="str">
        <f t="shared" si="7"/>
        <v>79184103061</v>
      </c>
      <c r="B109" s="170" t="str">
        <f t="shared" si="5"/>
        <v>791815</v>
      </c>
      <c r="C109" s="174" t="str">
        <f t="shared" si="6"/>
        <v>79183</v>
      </c>
      <c r="D109" s="170">
        <v>7918</v>
      </c>
      <c r="E109" s="174">
        <v>2022110010006</v>
      </c>
      <c r="F109" s="170" t="s">
        <v>447</v>
      </c>
      <c r="G109" s="170" t="s">
        <v>63</v>
      </c>
      <c r="H109" s="170" t="s">
        <v>368</v>
      </c>
      <c r="I109" s="170" t="s">
        <v>393</v>
      </c>
      <c r="J109" s="170" t="s">
        <v>369</v>
      </c>
      <c r="K109" s="170" t="s">
        <v>448</v>
      </c>
      <c r="L109" s="170">
        <v>1</v>
      </c>
      <c r="M109" s="170" t="s">
        <v>449</v>
      </c>
      <c r="N109" s="170" t="s">
        <v>450</v>
      </c>
      <c r="O109" s="170">
        <v>3</v>
      </c>
      <c r="P109" s="170" t="s">
        <v>456</v>
      </c>
      <c r="Q109" s="170" t="s">
        <v>83</v>
      </c>
      <c r="R109" s="174">
        <v>15</v>
      </c>
      <c r="S109" s="170" t="s">
        <v>452</v>
      </c>
      <c r="T109" s="170" t="s">
        <v>453</v>
      </c>
      <c r="U109" s="170" t="s">
        <v>83</v>
      </c>
      <c r="V109" s="170">
        <v>4103061</v>
      </c>
      <c r="W109" s="170" t="s">
        <v>250</v>
      </c>
      <c r="X109" s="170" t="s">
        <v>251</v>
      </c>
      <c r="Y109" s="170" t="s">
        <v>57</v>
      </c>
      <c r="Z109" s="170" t="s">
        <v>454</v>
      </c>
      <c r="AA109" s="170">
        <v>1</v>
      </c>
    </row>
    <row r="110" spans="1:27" x14ac:dyDescent="0.3">
      <c r="A110" s="170" t="str">
        <f t="shared" si="7"/>
        <v>79184103061</v>
      </c>
      <c r="B110" s="170" t="str">
        <f t="shared" si="5"/>
        <v>791815</v>
      </c>
      <c r="C110" s="174" t="str">
        <f t="shared" si="6"/>
        <v>79184</v>
      </c>
      <c r="D110" s="170">
        <v>7918</v>
      </c>
      <c r="E110" s="174">
        <v>2022110010006</v>
      </c>
      <c r="F110" s="170" t="s">
        <v>447</v>
      </c>
      <c r="G110" s="170" t="s">
        <v>63</v>
      </c>
      <c r="H110" s="170" t="s">
        <v>368</v>
      </c>
      <c r="I110" s="170" t="s">
        <v>393</v>
      </c>
      <c r="J110" s="170" t="s">
        <v>369</v>
      </c>
      <c r="K110" s="170" t="s">
        <v>448</v>
      </c>
      <c r="L110" s="170">
        <v>1</v>
      </c>
      <c r="M110" s="170" t="s">
        <v>449</v>
      </c>
      <c r="N110" s="170" t="s">
        <v>450</v>
      </c>
      <c r="O110" s="170">
        <v>4</v>
      </c>
      <c r="P110" s="170" t="s">
        <v>457</v>
      </c>
      <c r="Q110" s="170" t="s">
        <v>83</v>
      </c>
      <c r="R110" s="174">
        <v>15</v>
      </c>
      <c r="S110" s="170" t="s">
        <v>452</v>
      </c>
      <c r="T110" s="170" t="s">
        <v>453</v>
      </c>
      <c r="U110" s="170" t="s">
        <v>83</v>
      </c>
      <c r="V110" s="170">
        <v>4103061</v>
      </c>
      <c r="W110" s="170" t="s">
        <v>250</v>
      </c>
      <c r="X110" s="170" t="s">
        <v>251</v>
      </c>
      <c r="Y110" s="170" t="s">
        <v>57</v>
      </c>
      <c r="Z110" s="170" t="s">
        <v>454</v>
      </c>
      <c r="AA110" s="170">
        <v>1</v>
      </c>
    </row>
  </sheetData>
  <autoFilter ref="A2:AA110" xr:uid="{00000000-0001-0000-0100-000000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79998168889431442"/>
  </sheetPr>
  <dimension ref="A1:H26"/>
  <sheetViews>
    <sheetView workbookViewId="0"/>
  </sheetViews>
  <sheetFormatPr baseColWidth="10" defaultColWidth="10.90625" defaultRowHeight="14.4" x14ac:dyDescent="0.3"/>
  <cols>
    <col min="1" max="16384" width="10.90625" style="165"/>
  </cols>
  <sheetData>
    <row r="1" spans="1:8" ht="27.6" x14ac:dyDescent="0.35">
      <c r="A1" s="2" t="s">
        <v>458</v>
      </c>
      <c r="D1" s="4" t="s">
        <v>459</v>
      </c>
      <c r="F1" s="175" t="s">
        <v>460</v>
      </c>
      <c r="G1" s="175" t="s">
        <v>461</v>
      </c>
      <c r="H1" s="175" t="s">
        <v>462</v>
      </c>
    </row>
    <row r="2" spans="1:8" ht="15.6" x14ac:dyDescent="0.35">
      <c r="A2" t="s">
        <v>463</v>
      </c>
      <c r="D2" t="s">
        <v>464</v>
      </c>
      <c r="F2" s="176">
        <v>1</v>
      </c>
      <c r="G2" s="177" t="s">
        <v>465</v>
      </c>
      <c r="H2" s="176">
        <v>11108</v>
      </c>
    </row>
    <row r="3" spans="1:8" ht="15.6" x14ac:dyDescent="0.35">
      <c r="A3" t="s">
        <v>466</v>
      </c>
      <c r="D3" t="s">
        <v>467</v>
      </c>
      <c r="F3" s="176">
        <v>2</v>
      </c>
      <c r="G3" s="177" t="s">
        <v>468</v>
      </c>
      <c r="H3" s="176">
        <v>11109</v>
      </c>
    </row>
    <row r="4" spans="1:8" ht="15.6" x14ac:dyDescent="0.35">
      <c r="A4" t="s">
        <v>469</v>
      </c>
      <c r="D4" t="s">
        <v>470</v>
      </c>
      <c r="F4" s="176">
        <v>3</v>
      </c>
      <c r="G4" s="177" t="s">
        <v>471</v>
      </c>
      <c r="H4" s="176">
        <v>11106</v>
      </c>
    </row>
    <row r="5" spans="1:8" ht="15.6" x14ac:dyDescent="0.35">
      <c r="A5" t="s">
        <v>472</v>
      </c>
      <c r="D5" t="s">
        <v>473</v>
      </c>
      <c r="F5" s="176">
        <v>4</v>
      </c>
      <c r="G5" s="177" t="s">
        <v>474</v>
      </c>
      <c r="H5" s="176">
        <v>11104</v>
      </c>
    </row>
    <row r="6" spans="1:8" ht="15.6" x14ac:dyDescent="0.35">
      <c r="A6" t="s">
        <v>475</v>
      </c>
      <c r="D6" t="s">
        <v>476</v>
      </c>
      <c r="F6" s="176">
        <v>5</v>
      </c>
      <c r="G6" s="177" t="s">
        <v>477</v>
      </c>
      <c r="H6" s="176">
        <v>11110</v>
      </c>
    </row>
    <row r="7" spans="1:8" x14ac:dyDescent="0.3">
      <c r="F7" s="176">
        <v>6</v>
      </c>
      <c r="G7" s="177" t="s">
        <v>478</v>
      </c>
      <c r="H7" s="176">
        <v>11105</v>
      </c>
    </row>
    <row r="8" spans="1:8" x14ac:dyDescent="0.3">
      <c r="F8" s="176">
        <v>7</v>
      </c>
      <c r="G8" s="177" t="s">
        <v>479</v>
      </c>
      <c r="H8" s="176">
        <v>11101</v>
      </c>
    </row>
    <row r="9" spans="1:8" x14ac:dyDescent="0.3">
      <c r="F9" s="176">
        <v>8</v>
      </c>
      <c r="G9" s="177" t="s">
        <v>480</v>
      </c>
      <c r="H9" s="176">
        <v>11102</v>
      </c>
    </row>
    <row r="10" spans="1:8" ht="15.6" x14ac:dyDescent="0.3">
      <c r="A10" s="2" t="s">
        <v>481</v>
      </c>
      <c r="F10" s="176">
        <v>9</v>
      </c>
      <c r="G10" s="177" t="s">
        <v>482</v>
      </c>
      <c r="H10" s="176">
        <v>11111</v>
      </c>
    </row>
    <row r="11" spans="1:8" ht="15.6" x14ac:dyDescent="0.3">
      <c r="A11" s="3" t="s">
        <v>483</v>
      </c>
      <c r="F11" s="176">
        <v>10</v>
      </c>
      <c r="G11" s="177" t="s">
        <v>484</v>
      </c>
      <c r="H11" s="176">
        <v>11112</v>
      </c>
    </row>
    <row r="12" spans="1:8" ht="15.6" x14ac:dyDescent="0.3">
      <c r="A12" s="3" t="s">
        <v>121</v>
      </c>
      <c r="F12" s="176">
        <v>11</v>
      </c>
      <c r="G12" s="177" t="s">
        <v>485</v>
      </c>
      <c r="H12" s="176">
        <v>11113</v>
      </c>
    </row>
    <row r="13" spans="1:8" ht="15.6" x14ac:dyDescent="0.3">
      <c r="A13" s="3" t="s">
        <v>219</v>
      </c>
      <c r="F13" s="176">
        <v>12</v>
      </c>
      <c r="G13" s="177" t="s">
        <v>486</v>
      </c>
      <c r="H13" s="176">
        <v>11114</v>
      </c>
    </row>
    <row r="14" spans="1:8" ht="15.6" x14ac:dyDescent="0.3">
      <c r="A14" s="3" t="s">
        <v>168</v>
      </c>
      <c r="F14" s="176">
        <v>13</v>
      </c>
      <c r="G14" s="177" t="s">
        <v>487</v>
      </c>
      <c r="H14" s="176">
        <v>11100</v>
      </c>
    </row>
    <row r="15" spans="1:8" ht="15.6" x14ac:dyDescent="0.3">
      <c r="A15" s="3" t="s">
        <v>372</v>
      </c>
      <c r="F15" s="176">
        <v>14</v>
      </c>
      <c r="G15" s="177" t="s">
        <v>488</v>
      </c>
      <c r="H15" s="176">
        <v>11107</v>
      </c>
    </row>
    <row r="16" spans="1:8" ht="15.6" x14ac:dyDescent="0.3">
      <c r="A16" s="3" t="s">
        <v>410</v>
      </c>
      <c r="F16" s="176">
        <v>15</v>
      </c>
      <c r="G16" s="177" t="s">
        <v>489</v>
      </c>
      <c r="H16" s="176">
        <v>11115</v>
      </c>
    </row>
    <row r="17" spans="1:8" ht="15.6" x14ac:dyDescent="0.3">
      <c r="A17" s="3" t="s">
        <v>50</v>
      </c>
      <c r="F17" s="176">
        <v>16</v>
      </c>
      <c r="G17" s="177" t="s">
        <v>490</v>
      </c>
      <c r="H17" s="176">
        <v>11116</v>
      </c>
    </row>
    <row r="18" spans="1:8" ht="15.6" x14ac:dyDescent="0.3">
      <c r="A18" s="3" t="s">
        <v>356</v>
      </c>
      <c r="F18" s="176">
        <v>17</v>
      </c>
      <c r="G18" s="177" t="s">
        <v>491</v>
      </c>
      <c r="H18" s="176"/>
    </row>
    <row r="19" spans="1:8" ht="15.6" x14ac:dyDescent="0.3">
      <c r="A19" s="3" t="s">
        <v>246</v>
      </c>
      <c r="F19" s="176">
        <v>18</v>
      </c>
      <c r="G19" s="177" t="s">
        <v>492</v>
      </c>
      <c r="H19" s="176">
        <v>11103</v>
      </c>
    </row>
    <row r="20" spans="1:8" ht="15.6" x14ac:dyDescent="0.3">
      <c r="A20" s="3" t="s">
        <v>141</v>
      </c>
      <c r="F20" s="176">
        <v>19</v>
      </c>
      <c r="G20" s="177" t="s">
        <v>493</v>
      </c>
      <c r="H20" s="176">
        <v>11117</v>
      </c>
    </row>
    <row r="21" spans="1:8" ht="15.6" x14ac:dyDescent="0.3">
      <c r="A21" s="3" t="s">
        <v>99</v>
      </c>
      <c r="F21" s="176">
        <v>20</v>
      </c>
      <c r="G21" s="177" t="s">
        <v>494</v>
      </c>
      <c r="H21" s="176"/>
    </row>
    <row r="22" spans="1:8" ht="15.6" x14ac:dyDescent="0.3">
      <c r="A22" s="3" t="s">
        <v>191</v>
      </c>
      <c r="F22" s="176">
        <v>77</v>
      </c>
      <c r="G22" s="177" t="s">
        <v>495</v>
      </c>
      <c r="H22" s="176">
        <v>77</v>
      </c>
    </row>
    <row r="23" spans="1:8" ht="15.6" x14ac:dyDescent="0.3">
      <c r="A23" s="3" t="s">
        <v>496</v>
      </c>
    </row>
    <row r="24" spans="1:8" ht="15.6" x14ac:dyDescent="0.3">
      <c r="A24" s="3" t="s">
        <v>497</v>
      </c>
    </row>
    <row r="25" spans="1:8" ht="15.6" x14ac:dyDescent="0.3">
      <c r="A25" s="3" t="s">
        <v>498</v>
      </c>
    </row>
    <row r="26" spans="1:8" ht="15.6" x14ac:dyDescent="0.3">
      <c r="A26" s="3" t="s">
        <v>69</v>
      </c>
    </row>
  </sheetData>
  <dataValidations disablePrompts="1" count="3">
    <dataValidation allowBlank="1" showInputMessage="1" showErrorMessage="1" promptTitle="Localidad" prompt="Relacione el nombre completo de la localidad." sqref="G1" xr:uid="{00000000-0002-0000-0200-000000000000}"/>
    <dataValidation allowBlank="1" showInputMessage="1" showErrorMessage="1" promptTitle="No. Localidad" prompt="Relacione el número de la localidad según mapa de Bogotá." sqref="F1" xr:uid="{00000000-0002-0000-0200-000001000000}"/>
    <dataValidation allowBlank="1" showInputMessage="1" showErrorMessage="1" promptTitle="Código SIRBE" prompt="Número de identificación de la unidad operativa según el sistema de registro de beneficiarios - SIRBE" sqref="H1" xr:uid="{00000000-0002-0000-0200-0000020000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theme="7" tint="0.79998168889431442"/>
  </sheetPr>
  <dimension ref="A1:G184"/>
  <sheetViews>
    <sheetView workbookViewId="0">
      <selection activeCell="E1" sqref="E1"/>
    </sheetView>
  </sheetViews>
  <sheetFormatPr baseColWidth="10" defaultColWidth="11.54296875" defaultRowHeight="15.6" x14ac:dyDescent="0.35"/>
  <cols>
    <col min="4" max="4" width="7.36328125" customWidth="1"/>
    <col min="5" max="5" width="14" customWidth="1"/>
    <col min="7" max="7" width="121.90625" bestFit="1" customWidth="1"/>
  </cols>
  <sheetData>
    <row r="1" spans="1:7" x14ac:dyDescent="0.35">
      <c r="A1" s="305" t="s">
        <v>499</v>
      </c>
      <c r="B1" s="305" t="s">
        <v>500</v>
      </c>
      <c r="C1" s="305" t="s">
        <v>501</v>
      </c>
      <c r="D1" s="305" t="s">
        <v>502</v>
      </c>
      <c r="E1" s="305" t="s">
        <v>503</v>
      </c>
      <c r="F1" s="305" t="s">
        <v>504</v>
      </c>
      <c r="G1" s="305" t="s">
        <v>505</v>
      </c>
    </row>
    <row r="2" spans="1:7" x14ac:dyDescent="0.35">
      <c r="A2" t="str">
        <f>C2&amp;D2&amp;F2</f>
        <v>756412</v>
      </c>
      <c r="B2">
        <v>2024</v>
      </c>
      <c r="C2" s="298">
        <v>7564</v>
      </c>
      <c r="D2" s="298">
        <v>1</v>
      </c>
      <c r="E2" s="298" t="s">
        <v>51</v>
      </c>
      <c r="F2">
        <v>2</v>
      </c>
      <c r="G2" t="s">
        <v>506</v>
      </c>
    </row>
    <row r="3" spans="1:7" x14ac:dyDescent="0.35">
      <c r="A3" t="str">
        <f t="shared" ref="A3:A66" si="0">C3&amp;D3&amp;F3</f>
        <v>756421</v>
      </c>
      <c r="B3">
        <v>2024</v>
      </c>
      <c r="C3" s="298">
        <v>7564</v>
      </c>
      <c r="D3" s="298">
        <v>2</v>
      </c>
      <c r="E3" s="298" t="s">
        <v>60</v>
      </c>
      <c r="F3">
        <v>1</v>
      </c>
      <c r="G3" t="s">
        <v>507</v>
      </c>
    </row>
    <row r="4" spans="1:7" x14ac:dyDescent="0.35">
      <c r="A4" t="str">
        <f t="shared" si="0"/>
        <v>756422</v>
      </c>
      <c r="B4">
        <v>2024</v>
      </c>
      <c r="C4" s="298">
        <v>7564</v>
      </c>
      <c r="D4" s="298">
        <v>2</v>
      </c>
      <c r="E4" s="298" t="s">
        <v>60</v>
      </c>
      <c r="F4">
        <v>2</v>
      </c>
      <c r="G4" t="s">
        <v>508</v>
      </c>
    </row>
    <row r="5" spans="1:7" x14ac:dyDescent="0.35">
      <c r="A5" t="str">
        <f t="shared" si="0"/>
        <v>756423</v>
      </c>
      <c r="B5">
        <v>2024</v>
      </c>
      <c r="C5" s="299">
        <v>7564</v>
      </c>
      <c r="D5" s="298">
        <v>2</v>
      </c>
      <c r="E5" s="298" t="s">
        <v>60</v>
      </c>
      <c r="F5">
        <v>3</v>
      </c>
      <c r="G5" t="s">
        <v>509</v>
      </c>
    </row>
    <row r="6" spans="1:7" x14ac:dyDescent="0.35">
      <c r="A6" t="str">
        <f t="shared" si="0"/>
        <v>756551</v>
      </c>
      <c r="B6">
        <v>2024</v>
      </c>
      <c r="C6" s="298">
        <v>7565</v>
      </c>
      <c r="D6" s="298">
        <v>5</v>
      </c>
      <c r="E6" s="298" t="s">
        <v>80</v>
      </c>
      <c r="F6">
        <v>1</v>
      </c>
      <c r="G6" t="s">
        <v>510</v>
      </c>
    </row>
    <row r="7" spans="1:7" x14ac:dyDescent="0.35">
      <c r="A7" t="str">
        <f t="shared" si="0"/>
        <v>756561</v>
      </c>
      <c r="B7">
        <v>2024</v>
      </c>
      <c r="C7" s="298">
        <v>7565</v>
      </c>
      <c r="D7" s="298">
        <v>6</v>
      </c>
      <c r="E7" s="298" t="s">
        <v>82</v>
      </c>
      <c r="F7">
        <v>1</v>
      </c>
      <c r="G7" t="s">
        <v>511</v>
      </c>
    </row>
    <row r="8" spans="1:7" x14ac:dyDescent="0.35">
      <c r="A8" t="str">
        <f t="shared" si="0"/>
        <v>756571</v>
      </c>
      <c r="B8">
        <v>2024</v>
      </c>
      <c r="C8" s="298">
        <v>7565</v>
      </c>
      <c r="D8" s="298">
        <v>7</v>
      </c>
      <c r="E8" s="298" t="s">
        <v>86</v>
      </c>
      <c r="F8">
        <v>1</v>
      </c>
      <c r="G8" t="s">
        <v>512</v>
      </c>
    </row>
    <row r="9" spans="1:7" x14ac:dyDescent="0.35">
      <c r="A9" t="str">
        <f t="shared" si="0"/>
        <v>756572</v>
      </c>
      <c r="B9">
        <v>2024</v>
      </c>
      <c r="C9" s="298">
        <v>7565</v>
      </c>
      <c r="D9" s="298">
        <v>7</v>
      </c>
      <c r="E9" s="298" t="s">
        <v>86</v>
      </c>
      <c r="F9">
        <v>2</v>
      </c>
      <c r="G9" t="s">
        <v>513</v>
      </c>
    </row>
    <row r="10" spans="1:7" x14ac:dyDescent="0.35">
      <c r="A10" t="str">
        <f t="shared" si="0"/>
        <v>756573</v>
      </c>
      <c r="B10">
        <v>2024</v>
      </c>
      <c r="C10" s="298">
        <v>7565</v>
      </c>
      <c r="D10" s="298">
        <v>7</v>
      </c>
      <c r="E10" s="298" t="s">
        <v>86</v>
      </c>
      <c r="F10">
        <v>3</v>
      </c>
      <c r="G10" t="s">
        <v>514</v>
      </c>
    </row>
    <row r="11" spans="1:7" x14ac:dyDescent="0.35">
      <c r="A11" t="str">
        <f t="shared" si="0"/>
        <v>756574</v>
      </c>
      <c r="B11">
        <v>2024</v>
      </c>
      <c r="C11" s="298">
        <v>7565</v>
      </c>
      <c r="D11" s="298">
        <v>7</v>
      </c>
      <c r="E11" s="298" t="s">
        <v>86</v>
      </c>
      <c r="F11">
        <v>4</v>
      </c>
      <c r="G11" t="s">
        <v>515</v>
      </c>
    </row>
    <row r="12" spans="1:7" x14ac:dyDescent="0.35">
      <c r="A12" t="str">
        <f t="shared" si="0"/>
        <v>756575</v>
      </c>
      <c r="B12">
        <v>2024</v>
      </c>
      <c r="C12" s="298">
        <v>7565</v>
      </c>
      <c r="D12" s="298">
        <v>7</v>
      </c>
      <c r="E12" s="298" t="s">
        <v>86</v>
      </c>
      <c r="F12">
        <v>5</v>
      </c>
      <c r="G12" t="s">
        <v>516</v>
      </c>
    </row>
    <row r="13" spans="1:7" x14ac:dyDescent="0.35">
      <c r="A13" t="str">
        <f t="shared" si="0"/>
        <v>756576</v>
      </c>
      <c r="B13">
        <v>2024</v>
      </c>
      <c r="C13" s="298">
        <v>7565</v>
      </c>
      <c r="D13" s="298">
        <v>7</v>
      </c>
      <c r="E13" s="298" t="s">
        <v>86</v>
      </c>
      <c r="F13">
        <v>6</v>
      </c>
      <c r="G13" t="s">
        <v>517</v>
      </c>
    </row>
    <row r="14" spans="1:7" x14ac:dyDescent="0.35">
      <c r="A14" t="str">
        <f t="shared" si="0"/>
        <v>756581</v>
      </c>
      <c r="B14">
        <v>2024</v>
      </c>
      <c r="C14" s="298">
        <v>7565</v>
      </c>
      <c r="D14" s="298">
        <v>8</v>
      </c>
      <c r="E14" s="298" t="s">
        <v>89</v>
      </c>
      <c r="F14">
        <v>1</v>
      </c>
      <c r="G14" t="s">
        <v>518</v>
      </c>
    </row>
    <row r="15" spans="1:7" x14ac:dyDescent="0.35">
      <c r="A15" t="str">
        <f t="shared" si="0"/>
        <v>756591</v>
      </c>
      <c r="B15">
        <v>2024</v>
      </c>
      <c r="C15" s="298">
        <v>7565</v>
      </c>
      <c r="D15" s="298">
        <v>9</v>
      </c>
      <c r="E15" s="298" t="s">
        <v>91</v>
      </c>
      <c r="F15">
        <v>1</v>
      </c>
      <c r="G15" t="s">
        <v>519</v>
      </c>
    </row>
    <row r="16" spans="1:7" x14ac:dyDescent="0.35">
      <c r="A16" t="str">
        <f t="shared" si="0"/>
        <v>756592</v>
      </c>
      <c r="B16">
        <v>2024</v>
      </c>
      <c r="C16" s="298">
        <v>7565</v>
      </c>
      <c r="D16" s="298">
        <v>9</v>
      </c>
      <c r="E16" s="298" t="s">
        <v>91</v>
      </c>
      <c r="F16">
        <v>2</v>
      </c>
      <c r="G16" t="s">
        <v>520</v>
      </c>
    </row>
    <row r="17" spans="1:7" x14ac:dyDescent="0.35">
      <c r="A17" t="str">
        <f t="shared" si="0"/>
        <v>7565121</v>
      </c>
      <c r="B17">
        <v>2024</v>
      </c>
      <c r="C17" s="299">
        <v>7565</v>
      </c>
      <c r="D17" s="298">
        <v>12</v>
      </c>
      <c r="E17" s="298" t="s">
        <v>94</v>
      </c>
      <c r="F17">
        <v>1</v>
      </c>
      <c r="G17" t="s">
        <v>521</v>
      </c>
    </row>
    <row r="18" spans="1:7" x14ac:dyDescent="0.35">
      <c r="A18" t="str">
        <f t="shared" si="0"/>
        <v>773011</v>
      </c>
      <c r="B18">
        <v>2024</v>
      </c>
      <c r="C18" s="298">
        <v>7730</v>
      </c>
      <c r="D18" s="298">
        <v>1</v>
      </c>
      <c r="E18" s="298" t="s">
        <v>100</v>
      </c>
      <c r="F18">
        <v>1</v>
      </c>
      <c r="G18" t="s">
        <v>522</v>
      </c>
    </row>
    <row r="19" spans="1:7" x14ac:dyDescent="0.35">
      <c r="A19" t="str">
        <f t="shared" si="0"/>
        <v>773031</v>
      </c>
      <c r="B19">
        <v>2024</v>
      </c>
      <c r="C19" s="299">
        <v>7730</v>
      </c>
      <c r="D19" s="298">
        <v>3</v>
      </c>
      <c r="E19" s="298" t="s">
        <v>111</v>
      </c>
      <c r="F19">
        <v>1</v>
      </c>
      <c r="G19" t="s">
        <v>523</v>
      </c>
    </row>
    <row r="20" spans="1:7" x14ac:dyDescent="0.35">
      <c r="A20" t="str">
        <f t="shared" si="0"/>
        <v>773311</v>
      </c>
      <c r="B20">
        <v>2024</v>
      </c>
      <c r="C20" s="298">
        <v>7733</v>
      </c>
      <c r="D20" s="298">
        <v>1</v>
      </c>
      <c r="E20" s="298" t="s">
        <v>122</v>
      </c>
      <c r="F20">
        <v>1</v>
      </c>
      <c r="G20" t="s">
        <v>524</v>
      </c>
    </row>
    <row r="21" spans="1:7" x14ac:dyDescent="0.35">
      <c r="A21" t="str">
        <f t="shared" si="0"/>
        <v>773312</v>
      </c>
      <c r="B21">
        <v>2024</v>
      </c>
      <c r="C21" s="298">
        <v>7733</v>
      </c>
      <c r="D21" s="298">
        <v>1</v>
      </c>
      <c r="E21" s="298" t="s">
        <v>122</v>
      </c>
      <c r="F21">
        <v>2</v>
      </c>
      <c r="G21" t="s">
        <v>525</v>
      </c>
    </row>
    <row r="22" spans="1:7" x14ac:dyDescent="0.35">
      <c r="A22" t="str">
        <f t="shared" si="0"/>
        <v>773321</v>
      </c>
      <c r="B22">
        <v>2024</v>
      </c>
      <c r="C22" s="298">
        <v>7733</v>
      </c>
      <c r="D22" s="298">
        <v>2</v>
      </c>
      <c r="E22" s="298" t="s">
        <v>128</v>
      </c>
      <c r="F22">
        <v>1</v>
      </c>
      <c r="G22" t="s">
        <v>526</v>
      </c>
    </row>
    <row r="23" spans="1:7" x14ac:dyDescent="0.35">
      <c r="A23" t="str">
        <f t="shared" si="0"/>
        <v>773322</v>
      </c>
      <c r="B23">
        <v>2024</v>
      </c>
      <c r="C23" s="298">
        <v>7733</v>
      </c>
      <c r="D23" s="298">
        <v>2</v>
      </c>
      <c r="E23" s="298" t="s">
        <v>128</v>
      </c>
      <c r="F23">
        <v>2</v>
      </c>
      <c r="G23" t="s">
        <v>527</v>
      </c>
    </row>
    <row r="24" spans="1:7" x14ac:dyDescent="0.35">
      <c r="A24" t="str">
        <f t="shared" si="0"/>
        <v>773331</v>
      </c>
      <c r="B24">
        <v>2024</v>
      </c>
      <c r="C24" s="298">
        <v>7733</v>
      </c>
      <c r="D24" s="298">
        <v>3</v>
      </c>
      <c r="E24" s="298" t="s">
        <v>133</v>
      </c>
      <c r="F24">
        <v>1</v>
      </c>
      <c r="G24" t="s">
        <v>528</v>
      </c>
    </row>
    <row r="25" spans="1:7" x14ac:dyDescent="0.35">
      <c r="A25" t="str">
        <f t="shared" si="0"/>
        <v>773332</v>
      </c>
      <c r="B25">
        <v>2024</v>
      </c>
      <c r="C25" s="298">
        <v>7733</v>
      </c>
      <c r="D25" s="298">
        <v>3</v>
      </c>
      <c r="E25" s="298" t="s">
        <v>133</v>
      </c>
      <c r="F25">
        <v>2</v>
      </c>
      <c r="G25" t="s">
        <v>529</v>
      </c>
    </row>
    <row r="26" spans="1:7" x14ac:dyDescent="0.35">
      <c r="A26" t="str">
        <f t="shared" si="0"/>
        <v>773341</v>
      </c>
      <c r="B26">
        <v>2024</v>
      </c>
      <c r="C26" s="298">
        <v>7733</v>
      </c>
      <c r="D26" s="298">
        <v>4</v>
      </c>
      <c r="E26" s="298" t="s">
        <v>135</v>
      </c>
      <c r="F26">
        <v>1</v>
      </c>
      <c r="G26" t="s">
        <v>530</v>
      </c>
    </row>
    <row r="27" spans="1:7" x14ac:dyDescent="0.35">
      <c r="A27" t="str">
        <f t="shared" si="0"/>
        <v>773342</v>
      </c>
      <c r="B27">
        <v>2024</v>
      </c>
      <c r="C27" s="299">
        <v>7733</v>
      </c>
      <c r="D27" s="298">
        <v>4</v>
      </c>
      <c r="E27" s="298" t="s">
        <v>135</v>
      </c>
      <c r="F27">
        <v>2</v>
      </c>
      <c r="G27" t="s">
        <v>531</v>
      </c>
    </row>
    <row r="28" spans="1:7" x14ac:dyDescent="0.35">
      <c r="A28" t="str">
        <f t="shared" si="0"/>
        <v>773512</v>
      </c>
      <c r="B28">
        <v>2024</v>
      </c>
      <c r="C28" s="298">
        <v>7735</v>
      </c>
      <c r="D28" s="298">
        <v>1</v>
      </c>
      <c r="E28" s="298" t="s">
        <v>142</v>
      </c>
      <c r="F28">
        <v>2</v>
      </c>
      <c r="G28" t="s">
        <v>532</v>
      </c>
    </row>
    <row r="29" spans="1:7" x14ac:dyDescent="0.35">
      <c r="A29" t="str">
        <f t="shared" si="0"/>
        <v>773522</v>
      </c>
      <c r="B29">
        <v>2024</v>
      </c>
      <c r="C29" s="298">
        <v>7735</v>
      </c>
      <c r="D29" s="298">
        <v>2</v>
      </c>
      <c r="E29" s="298" t="s">
        <v>148</v>
      </c>
      <c r="F29">
        <v>2</v>
      </c>
      <c r="G29" t="s">
        <v>533</v>
      </c>
    </row>
    <row r="30" spans="1:7" x14ac:dyDescent="0.35">
      <c r="A30" t="str">
        <f t="shared" si="0"/>
        <v>773533</v>
      </c>
      <c r="B30">
        <v>2024</v>
      </c>
      <c r="C30" s="298">
        <v>7735</v>
      </c>
      <c r="D30" s="298">
        <v>3</v>
      </c>
      <c r="E30" s="298" t="s">
        <v>152</v>
      </c>
      <c r="F30">
        <v>3</v>
      </c>
      <c r="G30" t="s">
        <v>534</v>
      </c>
    </row>
    <row r="31" spans="1:7" x14ac:dyDescent="0.35">
      <c r="A31" t="str">
        <f t="shared" si="0"/>
        <v>773541</v>
      </c>
      <c r="B31">
        <v>2024</v>
      </c>
      <c r="C31" s="298">
        <v>7735</v>
      </c>
      <c r="D31" s="298">
        <v>4</v>
      </c>
      <c r="E31" s="298" t="s">
        <v>158</v>
      </c>
      <c r="F31">
        <v>1</v>
      </c>
      <c r="G31" t="s">
        <v>535</v>
      </c>
    </row>
    <row r="32" spans="1:7" x14ac:dyDescent="0.35">
      <c r="A32" t="str">
        <f t="shared" si="0"/>
        <v>773551</v>
      </c>
      <c r="B32">
        <v>2024</v>
      </c>
      <c r="C32" s="299">
        <v>7735</v>
      </c>
      <c r="D32" s="298">
        <v>5</v>
      </c>
      <c r="E32" s="298" t="s">
        <v>161</v>
      </c>
      <c r="F32">
        <v>1</v>
      </c>
      <c r="G32" t="s">
        <v>536</v>
      </c>
    </row>
    <row r="33" spans="1:7" x14ac:dyDescent="0.35">
      <c r="A33" t="str">
        <f t="shared" si="0"/>
        <v>774011</v>
      </c>
      <c r="B33">
        <v>2024</v>
      </c>
      <c r="C33" s="298">
        <v>7740</v>
      </c>
      <c r="D33" s="298">
        <v>1</v>
      </c>
      <c r="E33" s="298" t="s">
        <v>169</v>
      </c>
      <c r="F33">
        <v>1</v>
      </c>
      <c r="G33" t="s">
        <v>537</v>
      </c>
    </row>
    <row r="34" spans="1:7" x14ac:dyDescent="0.35">
      <c r="A34" t="str">
        <f t="shared" si="0"/>
        <v>774014</v>
      </c>
      <c r="B34">
        <v>2024</v>
      </c>
      <c r="C34" s="298">
        <v>7740</v>
      </c>
      <c r="D34" s="298">
        <v>1</v>
      </c>
      <c r="E34" s="298" t="s">
        <v>169</v>
      </c>
      <c r="F34">
        <v>4</v>
      </c>
      <c r="G34" t="s">
        <v>538</v>
      </c>
    </row>
    <row r="35" spans="1:7" x14ac:dyDescent="0.35">
      <c r="A35" t="str">
        <f t="shared" si="0"/>
        <v>774022</v>
      </c>
      <c r="B35">
        <v>2024</v>
      </c>
      <c r="C35" s="298">
        <v>7740</v>
      </c>
      <c r="D35" s="298">
        <v>2</v>
      </c>
      <c r="E35" s="298" t="s">
        <v>174</v>
      </c>
      <c r="F35">
        <v>2</v>
      </c>
      <c r="G35" t="s">
        <v>539</v>
      </c>
    </row>
    <row r="36" spans="1:7" x14ac:dyDescent="0.35">
      <c r="A36" t="str">
        <f t="shared" si="0"/>
        <v>774024</v>
      </c>
      <c r="B36">
        <v>2024</v>
      </c>
      <c r="C36" s="298">
        <v>7740</v>
      </c>
      <c r="D36" s="298">
        <v>2</v>
      </c>
      <c r="E36" s="298" t="s">
        <v>174</v>
      </c>
      <c r="F36">
        <v>4</v>
      </c>
      <c r="G36" t="s">
        <v>540</v>
      </c>
    </row>
    <row r="37" spans="1:7" x14ac:dyDescent="0.35">
      <c r="A37" t="str">
        <f t="shared" si="0"/>
        <v>774032</v>
      </c>
      <c r="B37">
        <v>2024</v>
      </c>
      <c r="C37" s="298">
        <v>7740</v>
      </c>
      <c r="D37" s="298">
        <v>3</v>
      </c>
      <c r="E37" s="298" t="s">
        <v>176</v>
      </c>
      <c r="F37">
        <v>2</v>
      </c>
      <c r="G37" t="s">
        <v>541</v>
      </c>
    </row>
    <row r="38" spans="1:7" x14ac:dyDescent="0.35">
      <c r="A38" t="str">
        <f t="shared" si="0"/>
        <v>774041</v>
      </c>
      <c r="B38">
        <v>2024</v>
      </c>
      <c r="C38" s="298">
        <v>7740</v>
      </c>
      <c r="D38" s="298">
        <v>4</v>
      </c>
      <c r="E38" s="298" t="s">
        <v>182</v>
      </c>
      <c r="F38">
        <v>1</v>
      </c>
      <c r="G38" t="s">
        <v>542</v>
      </c>
    </row>
    <row r="39" spans="1:7" x14ac:dyDescent="0.35">
      <c r="A39" t="str">
        <f t="shared" si="0"/>
        <v>774044</v>
      </c>
      <c r="B39">
        <v>2024</v>
      </c>
      <c r="C39" s="298">
        <v>7740</v>
      </c>
      <c r="D39" s="298">
        <v>4</v>
      </c>
      <c r="E39" s="298" t="s">
        <v>182</v>
      </c>
      <c r="F39">
        <v>4</v>
      </c>
      <c r="G39" t="s">
        <v>543</v>
      </c>
    </row>
    <row r="40" spans="1:7" x14ac:dyDescent="0.35">
      <c r="A40" t="str">
        <f t="shared" si="0"/>
        <v>774052</v>
      </c>
      <c r="B40">
        <v>2024</v>
      </c>
      <c r="C40" s="299">
        <v>7740</v>
      </c>
      <c r="D40" s="298">
        <v>5</v>
      </c>
      <c r="E40" s="298" t="s">
        <v>184</v>
      </c>
      <c r="F40">
        <v>2</v>
      </c>
      <c r="G40" t="s">
        <v>544</v>
      </c>
    </row>
    <row r="41" spans="1:7" x14ac:dyDescent="0.35">
      <c r="A41" t="str">
        <f t="shared" si="0"/>
        <v>774111</v>
      </c>
      <c r="B41">
        <v>2024</v>
      </c>
      <c r="C41" s="298">
        <v>7741</v>
      </c>
      <c r="D41" s="298">
        <v>1</v>
      </c>
      <c r="E41" s="298" t="s">
        <v>192</v>
      </c>
      <c r="F41">
        <v>1</v>
      </c>
      <c r="G41" t="s">
        <v>545</v>
      </c>
    </row>
    <row r="42" spans="1:7" x14ac:dyDescent="0.35">
      <c r="A42" t="str">
        <f t="shared" si="0"/>
        <v>774112</v>
      </c>
      <c r="B42">
        <v>2024</v>
      </c>
      <c r="C42" s="298">
        <v>7741</v>
      </c>
      <c r="D42" s="298">
        <v>1</v>
      </c>
      <c r="E42" s="298" t="s">
        <v>192</v>
      </c>
      <c r="F42">
        <v>2</v>
      </c>
      <c r="G42" t="s">
        <v>546</v>
      </c>
    </row>
    <row r="43" spans="1:7" x14ac:dyDescent="0.35">
      <c r="A43" t="str">
        <f t="shared" si="0"/>
        <v>774121</v>
      </c>
      <c r="B43">
        <v>2024</v>
      </c>
      <c r="C43" s="298">
        <v>7741</v>
      </c>
      <c r="D43" s="298">
        <v>2</v>
      </c>
      <c r="E43" s="298" t="s">
        <v>198</v>
      </c>
      <c r="F43">
        <v>1</v>
      </c>
      <c r="G43" t="s">
        <v>547</v>
      </c>
    </row>
    <row r="44" spans="1:7" x14ac:dyDescent="0.35">
      <c r="A44" t="str">
        <f t="shared" si="0"/>
        <v>774122</v>
      </c>
      <c r="B44">
        <v>2024</v>
      </c>
      <c r="C44" s="298">
        <v>7741</v>
      </c>
      <c r="D44" s="298">
        <v>2</v>
      </c>
      <c r="E44" s="298" t="s">
        <v>198</v>
      </c>
      <c r="F44">
        <v>2</v>
      </c>
      <c r="G44" t="s">
        <v>548</v>
      </c>
    </row>
    <row r="45" spans="1:7" x14ac:dyDescent="0.35">
      <c r="A45" t="str">
        <f t="shared" si="0"/>
        <v>774123</v>
      </c>
      <c r="B45">
        <v>2024</v>
      </c>
      <c r="C45" s="298">
        <v>7741</v>
      </c>
      <c r="D45" s="298">
        <v>2</v>
      </c>
      <c r="E45" s="298" t="s">
        <v>198</v>
      </c>
      <c r="F45">
        <v>3</v>
      </c>
      <c r="G45" t="s">
        <v>549</v>
      </c>
    </row>
    <row r="46" spans="1:7" x14ac:dyDescent="0.35">
      <c r="A46" t="str">
        <f t="shared" si="0"/>
        <v>774131</v>
      </c>
      <c r="B46">
        <v>2024</v>
      </c>
      <c r="C46" s="298">
        <v>7741</v>
      </c>
      <c r="D46" s="298">
        <v>3</v>
      </c>
      <c r="E46" s="298" t="s">
        <v>201</v>
      </c>
      <c r="F46">
        <v>1</v>
      </c>
      <c r="G46" t="s">
        <v>550</v>
      </c>
    </row>
    <row r="47" spans="1:7" x14ac:dyDescent="0.35">
      <c r="A47" t="str">
        <f t="shared" si="0"/>
        <v>774132</v>
      </c>
      <c r="B47">
        <v>2024</v>
      </c>
      <c r="C47" s="298">
        <v>7741</v>
      </c>
      <c r="D47" s="298">
        <v>3</v>
      </c>
      <c r="E47" s="298" t="s">
        <v>201</v>
      </c>
      <c r="F47">
        <v>2</v>
      </c>
      <c r="G47" t="s">
        <v>551</v>
      </c>
    </row>
    <row r="48" spans="1:7" x14ac:dyDescent="0.35">
      <c r="A48" t="str">
        <f t="shared" si="0"/>
        <v>774141</v>
      </c>
      <c r="B48">
        <v>2024</v>
      </c>
      <c r="C48" s="298">
        <v>7741</v>
      </c>
      <c r="D48" s="298">
        <v>4</v>
      </c>
      <c r="E48" s="298" t="s">
        <v>205</v>
      </c>
      <c r="F48">
        <v>1</v>
      </c>
      <c r="G48" t="s">
        <v>552</v>
      </c>
    </row>
    <row r="49" spans="1:7" x14ac:dyDescent="0.35">
      <c r="A49" t="str">
        <f t="shared" si="0"/>
        <v>774151</v>
      </c>
      <c r="B49">
        <v>2024</v>
      </c>
      <c r="C49" s="298">
        <v>7741</v>
      </c>
      <c r="D49" s="298">
        <v>5</v>
      </c>
      <c r="E49" s="298" t="s">
        <v>207</v>
      </c>
      <c r="F49">
        <v>1</v>
      </c>
      <c r="G49" t="s">
        <v>553</v>
      </c>
    </row>
    <row r="50" spans="1:7" x14ac:dyDescent="0.35">
      <c r="A50" t="str">
        <f t="shared" si="0"/>
        <v>774152</v>
      </c>
      <c r="B50">
        <v>2024</v>
      </c>
      <c r="C50" s="298">
        <v>7741</v>
      </c>
      <c r="D50" s="298">
        <v>5</v>
      </c>
      <c r="E50" s="298" t="s">
        <v>207</v>
      </c>
      <c r="F50">
        <v>2</v>
      </c>
      <c r="G50" t="s">
        <v>554</v>
      </c>
    </row>
    <row r="51" spans="1:7" x14ac:dyDescent="0.35">
      <c r="A51" t="str">
        <f t="shared" si="0"/>
        <v>774161</v>
      </c>
      <c r="B51">
        <v>2024</v>
      </c>
      <c r="C51" s="298">
        <v>7741</v>
      </c>
      <c r="D51" s="298">
        <v>6</v>
      </c>
      <c r="E51" s="298" t="s">
        <v>210</v>
      </c>
      <c r="F51">
        <v>1</v>
      </c>
      <c r="G51" t="s">
        <v>555</v>
      </c>
    </row>
    <row r="52" spans="1:7" x14ac:dyDescent="0.35">
      <c r="A52" t="str">
        <f t="shared" si="0"/>
        <v>774171</v>
      </c>
      <c r="B52">
        <v>2024</v>
      </c>
      <c r="C52" s="298">
        <v>7741</v>
      </c>
      <c r="D52" s="298">
        <v>7</v>
      </c>
      <c r="E52" s="298" t="s">
        <v>213</v>
      </c>
      <c r="F52">
        <v>1</v>
      </c>
      <c r="G52" t="s">
        <v>556</v>
      </c>
    </row>
    <row r="53" spans="1:7" x14ac:dyDescent="0.35">
      <c r="A53" t="str">
        <f t="shared" si="0"/>
        <v>774181</v>
      </c>
      <c r="B53">
        <v>2024</v>
      </c>
      <c r="C53" s="298">
        <v>7741</v>
      </c>
      <c r="D53" s="298">
        <v>8</v>
      </c>
      <c r="E53" s="298" t="s">
        <v>214</v>
      </c>
      <c r="F53">
        <v>1</v>
      </c>
      <c r="G53" t="s">
        <v>557</v>
      </c>
    </row>
    <row r="54" spans="1:7" x14ac:dyDescent="0.35">
      <c r="A54" t="str">
        <f t="shared" si="0"/>
        <v>774182</v>
      </c>
      <c r="B54">
        <v>2024</v>
      </c>
      <c r="C54" s="299">
        <v>7741</v>
      </c>
      <c r="D54" s="298">
        <v>8</v>
      </c>
      <c r="E54" s="298" t="s">
        <v>214</v>
      </c>
      <c r="F54">
        <v>2</v>
      </c>
      <c r="G54" t="s">
        <v>558</v>
      </c>
    </row>
    <row r="55" spans="1:7" x14ac:dyDescent="0.35">
      <c r="A55" t="str">
        <f t="shared" si="0"/>
        <v>774411</v>
      </c>
      <c r="B55">
        <v>2024</v>
      </c>
      <c r="C55" s="298">
        <v>7744</v>
      </c>
      <c r="D55" s="298">
        <v>1</v>
      </c>
      <c r="E55" s="298" t="s">
        <v>220</v>
      </c>
      <c r="F55">
        <v>1</v>
      </c>
      <c r="G55" t="s">
        <v>559</v>
      </c>
    </row>
    <row r="56" spans="1:7" x14ac:dyDescent="0.35">
      <c r="A56" t="str">
        <f t="shared" si="0"/>
        <v>774412</v>
      </c>
      <c r="B56">
        <v>2024</v>
      </c>
      <c r="C56" s="298">
        <v>7744</v>
      </c>
      <c r="D56" s="298">
        <v>1</v>
      </c>
      <c r="E56" s="298" t="s">
        <v>220</v>
      </c>
      <c r="F56">
        <v>2</v>
      </c>
      <c r="G56" t="s">
        <v>560</v>
      </c>
    </row>
    <row r="57" spans="1:7" x14ac:dyDescent="0.35">
      <c r="A57" t="str">
        <f t="shared" si="0"/>
        <v>774422</v>
      </c>
      <c r="B57">
        <v>2024</v>
      </c>
      <c r="C57" s="298">
        <v>7744</v>
      </c>
      <c r="D57" s="298">
        <v>2</v>
      </c>
      <c r="E57" s="298" t="s">
        <v>224</v>
      </c>
      <c r="F57">
        <v>2</v>
      </c>
      <c r="G57" t="s">
        <v>561</v>
      </c>
    </row>
    <row r="58" spans="1:7" x14ac:dyDescent="0.35">
      <c r="A58" t="str">
        <f t="shared" si="0"/>
        <v>774423</v>
      </c>
      <c r="B58">
        <v>2024</v>
      </c>
      <c r="C58" s="298">
        <v>7744</v>
      </c>
      <c r="D58" s="298">
        <v>2</v>
      </c>
      <c r="E58" s="298" t="s">
        <v>224</v>
      </c>
      <c r="F58">
        <v>3</v>
      </c>
      <c r="G58" t="s">
        <v>562</v>
      </c>
    </row>
    <row r="59" spans="1:7" x14ac:dyDescent="0.35">
      <c r="A59" t="str">
        <f t="shared" si="0"/>
        <v>774424</v>
      </c>
      <c r="B59">
        <v>2024</v>
      </c>
      <c r="C59" s="298">
        <v>7744</v>
      </c>
      <c r="D59" s="298">
        <v>2</v>
      </c>
      <c r="E59" s="298" t="s">
        <v>224</v>
      </c>
      <c r="F59">
        <v>4</v>
      </c>
      <c r="G59" t="s">
        <v>563</v>
      </c>
    </row>
    <row r="60" spans="1:7" x14ac:dyDescent="0.35">
      <c r="A60" t="str">
        <f t="shared" si="0"/>
        <v>774425</v>
      </c>
      <c r="B60">
        <v>2024</v>
      </c>
      <c r="C60" s="298">
        <v>7744</v>
      </c>
      <c r="D60" s="298">
        <v>2</v>
      </c>
      <c r="E60" s="298" t="s">
        <v>224</v>
      </c>
      <c r="F60">
        <v>5</v>
      </c>
      <c r="G60" t="s">
        <v>564</v>
      </c>
    </row>
    <row r="61" spans="1:7" x14ac:dyDescent="0.35">
      <c r="A61" t="str">
        <f t="shared" si="0"/>
        <v>774426</v>
      </c>
      <c r="B61">
        <v>2024</v>
      </c>
      <c r="C61" s="298">
        <v>7744</v>
      </c>
      <c r="D61" s="298">
        <v>2</v>
      </c>
      <c r="E61" s="298" t="s">
        <v>224</v>
      </c>
      <c r="F61">
        <v>6</v>
      </c>
      <c r="G61" t="s">
        <v>565</v>
      </c>
    </row>
    <row r="62" spans="1:7" x14ac:dyDescent="0.35">
      <c r="A62" t="str">
        <f t="shared" si="0"/>
        <v>774427</v>
      </c>
      <c r="B62">
        <v>2024</v>
      </c>
      <c r="C62" s="298">
        <v>7744</v>
      </c>
      <c r="D62" s="298">
        <v>2</v>
      </c>
      <c r="E62" s="298" t="s">
        <v>224</v>
      </c>
      <c r="F62">
        <v>7</v>
      </c>
      <c r="G62" t="s">
        <v>566</v>
      </c>
    </row>
    <row r="63" spans="1:7" x14ac:dyDescent="0.35">
      <c r="A63" t="str">
        <f t="shared" si="0"/>
        <v>774428</v>
      </c>
      <c r="B63">
        <v>2024</v>
      </c>
      <c r="C63" s="298">
        <v>7744</v>
      </c>
      <c r="D63" s="298">
        <v>2</v>
      </c>
      <c r="E63" s="298" t="s">
        <v>224</v>
      </c>
      <c r="F63">
        <v>8</v>
      </c>
      <c r="G63" t="s">
        <v>567</v>
      </c>
    </row>
    <row r="64" spans="1:7" x14ac:dyDescent="0.35">
      <c r="A64" t="str">
        <f t="shared" si="0"/>
        <v>774431</v>
      </c>
      <c r="B64">
        <v>2024</v>
      </c>
      <c r="C64" s="298">
        <v>7744</v>
      </c>
      <c r="D64" s="298">
        <v>3</v>
      </c>
      <c r="E64" s="298" t="s">
        <v>229</v>
      </c>
      <c r="F64">
        <v>1</v>
      </c>
      <c r="G64" t="s">
        <v>568</v>
      </c>
    </row>
    <row r="65" spans="1:7" x14ac:dyDescent="0.35">
      <c r="A65" t="str">
        <f t="shared" si="0"/>
        <v>774432</v>
      </c>
      <c r="B65">
        <v>2024</v>
      </c>
      <c r="C65" s="298">
        <v>7744</v>
      </c>
      <c r="D65" s="298">
        <v>3</v>
      </c>
      <c r="E65" s="298" t="s">
        <v>229</v>
      </c>
      <c r="F65">
        <v>2</v>
      </c>
      <c r="G65" t="s">
        <v>569</v>
      </c>
    </row>
    <row r="66" spans="1:7" x14ac:dyDescent="0.35">
      <c r="A66" t="str">
        <f t="shared" si="0"/>
        <v>774433</v>
      </c>
      <c r="B66">
        <v>2024</v>
      </c>
      <c r="C66" s="298">
        <v>7744</v>
      </c>
      <c r="D66" s="298">
        <v>3</v>
      </c>
      <c r="E66" s="298" t="s">
        <v>229</v>
      </c>
      <c r="F66">
        <v>3</v>
      </c>
      <c r="G66" t="s">
        <v>570</v>
      </c>
    </row>
    <row r="67" spans="1:7" x14ac:dyDescent="0.35">
      <c r="A67" t="str">
        <f t="shared" ref="A67:A130" si="1">C67&amp;D67&amp;F67</f>
        <v>774434</v>
      </c>
      <c r="B67">
        <v>2024</v>
      </c>
      <c r="C67" s="298">
        <v>7744</v>
      </c>
      <c r="D67" s="298">
        <v>3</v>
      </c>
      <c r="E67" s="298" t="s">
        <v>229</v>
      </c>
      <c r="F67">
        <v>4</v>
      </c>
      <c r="G67" t="s">
        <v>571</v>
      </c>
    </row>
    <row r="68" spans="1:7" x14ac:dyDescent="0.35">
      <c r="A68" t="str">
        <f t="shared" si="1"/>
        <v>774441</v>
      </c>
      <c r="B68">
        <v>2024</v>
      </c>
      <c r="C68" s="298">
        <v>7744</v>
      </c>
      <c r="D68" s="298">
        <v>4</v>
      </c>
      <c r="E68" s="298" t="s">
        <v>230</v>
      </c>
      <c r="F68">
        <v>1</v>
      </c>
      <c r="G68" t="s">
        <v>572</v>
      </c>
    </row>
    <row r="69" spans="1:7" x14ac:dyDescent="0.35">
      <c r="A69" t="str">
        <f t="shared" si="1"/>
        <v>774451</v>
      </c>
      <c r="B69">
        <v>2024</v>
      </c>
      <c r="C69" s="298">
        <v>7744</v>
      </c>
      <c r="D69" s="298">
        <v>5</v>
      </c>
      <c r="E69" s="298" t="s">
        <v>232</v>
      </c>
      <c r="F69">
        <v>1</v>
      </c>
      <c r="G69" t="s">
        <v>573</v>
      </c>
    </row>
    <row r="70" spans="1:7" x14ac:dyDescent="0.35">
      <c r="A70" t="str">
        <f t="shared" si="1"/>
        <v>774452</v>
      </c>
      <c r="B70">
        <v>2024</v>
      </c>
      <c r="C70" s="298">
        <v>7744</v>
      </c>
      <c r="D70" s="298">
        <v>5</v>
      </c>
      <c r="E70" s="298" t="s">
        <v>232</v>
      </c>
      <c r="F70">
        <v>2</v>
      </c>
      <c r="G70" t="s">
        <v>574</v>
      </c>
    </row>
    <row r="71" spans="1:7" x14ac:dyDescent="0.35">
      <c r="A71" t="str">
        <f t="shared" si="1"/>
        <v>774454</v>
      </c>
      <c r="B71">
        <v>2024</v>
      </c>
      <c r="C71" s="298">
        <v>7744</v>
      </c>
      <c r="D71" s="298">
        <v>5</v>
      </c>
      <c r="E71" s="298" t="s">
        <v>232</v>
      </c>
      <c r="F71">
        <v>4</v>
      </c>
      <c r="G71" t="s">
        <v>575</v>
      </c>
    </row>
    <row r="72" spans="1:7" x14ac:dyDescent="0.35">
      <c r="A72" t="str">
        <f t="shared" si="1"/>
        <v>774461</v>
      </c>
      <c r="B72">
        <v>2024</v>
      </c>
      <c r="C72" s="299">
        <v>7744</v>
      </c>
      <c r="D72" s="298">
        <v>6</v>
      </c>
      <c r="E72" s="298" t="s">
        <v>238</v>
      </c>
      <c r="F72">
        <v>1</v>
      </c>
      <c r="G72" t="s">
        <v>576</v>
      </c>
    </row>
    <row r="73" spans="1:7" x14ac:dyDescent="0.35">
      <c r="A73" t="str">
        <f t="shared" si="1"/>
        <v>774521</v>
      </c>
      <c r="B73">
        <v>2024</v>
      </c>
      <c r="C73" s="298">
        <v>7745</v>
      </c>
      <c r="D73" s="298">
        <v>2</v>
      </c>
      <c r="E73" s="298" t="s">
        <v>252</v>
      </c>
      <c r="F73">
        <v>1</v>
      </c>
      <c r="G73" t="s">
        <v>577</v>
      </c>
    </row>
    <row r="74" spans="1:7" x14ac:dyDescent="0.35">
      <c r="A74" t="str">
        <f t="shared" si="1"/>
        <v>774522</v>
      </c>
      <c r="B74">
        <v>2024</v>
      </c>
      <c r="C74" s="298">
        <v>7745</v>
      </c>
      <c r="D74" s="298">
        <v>2</v>
      </c>
      <c r="E74" s="298" t="s">
        <v>252</v>
      </c>
      <c r="F74">
        <v>2</v>
      </c>
      <c r="G74" t="s">
        <v>578</v>
      </c>
    </row>
    <row r="75" spans="1:7" x14ac:dyDescent="0.35">
      <c r="A75" t="str">
        <f t="shared" si="1"/>
        <v>774523</v>
      </c>
      <c r="B75">
        <v>2024</v>
      </c>
      <c r="C75" s="298">
        <v>7745</v>
      </c>
      <c r="D75" s="298">
        <v>2</v>
      </c>
      <c r="E75" s="298" t="s">
        <v>252</v>
      </c>
      <c r="F75">
        <v>3</v>
      </c>
      <c r="G75" t="s">
        <v>579</v>
      </c>
    </row>
    <row r="76" spans="1:7" x14ac:dyDescent="0.35">
      <c r="A76" t="str">
        <f t="shared" si="1"/>
        <v>774541</v>
      </c>
      <c r="B76">
        <v>2024</v>
      </c>
      <c r="C76" s="298">
        <v>7745</v>
      </c>
      <c r="D76" s="298">
        <v>4</v>
      </c>
      <c r="E76" s="298" t="s">
        <v>260</v>
      </c>
      <c r="F76">
        <v>1</v>
      </c>
      <c r="G76" t="s">
        <v>577</v>
      </c>
    </row>
    <row r="77" spans="1:7" x14ac:dyDescent="0.35">
      <c r="A77" t="str">
        <f t="shared" si="1"/>
        <v>774542</v>
      </c>
      <c r="B77">
        <v>2024</v>
      </c>
      <c r="C77" s="298">
        <v>7745</v>
      </c>
      <c r="D77" s="298">
        <v>4</v>
      </c>
      <c r="E77" s="298" t="s">
        <v>260</v>
      </c>
      <c r="F77">
        <v>2</v>
      </c>
      <c r="G77" t="s">
        <v>580</v>
      </c>
    </row>
    <row r="78" spans="1:7" x14ac:dyDescent="0.35">
      <c r="A78" t="str">
        <f t="shared" si="1"/>
        <v>774543</v>
      </c>
      <c r="B78">
        <v>2024</v>
      </c>
      <c r="C78" s="298">
        <v>7745</v>
      </c>
      <c r="D78" s="298">
        <v>4</v>
      </c>
      <c r="E78" s="298" t="s">
        <v>260</v>
      </c>
      <c r="F78">
        <v>3</v>
      </c>
      <c r="G78" t="s">
        <v>581</v>
      </c>
    </row>
    <row r="79" spans="1:7" x14ac:dyDescent="0.35">
      <c r="A79" t="str">
        <f t="shared" si="1"/>
        <v>774561</v>
      </c>
      <c r="B79">
        <v>2024</v>
      </c>
      <c r="C79" s="298">
        <v>7745</v>
      </c>
      <c r="D79" s="298">
        <v>6</v>
      </c>
      <c r="E79" s="298" t="s">
        <v>268</v>
      </c>
      <c r="F79">
        <v>1</v>
      </c>
      <c r="G79" t="s">
        <v>582</v>
      </c>
    </row>
    <row r="80" spans="1:7" x14ac:dyDescent="0.35">
      <c r="A80" t="str">
        <f t="shared" si="1"/>
        <v>774571</v>
      </c>
      <c r="B80">
        <v>2024</v>
      </c>
      <c r="C80" s="298">
        <v>7745</v>
      </c>
      <c r="D80" s="298">
        <v>7</v>
      </c>
      <c r="E80" s="298" t="s">
        <v>270</v>
      </c>
      <c r="F80">
        <v>1</v>
      </c>
      <c r="G80" t="s">
        <v>583</v>
      </c>
    </row>
    <row r="81" spans="1:7" x14ac:dyDescent="0.35">
      <c r="A81" t="str">
        <f t="shared" si="1"/>
        <v>774581</v>
      </c>
      <c r="B81">
        <v>2024</v>
      </c>
      <c r="C81" s="298">
        <v>7745</v>
      </c>
      <c r="D81" s="298">
        <v>8</v>
      </c>
      <c r="E81" s="298" t="s">
        <v>273</v>
      </c>
      <c r="F81">
        <v>1</v>
      </c>
      <c r="G81" t="s">
        <v>584</v>
      </c>
    </row>
    <row r="82" spans="1:7" x14ac:dyDescent="0.35">
      <c r="A82" t="str">
        <f t="shared" si="1"/>
        <v>774591</v>
      </c>
      <c r="B82">
        <v>2024</v>
      </c>
      <c r="C82" s="298">
        <v>7745</v>
      </c>
      <c r="D82" s="298">
        <v>9</v>
      </c>
      <c r="E82" s="298" t="s">
        <v>275</v>
      </c>
      <c r="F82">
        <v>1</v>
      </c>
      <c r="G82" t="s">
        <v>584</v>
      </c>
    </row>
    <row r="83" spans="1:7" x14ac:dyDescent="0.35">
      <c r="A83" t="str">
        <f t="shared" si="1"/>
        <v>7745101</v>
      </c>
      <c r="B83">
        <v>2024</v>
      </c>
      <c r="C83" s="298">
        <v>7745</v>
      </c>
      <c r="D83" s="298">
        <v>10</v>
      </c>
      <c r="E83" s="298" t="s">
        <v>280</v>
      </c>
      <c r="F83">
        <v>1</v>
      </c>
      <c r="G83" t="s">
        <v>585</v>
      </c>
    </row>
    <row r="84" spans="1:7" x14ac:dyDescent="0.35">
      <c r="A84" t="str">
        <f t="shared" si="1"/>
        <v>7745111</v>
      </c>
      <c r="B84">
        <v>2024</v>
      </c>
      <c r="C84" s="298">
        <v>7745</v>
      </c>
      <c r="D84" s="298">
        <v>11</v>
      </c>
      <c r="E84" s="298" t="s">
        <v>282</v>
      </c>
      <c r="F84">
        <v>1</v>
      </c>
      <c r="G84" t="s">
        <v>586</v>
      </c>
    </row>
    <row r="85" spans="1:7" x14ac:dyDescent="0.35">
      <c r="A85" t="str">
        <f t="shared" si="1"/>
        <v>7745112</v>
      </c>
      <c r="B85">
        <v>2024</v>
      </c>
      <c r="C85" s="299">
        <v>7745</v>
      </c>
      <c r="D85" s="298">
        <v>11</v>
      </c>
      <c r="E85" s="298" t="s">
        <v>282</v>
      </c>
      <c r="F85">
        <v>2</v>
      </c>
      <c r="G85" t="s">
        <v>587</v>
      </c>
    </row>
    <row r="86" spans="1:7" x14ac:dyDescent="0.35">
      <c r="A86" t="str">
        <f t="shared" si="1"/>
        <v>774811</v>
      </c>
      <c r="B86">
        <v>2024</v>
      </c>
      <c r="C86" s="298">
        <v>7748</v>
      </c>
      <c r="D86" s="298">
        <v>1</v>
      </c>
      <c r="E86" s="298" t="s">
        <v>289</v>
      </c>
      <c r="F86">
        <v>1</v>
      </c>
      <c r="G86" t="s">
        <v>588</v>
      </c>
    </row>
    <row r="87" spans="1:7" x14ac:dyDescent="0.35">
      <c r="A87" t="str">
        <f t="shared" si="1"/>
        <v>774812</v>
      </c>
      <c r="B87">
        <v>2024</v>
      </c>
      <c r="C87" s="298">
        <v>7748</v>
      </c>
      <c r="D87" s="298">
        <v>1</v>
      </c>
      <c r="E87" s="298" t="s">
        <v>289</v>
      </c>
      <c r="F87">
        <v>2</v>
      </c>
      <c r="G87" t="s">
        <v>589</v>
      </c>
    </row>
    <row r="88" spans="1:7" x14ac:dyDescent="0.35">
      <c r="A88" t="str">
        <f t="shared" si="1"/>
        <v>774813</v>
      </c>
      <c r="B88">
        <v>2024</v>
      </c>
      <c r="C88" s="298">
        <v>7748</v>
      </c>
      <c r="D88" s="298">
        <v>1</v>
      </c>
      <c r="E88" s="298" t="s">
        <v>289</v>
      </c>
      <c r="F88">
        <v>3</v>
      </c>
      <c r="G88" t="s">
        <v>590</v>
      </c>
    </row>
    <row r="89" spans="1:7" x14ac:dyDescent="0.35">
      <c r="A89" t="str">
        <f t="shared" si="1"/>
        <v>774814</v>
      </c>
      <c r="B89">
        <v>2024</v>
      </c>
      <c r="C89" s="298">
        <v>7748</v>
      </c>
      <c r="D89" s="298">
        <v>1</v>
      </c>
      <c r="E89" s="298" t="s">
        <v>289</v>
      </c>
      <c r="F89">
        <v>4</v>
      </c>
      <c r="G89" t="s">
        <v>591</v>
      </c>
    </row>
    <row r="90" spans="1:7" x14ac:dyDescent="0.35">
      <c r="A90" t="str">
        <f t="shared" si="1"/>
        <v>774815</v>
      </c>
      <c r="B90">
        <v>2024</v>
      </c>
      <c r="C90" s="298">
        <v>7748</v>
      </c>
      <c r="D90" s="298">
        <v>1</v>
      </c>
      <c r="E90" s="298" t="s">
        <v>289</v>
      </c>
      <c r="F90">
        <v>5</v>
      </c>
      <c r="G90" t="s">
        <v>592</v>
      </c>
    </row>
    <row r="91" spans="1:7" x14ac:dyDescent="0.35">
      <c r="A91" t="str">
        <f t="shared" si="1"/>
        <v>774816</v>
      </c>
      <c r="B91">
        <v>2024</v>
      </c>
      <c r="C91" s="298">
        <v>7748</v>
      </c>
      <c r="D91" s="298">
        <v>1</v>
      </c>
      <c r="E91" s="298" t="s">
        <v>289</v>
      </c>
      <c r="F91">
        <v>6</v>
      </c>
      <c r="G91" t="s">
        <v>593</v>
      </c>
    </row>
    <row r="92" spans="1:7" x14ac:dyDescent="0.35">
      <c r="A92" t="str">
        <f t="shared" si="1"/>
        <v>774817</v>
      </c>
      <c r="B92">
        <v>2024</v>
      </c>
      <c r="C92" s="298">
        <v>7748</v>
      </c>
      <c r="D92" s="298">
        <v>1</v>
      </c>
      <c r="E92" s="298" t="s">
        <v>289</v>
      </c>
      <c r="F92">
        <v>7</v>
      </c>
      <c r="G92" t="s">
        <v>594</v>
      </c>
    </row>
    <row r="93" spans="1:7" x14ac:dyDescent="0.35">
      <c r="A93" t="str">
        <f t="shared" si="1"/>
        <v>774818</v>
      </c>
      <c r="B93">
        <v>2024</v>
      </c>
      <c r="C93" s="298">
        <v>7748</v>
      </c>
      <c r="D93" s="298">
        <v>1</v>
      </c>
      <c r="E93" s="298" t="s">
        <v>289</v>
      </c>
      <c r="F93">
        <v>8</v>
      </c>
      <c r="G93" t="s">
        <v>595</v>
      </c>
    </row>
    <row r="94" spans="1:7" x14ac:dyDescent="0.35">
      <c r="A94" t="str">
        <f t="shared" si="1"/>
        <v>774819</v>
      </c>
      <c r="B94">
        <v>2024</v>
      </c>
      <c r="C94" s="298">
        <v>7748</v>
      </c>
      <c r="D94" s="298">
        <v>1</v>
      </c>
      <c r="E94" s="298" t="s">
        <v>289</v>
      </c>
      <c r="F94">
        <v>9</v>
      </c>
      <c r="G94" t="s">
        <v>596</v>
      </c>
    </row>
    <row r="95" spans="1:7" x14ac:dyDescent="0.35">
      <c r="A95" t="str">
        <f t="shared" si="1"/>
        <v>7748110</v>
      </c>
      <c r="B95">
        <v>2024</v>
      </c>
      <c r="C95" s="298">
        <v>7748</v>
      </c>
      <c r="D95" s="298">
        <v>1</v>
      </c>
      <c r="E95" s="298" t="s">
        <v>289</v>
      </c>
      <c r="F95">
        <v>10</v>
      </c>
      <c r="G95" t="s">
        <v>597</v>
      </c>
    </row>
    <row r="96" spans="1:7" x14ac:dyDescent="0.35">
      <c r="A96" t="str">
        <f t="shared" si="1"/>
        <v>774821</v>
      </c>
      <c r="B96">
        <v>2024</v>
      </c>
      <c r="C96" s="298">
        <v>7748</v>
      </c>
      <c r="D96" s="298">
        <v>2</v>
      </c>
      <c r="E96" s="298" t="s">
        <v>295</v>
      </c>
      <c r="F96">
        <v>1</v>
      </c>
      <c r="G96" t="s">
        <v>598</v>
      </c>
    </row>
    <row r="97" spans="1:7" x14ac:dyDescent="0.35">
      <c r="A97" t="str">
        <f t="shared" si="1"/>
        <v>774822</v>
      </c>
      <c r="B97">
        <v>2024</v>
      </c>
      <c r="C97" s="298">
        <v>7748</v>
      </c>
      <c r="D97" s="298">
        <v>2</v>
      </c>
      <c r="E97" s="298" t="s">
        <v>295</v>
      </c>
      <c r="F97">
        <v>2</v>
      </c>
      <c r="G97" t="s">
        <v>599</v>
      </c>
    </row>
    <row r="98" spans="1:7" x14ac:dyDescent="0.35">
      <c r="A98" t="str">
        <f t="shared" si="1"/>
        <v>774823</v>
      </c>
      <c r="B98">
        <v>2024</v>
      </c>
      <c r="C98" s="298">
        <v>7748</v>
      </c>
      <c r="D98" s="298">
        <v>2</v>
      </c>
      <c r="E98" s="298" t="s">
        <v>295</v>
      </c>
      <c r="F98">
        <v>3</v>
      </c>
      <c r="G98" t="s">
        <v>600</v>
      </c>
    </row>
    <row r="99" spans="1:7" x14ac:dyDescent="0.35">
      <c r="A99" t="str">
        <f t="shared" si="1"/>
        <v>774831</v>
      </c>
      <c r="B99">
        <v>2024</v>
      </c>
      <c r="C99" s="298">
        <v>7748</v>
      </c>
      <c r="D99" s="298">
        <v>3</v>
      </c>
      <c r="E99" s="298" t="s">
        <v>299</v>
      </c>
      <c r="F99">
        <v>1</v>
      </c>
      <c r="G99" t="s">
        <v>601</v>
      </c>
    </row>
    <row r="100" spans="1:7" x14ac:dyDescent="0.35">
      <c r="A100" t="str">
        <f t="shared" si="1"/>
        <v>774832</v>
      </c>
      <c r="B100">
        <v>2024</v>
      </c>
      <c r="C100" s="298">
        <v>7748</v>
      </c>
      <c r="D100" s="298">
        <v>3</v>
      </c>
      <c r="E100" s="298" t="s">
        <v>299</v>
      </c>
      <c r="F100">
        <v>2</v>
      </c>
      <c r="G100" t="s">
        <v>602</v>
      </c>
    </row>
    <row r="101" spans="1:7" x14ac:dyDescent="0.35">
      <c r="A101" t="str">
        <f t="shared" si="1"/>
        <v>774841</v>
      </c>
      <c r="B101">
        <v>2024</v>
      </c>
      <c r="C101" s="298">
        <v>7748</v>
      </c>
      <c r="D101" s="298">
        <v>4</v>
      </c>
      <c r="E101" s="298" t="s">
        <v>301</v>
      </c>
      <c r="F101">
        <v>1</v>
      </c>
      <c r="G101" t="s">
        <v>603</v>
      </c>
    </row>
    <row r="102" spans="1:7" x14ac:dyDescent="0.35">
      <c r="A102" t="str">
        <f t="shared" si="1"/>
        <v>774842</v>
      </c>
      <c r="B102">
        <v>2024</v>
      </c>
      <c r="C102" s="298">
        <v>7748</v>
      </c>
      <c r="D102" s="298">
        <v>4</v>
      </c>
      <c r="E102" s="298" t="s">
        <v>301</v>
      </c>
      <c r="F102">
        <v>2</v>
      </c>
      <c r="G102" t="s">
        <v>604</v>
      </c>
    </row>
    <row r="103" spans="1:7" x14ac:dyDescent="0.35">
      <c r="A103" t="str">
        <f t="shared" si="1"/>
        <v>774843</v>
      </c>
      <c r="B103">
        <v>2024</v>
      </c>
      <c r="C103" s="298">
        <v>7748</v>
      </c>
      <c r="D103" s="298">
        <v>4</v>
      </c>
      <c r="E103" s="298" t="s">
        <v>301</v>
      </c>
      <c r="F103">
        <v>3</v>
      </c>
      <c r="G103" t="s">
        <v>605</v>
      </c>
    </row>
    <row r="104" spans="1:7" x14ac:dyDescent="0.35">
      <c r="A104" t="str">
        <f t="shared" si="1"/>
        <v>774844</v>
      </c>
      <c r="B104">
        <v>2024</v>
      </c>
      <c r="C104" s="298">
        <v>7748</v>
      </c>
      <c r="D104" s="298">
        <v>4</v>
      </c>
      <c r="E104" s="298" t="s">
        <v>301</v>
      </c>
      <c r="F104">
        <v>4</v>
      </c>
      <c r="G104" t="s">
        <v>606</v>
      </c>
    </row>
    <row r="105" spans="1:7" x14ac:dyDescent="0.35">
      <c r="A105" t="str">
        <f t="shared" si="1"/>
        <v>774851</v>
      </c>
      <c r="B105">
        <v>2024</v>
      </c>
      <c r="C105" s="298">
        <v>7748</v>
      </c>
      <c r="D105" s="298">
        <v>5</v>
      </c>
      <c r="E105" s="298" t="s">
        <v>307</v>
      </c>
      <c r="F105">
        <v>1</v>
      </c>
      <c r="G105" t="s">
        <v>607</v>
      </c>
    </row>
    <row r="106" spans="1:7" x14ac:dyDescent="0.35">
      <c r="A106" t="str">
        <f t="shared" si="1"/>
        <v>774861</v>
      </c>
      <c r="B106">
        <v>2024</v>
      </c>
      <c r="C106" s="298">
        <v>7748</v>
      </c>
      <c r="D106" s="298">
        <v>6</v>
      </c>
      <c r="E106" s="298" t="s">
        <v>311</v>
      </c>
      <c r="F106">
        <v>1</v>
      </c>
      <c r="G106" t="s">
        <v>608</v>
      </c>
    </row>
    <row r="107" spans="1:7" x14ac:dyDescent="0.35">
      <c r="A107" t="str">
        <f t="shared" si="1"/>
        <v>774871</v>
      </c>
      <c r="B107">
        <v>2024</v>
      </c>
      <c r="C107" s="298">
        <v>7748</v>
      </c>
      <c r="D107" s="298">
        <v>7</v>
      </c>
      <c r="E107" s="298" t="s">
        <v>312</v>
      </c>
      <c r="F107">
        <v>1</v>
      </c>
      <c r="G107" t="s">
        <v>609</v>
      </c>
    </row>
    <row r="108" spans="1:7" x14ac:dyDescent="0.35">
      <c r="A108" t="str">
        <f t="shared" si="1"/>
        <v>774872</v>
      </c>
      <c r="B108">
        <v>2024</v>
      </c>
      <c r="C108" s="298">
        <v>7748</v>
      </c>
      <c r="D108" s="298">
        <v>7</v>
      </c>
      <c r="E108" s="298" t="s">
        <v>312</v>
      </c>
      <c r="F108">
        <v>2</v>
      </c>
      <c r="G108" t="s">
        <v>610</v>
      </c>
    </row>
    <row r="109" spans="1:7" x14ac:dyDescent="0.35">
      <c r="A109" t="str">
        <f t="shared" si="1"/>
        <v>774873</v>
      </c>
      <c r="B109">
        <v>2024</v>
      </c>
      <c r="C109" s="299">
        <v>7748</v>
      </c>
      <c r="D109" s="298">
        <v>7</v>
      </c>
      <c r="E109" s="298" t="s">
        <v>312</v>
      </c>
      <c r="F109">
        <v>3</v>
      </c>
      <c r="G109" t="s">
        <v>611</v>
      </c>
    </row>
    <row r="110" spans="1:7" x14ac:dyDescent="0.35">
      <c r="A110" t="str">
        <f t="shared" si="1"/>
        <v>774912</v>
      </c>
      <c r="B110">
        <v>2024</v>
      </c>
      <c r="C110" s="298">
        <v>7749</v>
      </c>
      <c r="D110" s="298">
        <v>1</v>
      </c>
      <c r="E110" s="298" t="s">
        <v>316</v>
      </c>
      <c r="F110">
        <v>2</v>
      </c>
      <c r="G110" t="s">
        <v>612</v>
      </c>
    </row>
    <row r="111" spans="1:7" x14ac:dyDescent="0.35">
      <c r="A111" t="str">
        <f t="shared" si="1"/>
        <v>774923</v>
      </c>
      <c r="B111">
        <v>2024</v>
      </c>
      <c r="C111" s="298">
        <v>7749</v>
      </c>
      <c r="D111" s="298">
        <v>2</v>
      </c>
      <c r="E111" s="298" t="s">
        <v>321</v>
      </c>
      <c r="F111">
        <v>3</v>
      </c>
      <c r="G111" t="s">
        <v>613</v>
      </c>
    </row>
    <row r="112" spans="1:7" x14ac:dyDescent="0.35">
      <c r="A112" t="str">
        <f t="shared" si="1"/>
        <v>774931</v>
      </c>
      <c r="B112">
        <v>2024</v>
      </c>
      <c r="C112" s="298">
        <v>7749</v>
      </c>
      <c r="D112" s="298">
        <v>3</v>
      </c>
      <c r="E112" s="298" t="s">
        <v>324</v>
      </c>
      <c r="F112">
        <v>1</v>
      </c>
      <c r="G112" t="s">
        <v>614</v>
      </c>
    </row>
    <row r="113" spans="1:7" x14ac:dyDescent="0.35">
      <c r="A113" t="str">
        <f t="shared" si="1"/>
        <v>774932</v>
      </c>
      <c r="B113">
        <v>2024</v>
      </c>
      <c r="C113" s="299">
        <v>7749</v>
      </c>
      <c r="D113" s="298">
        <v>3</v>
      </c>
      <c r="E113" s="298" t="s">
        <v>324</v>
      </c>
      <c r="F113">
        <v>2</v>
      </c>
      <c r="G113" t="s">
        <v>615</v>
      </c>
    </row>
    <row r="114" spans="1:7" x14ac:dyDescent="0.35">
      <c r="A114" t="str">
        <f t="shared" si="1"/>
        <v>775212</v>
      </c>
      <c r="B114">
        <v>2024</v>
      </c>
      <c r="C114" s="298">
        <v>7752</v>
      </c>
      <c r="D114" s="298">
        <v>1</v>
      </c>
      <c r="E114" s="298" t="s">
        <v>329</v>
      </c>
      <c r="F114">
        <v>2</v>
      </c>
      <c r="G114" t="s">
        <v>616</v>
      </c>
    </row>
    <row r="115" spans="1:7" x14ac:dyDescent="0.35">
      <c r="A115" t="str">
        <f t="shared" si="1"/>
        <v>775213</v>
      </c>
      <c r="B115">
        <v>2024</v>
      </c>
      <c r="C115" s="298">
        <v>7752</v>
      </c>
      <c r="D115" s="298">
        <v>1</v>
      </c>
      <c r="E115" s="298" t="s">
        <v>329</v>
      </c>
      <c r="F115">
        <v>3</v>
      </c>
      <c r="G115" t="s">
        <v>617</v>
      </c>
    </row>
    <row r="116" spans="1:7" x14ac:dyDescent="0.35">
      <c r="A116" t="str">
        <f t="shared" si="1"/>
        <v>775214</v>
      </c>
      <c r="B116">
        <v>2024</v>
      </c>
      <c r="C116" s="298">
        <v>7752</v>
      </c>
      <c r="D116" s="298">
        <v>1</v>
      </c>
      <c r="E116" s="298" t="s">
        <v>329</v>
      </c>
      <c r="F116">
        <v>4</v>
      </c>
      <c r="G116" t="s">
        <v>618</v>
      </c>
    </row>
    <row r="117" spans="1:7" x14ac:dyDescent="0.35">
      <c r="A117" t="str">
        <f t="shared" si="1"/>
        <v>775222</v>
      </c>
      <c r="B117">
        <v>2024</v>
      </c>
      <c r="C117" s="298">
        <v>7752</v>
      </c>
      <c r="D117" s="298">
        <v>2</v>
      </c>
      <c r="E117" s="298" t="s">
        <v>333</v>
      </c>
      <c r="F117">
        <v>2</v>
      </c>
      <c r="G117" t="s">
        <v>619</v>
      </c>
    </row>
    <row r="118" spans="1:7" x14ac:dyDescent="0.35">
      <c r="A118" t="str">
        <f t="shared" si="1"/>
        <v>775223</v>
      </c>
      <c r="B118">
        <v>2024</v>
      </c>
      <c r="C118" s="298">
        <v>7752</v>
      </c>
      <c r="D118" s="298">
        <v>2</v>
      </c>
      <c r="E118" s="298" t="s">
        <v>333</v>
      </c>
      <c r="F118">
        <v>3</v>
      </c>
      <c r="G118" t="s">
        <v>620</v>
      </c>
    </row>
    <row r="119" spans="1:7" x14ac:dyDescent="0.35">
      <c r="A119" t="str">
        <f t="shared" si="1"/>
        <v>775224</v>
      </c>
      <c r="B119">
        <v>2024</v>
      </c>
      <c r="C119" s="298">
        <v>7752</v>
      </c>
      <c r="D119" s="298">
        <v>2</v>
      </c>
      <c r="E119" s="298" t="s">
        <v>333</v>
      </c>
      <c r="F119">
        <v>4</v>
      </c>
      <c r="G119" t="s">
        <v>621</v>
      </c>
    </row>
    <row r="120" spans="1:7" x14ac:dyDescent="0.35">
      <c r="A120" t="str">
        <f t="shared" si="1"/>
        <v>775232</v>
      </c>
      <c r="B120">
        <v>2024</v>
      </c>
      <c r="C120" s="298">
        <v>7752</v>
      </c>
      <c r="D120" s="298">
        <v>3</v>
      </c>
      <c r="E120" s="298" t="s">
        <v>336</v>
      </c>
      <c r="F120">
        <v>2</v>
      </c>
      <c r="G120" t="s">
        <v>622</v>
      </c>
    </row>
    <row r="121" spans="1:7" x14ac:dyDescent="0.35">
      <c r="A121" t="str">
        <f t="shared" si="1"/>
        <v>775233</v>
      </c>
      <c r="B121">
        <v>2024</v>
      </c>
      <c r="C121" s="298">
        <v>7752</v>
      </c>
      <c r="D121" s="298">
        <v>3</v>
      </c>
      <c r="E121" s="298" t="s">
        <v>336</v>
      </c>
      <c r="F121">
        <v>3</v>
      </c>
      <c r="G121" t="s">
        <v>623</v>
      </c>
    </row>
    <row r="122" spans="1:7" x14ac:dyDescent="0.35">
      <c r="A122" t="str">
        <f t="shared" si="1"/>
        <v>775234</v>
      </c>
      <c r="B122">
        <v>2024</v>
      </c>
      <c r="C122" s="299">
        <v>7752</v>
      </c>
      <c r="D122" s="298">
        <v>3</v>
      </c>
      <c r="E122" s="298" t="s">
        <v>336</v>
      </c>
      <c r="F122">
        <v>4</v>
      </c>
      <c r="G122" t="s">
        <v>624</v>
      </c>
    </row>
    <row r="123" spans="1:7" x14ac:dyDescent="0.35">
      <c r="A123" t="str">
        <f t="shared" si="1"/>
        <v>775311</v>
      </c>
      <c r="B123">
        <v>2024</v>
      </c>
      <c r="C123" s="298">
        <v>7753</v>
      </c>
      <c r="D123" s="298">
        <v>1</v>
      </c>
      <c r="E123" s="298" t="s">
        <v>342</v>
      </c>
      <c r="F123">
        <v>1</v>
      </c>
      <c r="G123" t="s">
        <v>625</v>
      </c>
    </row>
    <row r="124" spans="1:7" x14ac:dyDescent="0.35">
      <c r="A124" t="str">
        <f t="shared" si="1"/>
        <v>775312</v>
      </c>
      <c r="B124">
        <v>2024</v>
      </c>
      <c r="C124" s="298">
        <v>7753</v>
      </c>
      <c r="D124" s="298">
        <v>1</v>
      </c>
      <c r="E124" s="298" t="s">
        <v>342</v>
      </c>
      <c r="F124">
        <v>2</v>
      </c>
      <c r="G124" t="s">
        <v>626</v>
      </c>
    </row>
    <row r="125" spans="1:7" x14ac:dyDescent="0.35">
      <c r="A125" t="str">
        <f t="shared" si="1"/>
        <v>775322</v>
      </c>
      <c r="B125">
        <v>2024</v>
      </c>
      <c r="C125" s="298">
        <v>7753</v>
      </c>
      <c r="D125" s="298">
        <v>2</v>
      </c>
      <c r="E125" s="298" t="s">
        <v>347</v>
      </c>
      <c r="F125">
        <v>2</v>
      </c>
      <c r="G125" t="s">
        <v>627</v>
      </c>
    </row>
    <row r="126" spans="1:7" x14ac:dyDescent="0.35">
      <c r="A126" t="str">
        <f t="shared" si="1"/>
        <v>775331</v>
      </c>
      <c r="B126">
        <v>2024</v>
      </c>
      <c r="C126" s="298">
        <v>7753</v>
      </c>
      <c r="D126" s="298">
        <v>3</v>
      </c>
      <c r="E126" s="298" t="s">
        <v>349</v>
      </c>
      <c r="F126">
        <v>1</v>
      </c>
      <c r="G126" t="s">
        <v>628</v>
      </c>
    </row>
    <row r="127" spans="1:7" x14ac:dyDescent="0.35">
      <c r="A127" t="str">
        <f t="shared" si="1"/>
        <v>775341</v>
      </c>
      <c r="B127">
        <v>2024</v>
      </c>
      <c r="C127" s="299">
        <v>7753</v>
      </c>
      <c r="D127" s="298">
        <v>4</v>
      </c>
      <c r="E127" s="298" t="s">
        <v>351</v>
      </c>
      <c r="F127">
        <v>1</v>
      </c>
      <c r="G127" t="s">
        <v>629</v>
      </c>
    </row>
    <row r="128" spans="1:7" x14ac:dyDescent="0.35">
      <c r="A128" t="str">
        <f t="shared" si="1"/>
        <v>775611</v>
      </c>
      <c r="B128">
        <v>2024</v>
      </c>
      <c r="C128" s="298">
        <v>7756</v>
      </c>
      <c r="D128" s="298">
        <v>1</v>
      </c>
      <c r="E128" s="298" t="s">
        <v>357</v>
      </c>
      <c r="F128">
        <v>1</v>
      </c>
      <c r="G128" t="s">
        <v>630</v>
      </c>
    </row>
    <row r="129" spans="1:7" x14ac:dyDescent="0.35">
      <c r="A129" t="str">
        <f t="shared" si="1"/>
        <v>775612</v>
      </c>
      <c r="B129">
        <v>2024</v>
      </c>
      <c r="C129" s="298">
        <v>7756</v>
      </c>
      <c r="D129" s="298">
        <v>1</v>
      </c>
      <c r="E129" s="298" t="s">
        <v>357</v>
      </c>
      <c r="F129">
        <v>2</v>
      </c>
      <c r="G129" t="s">
        <v>631</v>
      </c>
    </row>
    <row r="130" spans="1:7" x14ac:dyDescent="0.35">
      <c r="A130" t="str">
        <f t="shared" si="1"/>
        <v>775622</v>
      </c>
      <c r="B130">
        <v>2024</v>
      </c>
      <c r="C130" s="298">
        <v>7756</v>
      </c>
      <c r="D130" s="298">
        <v>2</v>
      </c>
      <c r="E130" s="298" t="s">
        <v>360</v>
      </c>
      <c r="F130">
        <v>2</v>
      </c>
      <c r="G130" t="s">
        <v>632</v>
      </c>
    </row>
    <row r="131" spans="1:7" x14ac:dyDescent="0.35">
      <c r="A131" t="str">
        <f t="shared" ref="A131:A184" si="2">C131&amp;D131&amp;F131</f>
        <v>775631</v>
      </c>
      <c r="B131">
        <v>2024</v>
      </c>
      <c r="C131" s="298">
        <v>7756</v>
      </c>
      <c r="D131" s="298">
        <v>3</v>
      </c>
      <c r="E131" s="298" t="s">
        <v>362</v>
      </c>
      <c r="F131">
        <v>1</v>
      </c>
      <c r="G131" t="s">
        <v>633</v>
      </c>
    </row>
    <row r="132" spans="1:7" x14ac:dyDescent="0.35">
      <c r="A132" t="str">
        <f t="shared" si="2"/>
        <v>775632</v>
      </c>
      <c r="B132">
        <v>2024</v>
      </c>
      <c r="C132" s="298">
        <v>7756</v>
      </c>
      <c r="D132" s="298">
        <v>3</v>
      </c>
      <c r="E132" s="298" t="s">
        <v>362</v>
      </c>
      <c r="F132">
        <v>2</v>
      </c>
      <c r="G132" t="s">
        <v>634</v>
      </c>
    </row>
    <row r="133" spans="1:7" x14ac:dyDescent="0.35">
      <c r="A133" t="str">
        <f t="shared" si="2"/>
        <v>775641</v>
      </c>
      <c r="B133">
        <v>2024</v>
      </c>
      <c r="C133" s="298">
        <v>7756</v>
      </c>
      <c r="D133" s="298">
        <v>4</v>
      </c>
      <c r="E133" s="298" t="s">
        <v>365</v>
      </c>
      <c r="F133">
        <v>1</v>
      </c>
      <c r="G133" t="s">
        <v>635</v>
      </c>
    </row>
    <row r="134" spans="1:7" x14ac:dyDescent="0.35">
      <c r="A134" t="str">
        <f t="shared" si="2"/>
        <v>775642</v>
      </c>
      <c r="B134">
        <v>2024</v>
      </c>
      <c r="C134" s="298">
        <v>7756</v>
      </c>
      <c r="D134" s="298">
        <v>4</v>
      </c>
      <c r="E134" s="298" t="s">
        <v>365</v>
      </c>
      <c r="F134">
        <v>2</v>
      </c>
      <c r="G134" t="s">
        <v>636</v>
      </c>
    </row>
    <row r="135" spans="1:7" x14ac:dyDescent="0.35">
      <c r="A135" t="str">
        <f t="shared" si="2"/>
        <v>775643</v>
      </c>
      <c r="B135">
        <v>2024</v>
      </c>
      <c r="C135" s="298">
        <v>7756</v>
      </c>
      <c r="D135" s="298">
        <v>4</v>
      </c>
      <c r="E135" s="298" t="s">
        <v>365</v>
      </c>
      <c r="F135">
        <v>3</v>
      </c>
      <c r="G135" t="s">
        <v>637</v>
      </c>
    </row>
    <row r="136" spans="1:7" x14ac:dyDescent="0.35">
      <c r="A136" t="str">
        <f t="shared" si="2"/>
        <v>775651</v>
      </c>
      <c r="B136">
        <v>2024</v>
      </c>
      <c r="C136" s="298">
        <v>7756</v>
      </c>
      <c r="D136" s="298">
        <v>5</v>
      </c>
      <c r="E136" s="298" t="s">
        <v>366</v>
      </c>
      <c r="F136">
        <v>1</v>
      </c>
      <c r="G136" t="s">
        <v>638</v>
      </c>
    </row>
    <row r="137" spans="1:7" x14ac:dyDescent="0.35">
      <c r="A137" t="str">
        <f t="shared" si="2"/>
        <v>775652</v>
      </c>
      <c r="B137">
        <v>2024</v>
      </c>
      <c r="C137" s="299">
        <v>7756</v>
      </c>
      <c r="D137" s="298">
        <v>5</v>
      </c>
      <c r="E137" s="298" t="s">
        <v>366</v>
      </c>
      <c r="F137">
        <v>2</v>
      </c>
      <c r="G137" t="s">
        <v>639</v>
      </c>
    </row>
    <row r="138" spans="1:7" x14ac:dyDescent="0.35">
      <c r="A138" t="str">
        <f t="shared" si="2"/>
        <v>775711</v>
      </c>
      <c r="B138">
        <v>2024</v>
      </c>
      <c r="C138" s="298">
        <v>7757</v>
      </c>
      <c r="D138" s="298">
        <v>1</v>
      </c>
      <c r="E138" s="298" t="s">
        <v>373</v>
      </c>
      <c r="F138">
        <v>1</v>
      </c>
      <c r="G138" t="s">
        <v>640</v>
      </c>
    </row>
    <row r="139" spans="1:7" x14ac:dyDescent="0.35">
      <c r="A139" t="str">
        <f t="shared" si="2"/>
        <v>775721</v>
      </c>
      <c r="B139">
        <v>2024</v>
      </c>
      <c r="C139" s="298">
        <v>7757</v>
      </c>
      <c r="D139" s="298">
        <v>2</v>
      </c>
      <c r="E139" s="298" t="s">
        <v>377</v>
      </c>
      <c r="F139">
        <v>1</v>
      </c>
      <c r="G139" t="s">
        <v>641</v>
      </c>
    </row>
    <row r="140" spans="1:7" x14ac:dyDescent="0.35">
      <c r="A140" t="str">
        <f t="shared" si="2"/>
        <v>775731</v>
      </c>
      <c r="B140">
        <v>2024</v>
      </c>
      <c r="C140" s="298">
        <v>7757</v>
      </c>
      <c r="D140" s="298">
        <v>3</v>
      </c>
      <c r="E140" s="298" t="s">
        <v>379</v>
      </c>
      <c r="F140">
        <v>1</v>
      </c>
      <c r="G140" t="s">
        <v>642</v>
      </c>
    </row>
    <row r="141" spans="1:7" x14ac:dyDescent="0.35">
      <c r="A141" t="str">
        <f t="shared" si="2"/>
        <v>775741</v>
      </c>
      <c r="B141">
        <v>2024</v>
      </c>
      <c r="C141" s="298">
        <v>7757</v>
      </c>
      <c r="D141" s="298">
        <v>4</v>
      </c>
      <c r="E141" s="298" t="s">
        <v>385</v>
      </c>
      <c r="F141">
        <v>1</v>
      </c>
      <c r="G141" t="s">
        <v>643</v>
      </c>
    </row>
    <row r="142" spans="1:7" x14ac:dyDescent="0.35">
      <c r="A142" t="str">
        <f t="shared" si="2"/>
        <v>775751</v>
      </c>
      <c r="B142">
        <v>2024</v>
      </c>
      <c r="C142" s="299">
        <v>7757</v>
      </c>
      <c r="D142" s="298">
        <v>5</v>
      </c>
      <c r="E142" s="298" t="s">
        <v>389</v>
      </c>
      <c r="F142">
        <v>1</v>
      </c>
      <c r="G142" t="s">
        <v>644</v>
      </c>
    </row>
    <row r="143" spans="1:7" x14ac:dyDescent="0.35">
      <c r="A143" t="str">
        <f t="shared" si="2"/>
        <v>776811</v>
      </c>
      <c r="B143">
        <v>2024</v>
      </c>
      <c r="C143" s="298">
        <v>7768</v>
      </c>
      <c r="D143" s="298">
        <v>1</v>
      </c>
      <c r="E143" s="298" t="s">
        <v>396</v>
      </c>
      <c r="F143">
        <v>1</v>
      </c>
      <c r="G143" t="s">
        <v>645</v>
      </c>
    </row>
    <row r="144" spans="1:7" x14ac:dyDescent="0.35">
      <c r="A144" t="str">
        <f t="shared" si="2"/>
        <v>776822</v>
      </c>
      <c r="B144">
        <v>2024</v>
      </c>
      <c r="C144" s="298">
        <v>7768</v>
      </c>
      <c r="D144" s="298">
        <v>2</v>
      </c>
      <c r="E144" s="298" t="s">
        <v>400</v>
      </c>
      <c r="F144">
        <v>2</v>
      </c>
      <c r="G144" t="s">
        <v>646</v>
      </c>
    </row>
    <row r="145" spans="1:7" x14ac:dyDescent="0.35">
      <c r="A145" t="str">
        <f t="shared" si="2"/>
        <v>776833</v>
      </c>
      <c r="B145">
        <v>2024</v>
      </c>
      <c r="C145" s="298">
        <v>7768</v>
      </c>
      <c r="D145" s="298">
        <v>3</v>
      </c>
      <c r="E145" s="298" t="s">
        <v>403</v>
      </c>
      <c r="F145">
        <v>3</v>
      </c>
      <c r="G145" t="s">
        <v>647</v>
      </c>
    </row>
    <row r="146" spans="1:7" x14ac:dyDescent="0.35">
      <c r="A146" t="str">
        <f t="shared" si="2"/>
        <v>776841</v>
      </c>
      <c r="B146">
        <v>2024</v>
      </c>
      <c r="C146" s="299">
        <v>7768</v>
      </c>
      <c r="D146" s="298">
        <v>4</v>
      </c>
      <c r="E146" s="298" t="s">
        <v>404</v>
      </c>
      <c r="F146">
        <v>1</v>
      </c>
      <c r="G146" t="s">
        <v>648</v>
      </c>
    </row>
    <row r="147" spans="1:7" x14ac:dyDescent="0.35">
      <c r="A147" t="str">
        <f t="shared" si="2"/>
        <v>777011</v>
      </c>
      <c r="B147">
        <v>2024</v>
      </c>
      <c r="C147" s="298">
        <v>7770</v>
      </c>
      <c r="D147" s="298">
        <v>1</v>
      </c>
      <c r="E147" s="298" t="s">
        <v>424</v>
      </c>
      <c r="F147">
        <v>1</v>
      </c>
      <c r="G147" t="s">
        <v>649</v>
      </c>
    </row>
    <row r="148" spans="1:7" x14ac:dyDescent="0.35">
      <c r="A148" t="str">
        <f t="shared" si="2"/>
        <v>777012</v>
      </c>
      <c r="B148">
        <v>2024</v>
      </c>
      <c r="C148" s="298">
        <v>7770</v>
      </c>
      <c r="D148" s="298">
        <v>1</v>
      </c>
      <c r="E148" s="298" t="s">
        <v>424</v>
      </c>
      <c r="F148">
        <v>2</v>
      </c>
      <c r="G148" t="s">
        <v>650</v>
      </c>
    </row>
    <row r="149" spans="1:7" x14ac:dyDescent="0.35">
      <c r="A149" t="str">
        <f t="shared" si="2"/>
        <v>777021</v>
      </c>
      <c r="B149">
        <v>2024</v>
      </c>
      <c r="C149" s="298">
        <v>7770</v>
      </c>
      <c r="D149" s="298">
        <v>2</v>
      </c>
      <c r="E149" s="298" t="s">
        <v>411</v>
      </c>
      <c r="F149">
        <v>1</v>
      </c>
      <c r="G149" t="s">
        <v>651</v>
      </c>
    </row>
    <row r="150" spans="1:7" x14ac:dyDescent="0.35">
      <c r="A150" t="str">
        <f t="shared" si="2"/>
        <v>777022</v>
      </c>
      <c r="B150">
        <v>2024</v>
      </c>
      <c r="C150" s="298">
        <v>7770</v>
      </c>
      <c r="D150" s="298">
        <v>2</v>
      </c>
      <c r="E150" s="298" t="s">
        <v>411</v>
      </c>
      <c r="F150">
        <v>2</v>
      </c>
      <c r="G150" t="s">
        <v>652</v>
      </c>
    </row>
    <row r="151" spans="1:7" x14ac:dyDescent="0.35">
      <c r="A151" t="str">
        <f t="shared" si="2"/>
        <v>777031</v>
      </c>
      <c r="B151">
        <v>2024</v>
      </c>
      <c r="C151" s="298">
        <v>7770</v>
      </c>
      <c r="D151" s="298">
        <v>3</v>
      </c>
      <c r="E151" s="298" t="s">
        <v>414</v>
      </c>
      <c r="F151">
        <v>1</v>
      </c>
      <c r="G151" t="s">
        <v>651</v>
      </c>
    </row>
    <row r="152" spans="1:7" x14ac:dyDescent="0.35">
      <c r="A152" t="str">
        <f t="shared" si="2"/>
        <v>777032</v>
      </c>
      <c r="B152">
        <v>2024</v>
      </c>
      <c r="C152" s="298">
        <v>7770</v>
      </c>
      <c r="D152" s="298">
        <v>3</v>
      </c>
      <c r="E152" s="298" t="s">
        <v>414</v>
      </c>
      <c r="F152">
        <v>2</v>
      </c>
      <c r="G152" t="s">
        <v>653</v>
      </c>
    </row>
    <row r="153" spans="1:7" x14ac:dyDescent="0.35">
      <c r="A153" t="str">
        <f t="shared" si="2"/>
        <v>777041</v>
      </c>
      <c r="B153">
        <v>2024</v>
      </c>
      <c r="C153" s="298">
        <v>7770</v>
      </c>
      <c r="D153" s="298">
        <v>4</v>
      </c>
      <c r="E153" s="298" t="s">
        <v>415</v>
      </c>
      <c r="F153">
        <v>1</v>
      </c>
      <c r="G153" t="s">
        <v>651</v>
      </c>
    </row>
    <row r="154" spans="1:7" x14ac:dyDescent="0.35">
      <c r="A154" t="str">
        <f t="shared" si="2"/>
        <v>777042</v>
      </c>
      <c r="B154">
        <v>2024</v>
      </c>
      <c r="C154" s="298">
        <v>7770</v>
      </c>
      <c r="D154" s="298">
        <v>4</v>
      </c>
      <c r="E154" s="298" t="s">
        <v>415</v>
      </c>
      <c r="F154">
        <v>2</v>
      </c>
      <c r="G154" t="s">
        <v>653</v>
      </c>
    </row>
    <row r="155" spans="1:7" x14ac:dyDescent="0.35">
      <c r="A155" t="str">
        <f t="shared" si="2"/>
        <v>777051</v>
      </c>
      <c r="B155">
        <v>2024</v>
      </c>
      <c r="C155" s="298">
        <v>7770</v>
      </c>
      <c r="D155" s="298">
        <v>5</v>
      </c>
      <c r="E155" s="298" t="s">
        <v>419</v>
      </c>
      <c r="F155">
        <v>1</v>
      </c>
      <c r="G155" t="s">
        <v>654</v>
      </c>
    </row>
    <row r="156" spans="1:7" x14ac:dyDescent="0.35">
      <c r="A156" t="str">
        <f t="shared" si="2"/>
        <v>777061</v>
      </c>
      <c r="B156">
        <v>2024</v>
      </c>
      <c r="C156" s="298">
        <v>7770</v>
      </c>
      <c r="D156" s="298">
        <v>6</v>
      </c>
      <c r="E156" s="298" t="s">
        <v>416</v>
      </c>
      <c r="F156">
        <v>1</v>
      </c>
      <c r="G156" t="s">
        <v>655</v>
      </c>
    </row>
    <row r="157" spans="1:7" x14ac:dyDescent="0.35">
      <c r="A157" t="str">
        <f t="shared" si="2"/>
        <v>777062</v>
      </c>
      <c r="B157">
        <v>2024</v>
      </c>
      <c r="C157" s="298">
        <v>7770</v>
      </c>
      <c r="D157" s="298">
        <v>6</v>
      </c>
      <c r="E157" s="298" t="s">
        <v>416</v>
      </c>
      <c r="F157">
        <v>2</v>
      </c>
      <c r="G157" t="s">
        <v>656</v>
      </c>
    </row>
    <row r="158" spans="1:7" x14ac:dyDescent="0.35">
      <c r="A158" t="str">
        <f t="shared" si="2"/>
        <v>777063</v>
      </c>
      <c r="B158">
        <v>2024</v>
      </c>
      <c r="C158" s="298">
        <v>7770</v>
      </c>
      <c r="D158" s="298">
        <v>6</v>
      </c>
      <c r="E158" s="298" t="s">
        <v>416</v>
      </c>
      <c r="F158">
        <v>3</v>
      </c>
      <c r="G158" t="s">
        <v>657</v>
      </c>
    </row>
    <row r="159" spans="1:7" x14ac:dyDescent="0.35">
      <c r="A159" t="str">
        <f t="shared" si="2"/>
        <v>777071</v>
      </c>
      <c r="B159">
        <v>2024</v>
      </c>
      <c r="C159" s="299">
        <v>7770</v>
      </c>
      <c r="D159" s="298">
        <v>7</v>
      </c>
      <c r="E159" s="298" t="s">
        <v>417</v>
      </c>
      <c r="F159">
        <v>1</v>
      </c>
      <c r="G159" t="s">
        <v>652</v>
      </c>
    </row>
    <row r="160" spans="1:7" x14ac:dyDescent="0.35">
      <c r="A160" t="str">
        <f t="shared" si="2"/>
        <v>777111</v>
      </c>
      <c r="B160">
        <v>2024</v>
      </c>
      <c r="C160" s="298">
        <v>7771</v>
      </c>
      <c r="D160" s="298">
        <v>1</v>
      </c>
      <c r="E160" s="298" t="s">
        <v>432</v>
      </c>
      <c r="F160">
        <v>1</v>
      </c>
      <c r="G160" t="s">
        <v>658</v>
      </c>
    </row>
    <row r="161" spans="1:7" x14ac:dyDescent="0.35">
      <c r="A161" t="str">
        <f t="shared" si="2"/>
        <v>777114</v>
      </c>
      <c r="B161">
        <v>2024</v>
      </c>
      <c r="C161" s="298">
        <v>7771</v>
      </c>
      <c r="D161" s="298">
        <v>1</v>
      </c>
      <c r="E161" s="298" t="s">
        <v>432</v>
      </c>
      <c r="F161">
        <v>4</v>
      </c>
      <c r="G161" t="s">
        <v>659</v>
      </c>
    </row>
    <row r="162" spans="1:7" x14ac:dyDescent="0.35">
      <c r="A162" t="str">
        <f t="shared" si="2"/>
        <v>777121</v>
      </c>
      <c r="B162">
        <v>2024</v>
      </c>
      <c r="C162" s="298">
        <v>7771</v>
      </c>
      <c r="D162" s="298">
        <v>2</v>
      </c>
      <c r="E162" s="298" t="s">
        <v>436</v>
      </c>
      <c r="F162">
        <v>1</v>
      </c>
      <c r="G162" t="s">
        <v>660</v>
      </c>
    </row>
    <row r="163" spans="1:7" x14ac:dyDescent="0.35">
      <c r="A163" t="str">
        <f t="shared" si="2"/>
        <v>777122</v>
      </c>
      <c r="B163">
        <v>2024</v>
      </c>
      <c r="C163" s="298">
        <v>7771</v>
      </c>
      <c r="D163" s="298">
        <v>2</v>
      </c>
      <c r="E163" s="298" t="s">
        <v>436</v>
      </c>
      <c r="F163">
        <v>2</v>
      </c>
      <c r="G163" t="s">
        <v>661</v>
      </c>
    </row>
    <row r="164" spans="1:7" x14ac:dyDescent="0.35">
      <c r="A164" t="str">
        <f t="shared" si="2"/>
        <v>777123</v>
      </c>
      <c r="B164">
        <v>2024</v>
      </c>
      <c r="C164" s="298">
        <v>7771</v>
      </c>
      <c r="D164" s="298">
        <v>2</v>
      </c>
      <c r="E164" s="298" t="s">
        <v>436</v>
      </c>
      <c r="F164">
        <v>3</v>
      </c>
      <c r="G164" t="s">
        <v>662</v>
      </c>
    </row>
    <row r="165" spans="1:7" x14ac:dyDescent="0.35">
      <c r="A165" t="str">
        <f t="shared" si="2"/>
        <v>777124</v>
      </c>
      <c r="B165">
        <v>2024</v>
      </c>
      <c r="C165" s="298">
        <v>7771</v>
      </c>
      <c r="D165" s="298">
        <v>2</v>
      </c>
      <c r="E165" s="298" t="s">
        <v>436</v>
      </c>
      <c r="F165">
        <v>4</v>
      </c>
      <c r="G165" t="s">
        <v>663</v>
      </c>
    </row>
    <row r="166" spans="1:7" x14ac:dyDescent="0.35">
      <c r="A166" t="str">
        <f t="shared" si="2"/>
        <v>777125</v>
      </c>
      <c r="B166">
        <v>2024</v>
      </c>
      <c r="C166" s="298">
        <v>7771</v>
      </c>
      <c r="D166" s="298">
        <v>2</v>
      </c>
      <c r="E166" s="298" t="s">
        <v>436</v>
      </c>
      <c r="F166">
        <v>5</v>
      </c>
      <c r="G166" t="s">
        <v>664</v>
      </c>
    </row>
    <row r="167" spans="1:7" x14ac:dyDescent="0.35">
      <c r="A167" t="str">
        <f t="shared" si="2"/>
        <v>777131</v>
      </c>
      <c r="B167">
        <v>2024</v>
      </c>
      <c r="C167" s="298">
        <v>7771</v>
      </c>
      <c r="D167" s="298">
        <v>3</v>
      </c>
      <c r="E167" s="298" t="s">
        <v>441</v>
      </c>
      <c r="F167">
        <v>1</v>
      </c>
      <c r="G167" t="s">
        <v>665</v>
      </c>
    </row>
    <row r="168" spans="1:7" x14ac:dyDescent="0.35">
      <c r="A168" t="str">
        <f t="shared" si="2"/>
        <v>777132</v>
      </c>
      <c r="B168">
        <v>2024</v>
      </c>
      <c r="C168" s="298">
        <v>7771</v>
      </c>
      <c r="D168" s="298">
        <v>3</v>
      </c>
      <c r="E168" s="298" t="s">
        <v>441</v>
      </c>
      <c r="F168">
        <v>2</v>
      </c>
      <c r="G168" t="s">
        <v>666</v>
      </c>
    </row>
    <row r="169" spans="1:7" x14ac:dyDescent="0.35">
      <c r="A169" t="str">
        <f t="shared" si="2"/>
        <v>777133</v>
      </c>
      <c r="B169">
        <v>2024</v>
      </c>
      <c r="C169" s="298">
        <v>7771</v>
      </c>
      <c r="D169" s="298">
        <v>3</v>
      </c>
      <c r="E169" s="298" t="s">
        <v>441</v>
      </c>
      <c r="F169">
        <v>3</v>
      </c>
      <c r="G169" t="s">
        <v>667</v>
      </c>
    </row>
    <row r="170" spans="1:7" x14ac:dyDescent="0.35">
      <c r="A170" t="str">
        <f t="shared" si="2"/>
        <v>777141</v>
      </c>
      <c r="B170">
        <v>2024</v>
      </c>
      <c r="C170" s="298">
        <v>7771</v>
      </c>
      <c r="D170" s="298">
        <v>4</v>
      </c>
      <c r="E170" s="298" t="s">
        <v>445</v>
      </c>
      <c r="F170">
        <v>1</v>
      </c>
      <c r="G170" t="s">
        <v>668</v>
      </c>
    </row>
    <row r="171" spans="1:7" x14ac:dyDescent="0.35">
      <c r="A171" t="str">
        <f t="shared" si="2"/>
        <v>777151</v>
      </c>
      <c r="B171">
        <v>2024</v>
      </c>
      <c r="C171" s="298">
        <v>7771</v>
      </c>
      <c r="D171" s="298">
        <v>5</v>
      </c>
      <c r="E171" s="298" t="s">
        <v>446</v>
      </c>
      <c r="F171">
        <v>1</v>
      </c>
      <c r="G171" t="s">
        <v>669</v>
      </c>
    </row>
    <row r="172" spans="1:7" x14ac:dyDescent="0.35">
      <c r="A172" t="str">
        <f t="shared" si="2"/>
        <v>777152</v>
      </c>
      <c r="B172">
        <v>2024</v>
      </c>
      <c r="C172" s="299">
        <v>7771</v>
      </c>
      <c r="D172" s="298">
        <v>5</v>
      </c>
      <c r="E172" s="298" t="s">
        <v>446</v>
      </c>
      <c r="F172">
        <v>2</v>
      </c>
      <c r="G172" t="s">
        <v>670</v>
      </c>
    </row>
    <row r="173" spans="1:7" x14ac:dyDescent="0.35">
      <c r="A173" t="str">
        <f t="shared" si="2"/>
        <v>791811</v>
      </c>
      <c r="B173">
        <v>2024</v>
      </c>
      <c r="C173" s="298">
        <v>7918</v>
      </c>
      <c r="D173" s="298">
        <v>1</v>
      </c>
      <c r="E173" s="298" t="s">
        <v>451</v>
      </c>
      <c r="F173">
        <v>1</v>
      </c>
      <c r="G173" t="s">
        <v>671</v>
      </c>
    </row>
    <row r="174" spans="1:7" x14ac:dyDescent="0.35">
      <c r="A174" t="str">
        <f t="shared" si="2"/>
        <v>791812</v>
      </c>
      <c r="B174">
        <v>2024</v>
      </c>
      <c r="C174" s="298">
        <v>7918</v>
      </c>
      <c r="D174" s="298">
        <v>1</v>
      </c>
      <c r="E174" s="298" t="s">
        <v>451</v>
      </c>
      <c r="F174">
        <v>2</v>
      </c>
      <c r="G174" t="s">
        <v>672</v>
      </c>
    </row>
    <row r="175" spans="1:7" x14ac:dyDescent="0.35">
      <c r="A175" t="str">
        <f t="shared" si="2"/>
        <v>791813</v>
      </c>
      <c r="B175">
        <v>2024</v>
      </c>
      <c r="C175" s="298">
        <v>7918</v>
      </c>
      <c r="D175" s="298">
        <v>1</v>
      </c>
      <c r="E175" s="298" t="s">
        <v>451</v>
      </c>
      <c r="F175">
        <v>3</v>
      </c>
      <c r="G175" t="s">
        <v>673</v>
      </c>
    </row>
    <row r="176" spans="1:7" x14ac:dyDescent="0.35">
      <c r="A176" t="str">
        <f t="shared" si="2"/>
        <v>791821</v>
      </c>
      <c r="B176">
        <v>2024</v>
      </c>
      <c r="C176" s="298">
        <v>7918</v>
      </c>
      <c r="D176" s="298">
        <v>2</v>
      </c>
      <c r="E176" s="298" t="s">
        <v>455</v>
      </c>
      <c r="F176">
        <v>1</v>
      </c>
      <c r="G176" t="s">
        <v>674</v>
      </c>
    </row>
    <row r="177" spans="1:7" x14ac:dyDescent="0.35">
      <c r="A177" t="str">
        <f t="shared" si="2"/>
        <v>791822</v>
      </c>
      <c r="B177">
        <v>2024</v>
      </c>
      <c r="C177" s="298">
        <v>7918</v>
      </c>
      <c r="D177" s="298">
        <v>2</v>
      </c>
      <c r="E177" s="298" t="s">
        <v>455</v>
      </c>
      <c r="F177">
        <v>2</v>
      </c>
      <c r="G177" t="s">
        <v>675</v>
      </c>
    </row>
    <row r="178" spans="1:7" x14ac:dyDescent="0.35">
      <c r="A178" t="str">
        <f t="shared" si="2"/>
        <v>791831</v>
      </c>
      <c r="B178">
        <v>2024</v>
      </c>
      <c r="C178" s="298">
        <v>7918</v>
      </c>
      <c r="D178" s="298">
        <v>3</v>
      </c>
      <c r="E178" s="298" t="s">
        <v>456</v>
      </c>
      <c r="F178">
        <v>1</v>
      </c>
      <c r="G178" t="s">
        <v>676</v>
      </c>
    </row>
    <row r="179" spans="1:7" x14ac:dyDescent="0.35">
      <c r="A179" t="str">
        <f t="shared" si="2"/>
        <v>791832</v>
      </c>
      <c r="B179">
        <v>2024</v>
      </c>
      <c r="C179" s="298">
        <v>7918</v>
      </c>
      <c r="D179" s="298">
        <v>3</v>
      </c>
      <c r="E179" s="298" t="s">
        <v>456</v>
      </c>
      <c r="F179">
        <v>2</v>
      </c>
      <c r="G179" t="s">
        <v>677</v>
      </c>
    </row>
    <row r="180" spans="1:7" x14ac:dyDescent="0.35">
      <c r="A180" t="str">
        <f t="shared" si="2"/>
        <v>791833</v>
      </c>
      <c r="B180">
        <v>2024</v>
      </c>
      <c r="C180" s="298">
        <v>7918</v>
      </c>
      <c r="D180" s="298">
        <v>3</v>
      </c>
      <c r="E180" s="298" t="s">
        <v>456</v>
      </c>
      <c r="F180">
        <v>3</v>
      </c>
      <c r="G180" t="s">
        <v>678</v>
      </c>
    </row>
    <row r="181" spans="1:7" x14ac:dyDescent="0.35">
      <c r="A181" t="str">
        <f t="shared" si="2"/>
        <v>791841</v>
      </c>
      <c r="B181">
        <v>2024</v>
      </c>
      <c r="C181" s="298">
        <v>7918</v>
      </c>
      <c r="D181" s="298">
        <v>4</v>
      </c>
      <c r="E181" s="298" t="s">
        <v>457</v>
      </c>
      <c r="F181">
        <v>1</v>
      </c>
      <c r="G181" t="s">
        <v>679</v>
      </c>
    </row>
    <row r="182" spans="1:7" x14ac:dyDescent="0.35">
      <c r="A182" t="str">
        <f t="shared" si="2"/>
        <v>791842</v>
      </c>
      <c r="B182">
        <v>2024</v>
      </c>
      <c r="C182" s="298">
        <v>7918</v>
      </c>
      <c r="D182" s="298">
        <v>4</v>
      </c>
      <c r="E182" s="298" t="s">
        <v>457</v>
      </c>
      <c r="F182">
        <v>2</v>
      </c>
      <c r="G182" t="s">
        <v>680</v>
      </c>
    </row>
    <row r="183" spans="1:7" x14ac:dyDescent="0.35">
      <c r="A183" t="str">
        <f t="shared" si="2"/>
        <v>791843</v>
      </c>
      <c r="B183">
        <v>2024</v>
      </c>
      <c r="C183" s="298">
        <v>7918</v>
      </c>
      <c r="D183" s="298">
        <v>4</v>
      </c>
      <c r="E183" s="298" t="s">
        <v>457</v>
      </c>
      <c r="F183">
        <v>3</v>
      </c>
      <c r="G183" t="s">
        <v>681</v>
      </c>
    </row>
    <row r="184" spans="1:7" x14ac:dyDescent="0.35">
      <c r="A184" t="str">
        <f t="shared" si="2"/>
        <v>791844</v>
      </c>
      <c r="B184">
        <v>2024</v>
      </c>
      <c r="C184" s="299">
        <v>7918</v>
      </c>
      <c r="D184" s="298">
        <v>4</v>
      </c>
      <c r="E184" s="298" t="s">
        <v>457</v>
      </c>
      <c r="F184">
        <v>4</v>
      </c>
      <c r="G184" t="s">
        <v>682</v>
      </c>
    </row>
  </sheetData>
  <autoFilter ref="A1:G184"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9B6C03"/>
  </sheetPr>
  <dimension ref="A1:W61"/>
  <sheetViews>
    <sheetView showGridLines="0" tabSelected="1" zoomScale="85" zoomScaleNormal="85" workbookViewId="0"/>
  </sheetViews>
  <sheetFormatPr baseColWidth="10" defaultColWidth="0" defaultRowHeight="20.25" customHeight="1" zeroHeight="1" x14ac:dyDescent="0.35"/>
  <cols>
    <col min="1" max="1" width="4.453125" style="39" customWidth="1"/>
    <col min="2" max="9" width="10.08984375" style="39" customWidth="1"/>
    <col min="10" max="10" width="5.453125" style="39" customWidth="1"/>
    <col min="11" max="11" width="4.453125" style="39" customWidth="1"/>
    <col min="12" max="19" width="8.81640625" style="39" customWidth="1"/>
    <col min="20" max="20" width="4.453125" style="39" customWidth="1"/>
    <col min="21" max="21" width="8.81640625" style="39" customWidth="1"/>
    <col min="22" max="23" width="0" style="39" hidden="1" customWidth="1"/>
    <col min="24" max="16384" width="8.81640625" style="39" hidden="1"/>
  </cols>
  <sheetData>
    <row r="1" spans="2:20" ht="20.399999999999999" x14ac:dyDescent="0.35"/>
    <row r="2" spans="2:20" ht="24" customHeight="1" x14ac:dyDescent="0.35">
      <c r="B2" s="406"/>
      <c r="C2" s="406"/>
      <c r="D2" s="406"/>
      <c r="E2" s="407" t="s">
        <v>683</v>
      </c>
      <c r="F2" s="407"/>
      <c r="G2" s="407"/>
      <c r="H2" s="407"/>
      <c r="I2" s="407"/>
      <c r="J2" s="407"/>
      <c r="K2" s="407"/>
      <c r="L2" s="407"/>
      <c r="M2" s="407"/>
      <c r="N2" s="407"/>
      <c r="O2" s="407"/>
      <c r="P2" s="407"/>
      <c r="Q2" s="411" t="s">
        <v>684</v>
      </c>
      <c r="R2" s="412"/>
      <c r="S2" s="412"/>
      <c r="T2" s="413"/>
    </row>
    <row r="3" spans="2:20" ht="20.399999999999999" x14ac:dyDescent="0.35">
      <c r="B3" s="406"/>
      <c r="C3" s="406"/>
      <c r="D3" s="406"/>
      <c r="E3" s="407"/>
      <c r="F3" s="407"/>
      <c r="G3" s="407"/>
      <c r="H3" s="407"/>
      <c r="I3" s="407"/>
      <c r="J3" s="407"/>
      <c r="K3" s="407"/>
      <c r="L3" s="407"/>
      <c r="M3" s="407"/>
      <c r="N3" s="407"/>
      <c r="O3" s="407"/>
      <c r="P3" s="407"/>
      <c r="Q3" s="411" t="s">
        <v>685</v>
      </c>
      <c r="R3" s="412"/>
      <c r="S3" s="412"/>
      <c r="T3" s="413"/>
    </row>
    <row r="4" spans="2:20" ht="20.25" customHeight="1" x14ac:dyDescent="0.35">
      <c r="B4" s="406"/>
      <c r="C4" s="406"/>
      <c r="D4" s="406"/>
      <c r="E4" s="407"/>
      <c r="F4" s="407"/>
      <c r="G4" s="407"/>
      <c r="H4" s="407"/>
      <c r="I4" s="407"/>
      <c r="J4" s="407"/>
      <c r="K4" s="407"/>
      <c r="L4" s="407"/>
      <c r="M4" s="407"/>
      <c r="N4" s="407"/>
      <c r="O4" s="407"/>
      <c r="P4" s="407"/>
      <c r="Q4" s="414" t="s">
        <v>686</v>
      </c>
      <c r="R4" s="415"/>
      <c r="S4" s="415"/>
      <c r="T4" s="416"/>
    </row>
    <row r="5" spans="2:20" ht="20.25" customHeight="1" x14ac:dyDescent="0.35">
      <c r="B5" s="406"/>
      <c r="C5" s="406"/>
      <c r="D5" s="406"/>
      <c r="E5" s="407"/>
      <c r="F5" s="407"/>
      <c r="G5" s="407"/>
      <c r="H5" s="407"/>
      <c r="I5" s="407"/>
      <c r="J5" s="407"/>
      <c r="K5" s="407"/>
      <c r="L5" s="407"/>
      <c r="M5" s="407"/>
      <c r="N5" s="407"/>
      <c r="O5" s="407"/>
      <c r="P5" s="407"/>
      <c r="Q5" s="411" t="s">
        <v>687</v>
      </c>
      <c r="R5" s="412"/>
      <c r="S5" s="412"/>
      <c r="T5" s="413"/>
    </row>
    <row r="6" spans="2:20" ht="20.399999999999999" x14ac:dyDescent="0.35"/>
    <row r="7" spans="2:20" ht="20.399999999999999" x14ac:dyDescent="0.35">
      <c r="B7" s="410" t="s">
        <v>688</v>
      </c>
      <c r="C7" s="410"/>
      <c r="D7" s="410"/>
      <c r="E7" s="410"/>
      <c r="F7" s="410"/>
      <c r="G7" s="410"/>
      <c r="H7" s="410"/>
      <c r="I7" s="410"/>
    </row>
    <row r="8" spans="2:20" ht="20.399999999999999" x14ac:dyDescent="0.35">
      <c r="B8" s="410"/>
      <c r="C8" s="410"/>
      <c r="D8" s="410"/>
      <c r="E8" s="410"/>
      <c r="F8" s="410"/>
      <c r="G8" s="410"/>
      <c r="H8" s="410"/>
      <c r="I8" s="410"/>
    </row>
    <row r="9" spans="2:20" ht="20.399999999999999" x14ac:dyDescent="0.35">
      <c r="B9" s="40"/>
      <c r="C9" s="40"/>
      <c r="D9" s="40"/>
      <c r="E9" s="40"/>
      <c r="F9" s="40"/>
      <c r="G9" s="40"/>
      <c r="H9" s="40"/>
      <c r="I9" s="40"/>
    </row>
    <row r="10" spans="2:20" ht="20.399999999999999" x14ac:dyDescent="0.35">
      <c r="B10" s="40"/>
      <c r="C10" s="40"/>
      <c r="D10" s="40"/>
      <c r="E10" s="40"/>
      <c r="F10" s="40"/>
      <c r="G10" s="40"/>
      <c r="H10" s="40"/>
      <c r="I10" s="40"/>
    </row>
    <row r="11" spans="2:20" ht="20.25" customHeight="1" x14ac:dyDescent="0.45">
      <c r="B11" s="40"/>
      <c r="C11" s="40"/>
      <c r="D11" s="40"/>
      <c r="E11" s="40"/>
      <c r="F11" s="40"/>
      <c r="G11" s="40"/>
      <c r="H11" s="40"/>
      <c r="I11" s="40"/>
      <c r="K11" s="48"/>
      <c r="L11" s="48"/>
      <c r="M11" s="48"/>
      <c r="N11" s="48"/>
      <c r="O11" s="48"/>
      <c r="P11" s="48"/>
      <c r="Q11" s="48"/>
      <c r="R11" s="48"/>
      <c r="S11" s="48"/>
      <c r="T11" s="48"/>
    </row>
    <row r="12" spans="2:20" ht="20.25" customHeight="1" x14ac:dyDescent="0.45">
      <c r="B12" s="40"/>
      <c r="C12" s="40"/>
      <c r="D12" s="40"/>
      <c r="E12" s="40"/>
      <c r="F12" s="40"/>
      <c r="G12" s="40"/>
      <c r="H12" s="40"/>
      <c r="I12" s="40"/>
      <c r="K12" s="48"/>
      <c r="L12" s="409" t="s">
        <v>689</v>
      </c>
      <c r="M12" s="409"/>
      <c r="N12" s="409"/>
      <c r="O12" s="409"/>
      <c r="P12" s="409"/>
      <c r="Q12" s="409"/>
      <c r="R12" s="409"/>
      <c r="S12" s="409"/>
      <c r="T12" s="48"/>
    </row>
    <row r="13" spans="2:20" ht="20.25" customHeight="1" x14ac:dyDescent="0.45">
      <c r="B13" s="40"/>
      <c r="C13" s="40"/>
      <c r="D13" s="40"/>
      <c r="E13" s="40"/>
      <c r="F13" s="40"/>
      <c r="G13" s="40"/>
      <c r="H13" s="40"/>
      <c r="I13" s="40"/>
      <c r="K13" s="48"/>
      <c r="L13" s="409"/>
      <c r="M13" s="409"/>
      <c r="N13" s="409"/>
      <c r="O13" s="409"/>
      <c r="P13" s="409"/>
      <c r="Q13" s="409"/>
      <c r="R13" s="409"/>
      <c r="S13" s="409"/>
      <c r="T13" s="48"/>
    </row>
    <row r="14" spans="2:20" ht="20.399999999999999" x14ac:dyDescent="0.35">
      <c r="B14" s="40"/>
      <c r="C14" s="40"/>
      <c r="D14" s="40"/>
      <c r="E14" s="40"/>
      <c r="F14" s="40"/>
      <c r="G14" s="40"/>
      <c r="H14" s="40"/>
      <c r="I14" s="40"/>
      <c r="K14" s="42"/>
      <c r="L14" s="409"/>
      <c r="M14" s="409"/>
      <c r="N14" s="409"/>
      <c r="O14" s="409"/>
      <c r="P14" s="409"/>
      <c r="Q14" s="409"/>
      <c r="R14" s="409"/>
      <c r="S14" s="409"/>
      <c r="T14" s="42"/>
    </row>
    <row r="15" spans="2:20" ht="20.25" customHeight="1" x14ac:dyDescent="0.35">
      <c r="B15" s="40"/>
      <c r="C15" s="40"/>
      <c r="D15" s="40"/>
      <c r="E15" s="40"/>
      <c r="F15" s="40"/>
      <c r="G15" s="40"/>
      <c r="H15" s="40"/>
      <c r="I15" s="40"/>
      <c r="K15" s="42"/>
      <c r="L15" s="47" t="s">
        <v>690</v>
      </c>
      <c r="M15" s="47"/>
      <c r="N15" s="47"/>
      <c r="O15" s="47"/>
      <c r="P15" s="47"/>
      <c r="Q15" s="47"/>
      <c r="R15" s="47"/>
      <c r="S15" s="47"/>
      <c r="T15" s="42"/>
    </row>
    <row r="16" spans="2:20" ht="20.399999999999999" x14ac:dyDescent="0.35">
      <c r="B16" s="40"/>
      <c r="C16" s="40"/>
      <c r="D16" s="40"/>
      <c r="E16" s="40"/>
      <c r="F16" s="40"/>
      <c r="G16" s="40"/>
      <c r="H16" s="40"/>
      <c r="I16" s="40"/>
      <c r="K16" s="42"/>
      <c r="L16" s="408" t="s">
        <v>691</v>
      </c>
      <c r="M16" s="408"/>
      <c r="N16" s="408"/>
      <c r="O16" s="408"/>
      <c r="P16" s="408"/>
      <c r="Q16" s="408"/>
      <c r="R16" s="408"/>
      <c r="S16" s="408"/>
      <c r="T16" s="42"/>
    </row>
    <row r="17" spans="2:20" ht="20.399999999999999" x14ac:dyDescent="0.35">
      <c r="B17" s="40"/>
      <c r="C17" s="40"/>
      <c r="D17" s="40"/>
      <c r="E17" s="40"/>
      <c r="F17" s="40"/>
      <c r="G17" s="40"/>
      <c r="H17" s="40"/>
      <c r="I17" s="40"/>
      <c r="K17" s="42"/>
      <c r="L17" s="408" t="s">
        <v>692</v>
      </c>
      <c r="M17" s="408"/>
      <c r="N17" s="408"/>
      <c r="O17" s="408"/>
      <c r="P17" s="408"/>
      <c r="Q17" s="408"/>
      <c r="R17" s="408"/>
      <c r="S17" s="408"/>
      <c r="T17" s="42"/>
    </row>
    <row r="18" spans="2:20" ht="20.399999999999999" x14ac:dyDescent="0.35">
      <c r="B18" s="40"/>
      <c r="C18" s="41"/>
      <c r="D18" s="41"/>
      <c r="E18" s="41"/>
      <c r="F18" s="41"/>
      <c r="G18" s="41"/>
      <c r="H18" s="40"/>
      <c r="I18" s="40"/>
      <c r="K18" s="42"/>
      <c r="L18" s="408" t="s">
        <v>693</v>
      </c>
      <c r="M18" s="408"/>
      <c r="N18" s="408"/>
      <c r="O18" s="408"/>
      <c r="P18" s="408"/>
      <c r="Q18" s="408"/>
      <c r="R18" s="408"/>
      <c r="S18" s="408"/>
      <c r="T18" s="42"/>
    </row>
    <row r="19" spans="2:20" ht="20.399999999999999" x14ac:dyDescent="0.35">
      <c r="B19" s="40"/>
      <c r="C19" s="41"/>
      <c r="D19" s="41"/>
      <c r="E19" s="41"/>
      <c r="F19" s="41"/>
      <c r="G19" s="41"/>
      <c r="H19" s="40"/>
      <c r="I19" s="40"/>
      <c r="K19" s="42"/>
      <c r="L19" s="409" t="s">
        <v>694</v>
      </c>
      <c r="M19" s="409"/>
      <c r="N19" s="409"/>
      <c r="O19" s="409"/>
      <c r="P19" s="409"/>
      <c r="Q19" s="409"/>
      <c r="R19" s="409"/>
      <c r="S19" s="409"/>
      <c r="T19" s="42"/>
    </row>
    <row r="20" spans="2:20" ht="20.399999999999999" x14ac:dyDescent="0.35">
      <c r="B20" s="40"/>
      <c r="C20" s="40"/>
      <c r="D20" s="40"/>
      <c r="E20" s="40"/>
      <c r="F20" s="40"/>
      <c r="G20" s="40"/>
      <c r="H20" s="40"/>
      <c r="I20" s="40"/>
      <c r="K20" s="42"/>
      <c r="L20" s="409"/>
      <c r="M20" s="409"/>
      <c r="N20" s="409"/>
      <c r="O20" s="409"/>
      <c r="P20" s="409"/>
      <c r="Q20" s="409"/>
      <c r="R20" s="409"/>
      <c r="S20" s="409"/>
      <c r="T20" s="42"/>
    </row>
    <row r="21" spans="2:20" ht="20.399999999999999" x14ac:dyDescent="0.35">
      <c r="B21" s="40"/>
      <c r="C21" s="40"/>
      <c r="D21" s="40"/>
      <c r="E21" s="40"/>
      <c r="F21" s="40"/>
      <c r="G21" s="40"/>
      <c r="H21" s="40"/>
      <c r="I21" s="40"/>
      <c r="K21" s="42"/>
      <c r="L21" s="409"/>
      <c r="M21" s="409"/>
      <c r="N21" s="409"/>
      <c r="O21" s="409"/>
      <c r="P21" s="409"/>
      <c r="Q21" s="409"/>
      <c r="R21" s="409"/>
      <c r="S21" s="409"/>
      <c r="T21" s="42"/>
    </row>
    <row r="22" spans="2:20" ht="20.399999999999999" x14ac:dyDescent="0.35">
      <c r="B22" s="40"/>
      <c r="C22" s="40"/>
      <c r="D22" s="40"/>
      <c r="E22" s="40"/>
      <c r="F22" s="40"/>
      <c r="G22" s="40"/>
      <c r="H22" s="40"/>
      <c r="I22" s="40"/>
      <c r="K22" s="42"/>
      <c r="L22" s="409"/>
      <c r="M22" s="409"/>
      <c r="N22" s="409"/>
      <c r="O22" s="409"/>
      <c r="P22" s="409"/>
      <c r="Q22" s="409"/>
      <c r="R22" s="409"/>
      <c r="S22" s="409"/>
      <c r="T22" s="42"/>
    </row>
    <row r="23" spans="2:20" ht="20.399999999999999" x14ac:dyDescent="0.35">
      <c r="B23" s="40"/>
      <c r="C23" s="40"/>
      <c r="D23" s="40"/>
      <c r="E23" s="40"/>
      <c r="F23" s="40"/>
      <c r="G23" s="40"/>
      <c r="H23" s="40"/>
      <c r="I23" s="40"/>
      <c r="K23"/>
      <c r="L23"/>
      <c r="M23"/>
      <c r="N23"/>
      <c r="O23"/>
      <c r="P23"/>
      <c r="Q23"/>
      <c r="R23"/>
      <c r="S23"/>
      <c r="T23"/>
    </row>
    <row r="24" spans="2:20" ht="20.399999999999999" x14ac:dyDescent="0.35">
      <c r="B24" s="40"/>
      <c r="C24" s="40"/>
      <c r="D24" s="40"/>
      <c r="E24" s="40"/>
      <c r="F24" s="40"/>
      <c r="G24" s="40"/>
      <c r="H24" s="40"/>
      <c r="I24" s="40"/>
      <c r="K24"/>
      <c r="L24"/>
      <c r="M24"/>
      <c r="N24"/>
      <c r="O24"/>
      <c r="P24"/>
      <c r="Q24"/>
      <c r="R24"/>
      <c r="S24"/>
      <c r="T24"/>
    </row>
    <row r="25" spans="2:20" ht="20.399999999999999" x14ac:dyDescent="0.35">
      <c r="B25" s="40"/>
      <c r="C25" s="40"/>
      <c r="D25" s="40"/>
      <c r="E25" s="40"/>
      <c r="F25" s="40"/>
      <c r="G25" s="40"/>
      <c r="H25" s="40"/>
      <c r="I25" s="40"/>
      <c r="K25"/>
      <c r="L25"/>
      <c r="M25"/>
      <c r="N25"/>
      <c r="O25"/>
      <c r="P25"/>
      <c r="Q25"/>
      <c r="R25"/>
      <c r="S25"/>
      <c r="T25"/>
    </row>
    <row r="26" spans="2:20" ht="20.399999999999999" x14ac:dyDescent="0.35">
      <c r="B26" s="40"/>
      <c r="C26" s="40"/>
      <c r="D26" s="40"/>
      <c r="E26" s="40"/>
      <c r="F26" s="40"/>
      <c r="G26" s="40"/>
      <c r="H26" s="40"/>
      <c r="I26" s="40"/>
      <c r="K26"/>
      <c r="L26"/>
      <c r="M26"/>
      <c r="N26"/>
      <c r="O26"/>
      <c r="P26"/>
      <c r="Q26"/>
      <c r="R26"/>
      <c r="S26"/>
      <c r="T26"/>
    </row>
    <row r="27" spans="2:20" ht="20.399999999999999" x14ac:dyDescent="0.35">
      <c r="B27" s="40"/>
      <c r="C27" s="40"/>
      <c r="D27" s="40"/>
      <c r="E27" s="40"/>
      <c r="F27" s="40"/>
      <c r="G27" s="40"/>
      <c r="H27" s="40"/>
      <c r="I27" s="40"/>
      <c r="K27"/>
      <c r="L27"/>
      <c r="M27"/>
      <c r="N27"/>
      <c r="O27"/>
      <c r="P27"/>
      <c r="Q27"/>
      <c r="R27"/>
      <c r="S27"/>
      <c r="T27"/>
    </row>
    <row r="28" spans="2:20" ht="20.399999999999999" x14ac:dyDescent="0.35">
      <c r="B28" s="40"/>
      <c r="C28" s="40"/>
      <c r="D28" s="40"/>
      <c r="E28" s="40"/>
      <c r="F28" s="40"/>
      <c r="G28" s="40"/>
      <c r="H28" s="40"/>
      <c r="I28" s="40"/>
    </row>
    <row r="29" spans="2:20" ht="20.399999999999999" x14ac:dyDescent="0.35">
      <c r="B29" s="40"/>
      <c r="C29" s="40"/>
      <c r="D29" s="40"/>
      <c r="E29" s="40"/>
      <c r="F29" s="40"/>
      <c r="G29" s="40"/>
      <c r="H29" s="40"/>
      <c r="I29" s="40"/>
    </row>
    <row r="30" spans="2:20" ht="20.399999999999999" x14ac:dyDescent="0.35">
      <c r="B30" s="40"/>
      <c r="C30" s="40"/>
      <c r="D30" s="40"/>
      <c r="E30" s="40"/>
      <c r="F30" s="40"/>
      <c r="G30" s="40"/>
      <c r="H30" s="40"/>
      <c r="I30" s="40"/>
    </row>
    <row r="31" spans="2:20" ht="20.399999999999999" x14ac:dyDescent="0.35">
      <c r="B31" s="40"/>
      <c r="C31" s="40"/>
      <c r="D31" s="40"/>
      <c r="E31" s="40"/>
      <c r="F31" s="40"/>
      <c r="G31" s="40"/>
      <c r="H31" s="40"/>
      <c r="I31" s="40"/>
    </row>
    <row r="32" spans="2:20" ht="20.399999999999999" x14ac:dyDescent="0.35">
      <c r="B32" s="40"/>
      <c r="C32" s="40"/>
      <c r="D32" s="40"/>
      <c r="E32" s="40"/>
      <c r="F32" s="40"/>
      <c r="G32" s="40"/>
      <c r="H32" s="40"/>
      <c r="I32" s="40"/>
    </row>
    <row r="33" spans="2:9" ht="20.399999999999999" x14ac:dyDescent="0.35">
      <c r="B33" s="40"/>
      <c r="C33" s="40"/>
      <c r="D33" s="40"/>
      <c r="E33" s="40"/>
      <c r="F33" s="40"/>
      <c r="G33" s="40"/>
      <c r="H33" s="40"/>
      <c r="I33" s="40"/>
    </row>
    <row r="34" spans="2:9" ht="20.399999999999999" x14ac:dyDescent="0.35">
      <c r="B34" s="40"/>
      <c r="C34" s="40"/>
      <c r="D34" s="40"/>
      <c r="E34" s="40"/>
      <c r="F34" s="40"/>
      <c r="G34" s="40"/>
      <c r="H34" s="40"/>
      <c r="I34" s="40"/>
    </row>
    <row r="35" spans="2:9" ht="20.399999999999999" x14ac:dyDescent="0.35">
      <c r="B35" s="40"/>
      <c r="C35" s="40"/>
      <c r="D35" s="40"/>
      <c r="E35" s="40"/>
      <c r="F35" s="40"/>
      <c r="G35" s="40"/>
      <c r="H35" s="40"/>
      <c r="I35" s="40"/>
    </row>
    <row r="36" spans="2:9" ht="20.399999999999999" x14ac:dyDescent="0.35">
      <c r="B36" s="40"/>
      <c r="C36" s="40"/>
      <c r="D36" s="40"/>
      <c r="E36" s="40"/>
      <c r="F36" s="40"/>
      <c r="G36" s="40"/>
      <c r="H36" s="40"/>
      <c r="I36" s="40"/>
    </row>
    <row r="37" spans="2:9" ht="20.399999999999999" x14ac:dyDescent="0.35">
      <c r="B37" s="40"/>
      <c r="C37" s="40"/>
      <c r="D37" s="40"/>
      <c r="E37" s="40"/>
      <c r="F37" s="40"/>
      <c r="G37" s="40"/>
      <c r="H37" s="40"/>
      <c r="I37" s="40"/>
    </row>
    <row r="38" spans="2:9" ht="20.399999999999999" x14ac:dyDescent="0.35">
      <c r="B38" s="40"/>
      <c r="C38" s="40"/>
      <c r="D38" s="40"/>
      <c r="E38" s="40"/>
      <c r="F38" s="40"/>
      <c r="G38" s="40"/>
      <c r="H38" s="40"/>
      <c r="I38" s="40"/>
    </row>
    <row r="39" spans="2:9" ht="20.399999999999999" x14ac:dyDescent="0.35">
      <c r="B39" s="40"/>
      <c r="C39" s="40"/>
      <c r="D39" s="40"/>
      <c r="E39" s="40"/>
      <c r="F39" s="40"/>
      <c r="G39" s="40"/>
      <c r="H39" s="40"/>
      <c r="I39" s="40"/>
    </row>
    <row r="40" spans="2:9" ht="20.399999999999999" x14ac:dyDescent="0.35">
      <c r="B40" s="40"/>
      <c r="C40" s="40"/>
      <c r="D40" s="40"/>
      <c r="E40" s="40"/>
      <c r="F40" s="40"/>
      <c r="G40" s="40"/>
      <c r="H40" s="40"/>
      <c r="I40" s="40"/>
    </row>
    <row r="41" spans="2:9" ht="20.399999999999999" x14ac:dyDescent="0.35">
      <c r="B41" s="40"/>
      <c r="C41" s="40"/>
      <c r="D41" s="40"/>
      <c r="E41" s="40"/>
      <c r="F41" s="40"/>
      <c r="G41" s="40"/>
      <c r="H41" s="40"/>
      <c r="I41" s="40"/>
    </row>
    <row r="42" spans="2:9" ht="20.399999999999999" x14ac:dyDescent="0.35">
      <c r="B42" s="40"/>
      <c r="C42" s="40"/>
      <c r="D42" s="40"/>
      <c r="E42" s="40"/>
      <c r="F42" s="40"/>
      <c r="G42" s="40"/>
      <c r="H42" s="40"/>
      <c r="I42" s="40"/>
    </row>
    <row r="43" spans="2:9" ht="20.399999999999999" x14ac:dyDescent="0.35">
      <c r="B43" s="40"/>
      <c r="C43" s="40"/>
      <c r="D43" s="40"/>
      <c r="E43" s="40"/>
      <c r="F43" s="40"/>
      <c r="G43" s="40"/>
      <c r="H43" s="40"/>
      <c r="I43" s="40"/>
    </row>
    <row r="44" spans="2:9" ht="20.399999999999999" x14ac:dyDescent="0.35">
      <c r="B44" s="40"/>
      <c r="C44" s="40"/>
      <c r="D44" s="40"/>
      <c r="E44" s="40"/>
      <c r="F44" s="40"/>
      <c r="G44" s="40"/>
      <c r="H44" s="40"/>
      <c r="I44" s="40"/>
    </row>
    <row r="45" spans="2:9" ht="20.399999999999999" x14ac:dyDescent="0.35"/>
    <row r="46" spans="2:9" ht="20.399999999999999" x14ac:dyDescent="0.35"/>
    <row r="47" spans="2:9" ht="20.399999999999999" x14ac:dyDescent="0.35"/>
    <row r="48" spans="2:9" ht="20.399999999999999" x14ac:dyDescent="0.35"/>
    <row r="49" spans="21:21" ht="20.399999999999999" x14ac:dyDescent="0.35"/>
    <row r="51" spans="21:21" ht="20.399999999999999" x14ac:dyDescent="0.35"/>
    <row r="52" spans="21:21" ht="20.399999999999999" x14ac:dyDescent="0.35"/>
    <row r="53" spans="21:21" ht="20.399999999999999" x14ac:dyDescent="0.35"/>
    <row r="54" spans="21:21" ht="20.399999999999999" x14ac:dyDescent="0.35"/>
    <row r="61" spans="21:21" ht="20.25" customHeight="1" x14ac:dyDescent="0.35">
      <c r="U61" s="46" t="s">
        <v>695</v>
      </c>
    </row>
  </sheetData>
  <sheetProtection formatCells="0" insertRows="0" sort="0" autoFilter="0" pivotTables="0"/>
  <mergeCells count="12">
    <mergeCell ref="B2:D5"/>
    <mergeCell ref="E2:P5"/>
    <mergeCell ref="L18:S18"/>
    <mergeCell ref="L19:S22"/>
    <mergeCell ref="B7:I8"/>
    <mergeCell ref="L16:S16"/>
    <mergeCell ref="L17:S17"/>
    <mergeCell ref="L12:S14"/>
    <mergeCell ref="Q2:T2"/>
    <mergeCell ref="Q3:T3"/>
    <mergeCell ref="Q4:T4"/>
    <mergeCell ref="Q5:T5"/>
  </mergeCells>
  <hyperlinks>
    <hyperlink ref="B18:G18" location="GLOSARIO!A1" display="GLOSARIO DE TÉRMINOS" xr:uid="{00000000-0004-0000-0400-000000000000}"/>
  </hyperlinks>
  <pageMargins left="0.7" right="0.7" top="0.75" bottom="0.75" header="0.3" footer="0.3"/>
  <pageSetup scale="85" orientation="landscape" horizontalDpi="4294967293"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T47"/>
  <sheetViews>
    <sheetView showGridLines="0" topLeftCell="A7" zoomScaleNormal="100" workbookViewId="0">
      <selection activeCell="D22" sqref="D22"/>
    </sheetView>
  </sheetViews>
  <sheetFormatPr baseColWidth="10" defaultColWidth="11.54296875" defaultRowHeight="13.8" x14ac:dyDescent="0.3"/>
  <cols>
    <col min="1" max="1" width="5.1796875" style="7" customWidth="1"/>
    <col min="2" max="2" width="17.6328125" style="7" customWidth="1"/>
    <col min="3" max="3" width="15" style="7" customWidth="1"/>
    <col min="4" max="5" width="25.6328125" style="7" customWidth="1"/>
    <col min="6" max="6" width="35.453125" style="7" customWidth="1"/>
    <col min="7" max="9" width="11.54296875" style="7"/>
    <col min="10" max="10" width="26" style="7" customWidth="1"/>
    <col min="11" max="13" width="25.81640625" style="7" customWidth="1"/>
    <col min="14" max="14" width="11.54296875" style="7"/>
    <col min="15" max="15" width="16.81640625" style="7" customWidth="1"/>
    <col min="16" max="16" width="11.54296875" style="7"/>
    <col min="17" max="17" width="29.1796875" style="7" customWidth="1"/>
    <col min="18" max="19" width="15.1796875" style="7" customWidth="1"/>
    <col min="20" max="16384" width="11.54296875" style="7"/>
  </cols>
  <sheetData>
    <row r="1" spans="1:20" s="43" customFormat="1" ht="13.2" x14ac:dyDescent="0.25"/>
    <row r="2" spans="1:20" s="39" customFormat="1" ht="24" customHeight="1" x14ac:dyDescent="0.35">
      <c r="B2" s="420"/>
      <c r="C2" s="407" t="s">
        <v>683</v>
      </c>
      <c r="D2" s="407"/>
      <c r="E2" s="407"/>
      <c r="F2" s="407"/>
      <c r="G2" s="407"/>
      <c r="H2" s="407"/>
      <c r="I2" s="407"/>
      <c r="J2" s="50" t="s">
        <v>684</v>
      </c>
      <c r="K2"/>
      <c r="L2"/>
      <c r="N2"/>
      <c r="O2"/>
      <c r="P2"/>
      <c r="Q2"/>
      <c r="R2"/>
      <c r="S2"/>
      <c r="T2"/>
    </row>
    <row r="3" spans="1:20" s="39" customFormat="1" ht="20.399999999999999" x14ac:dyDescent="0.35">
      <c r="B3" s="421"/>
      <c r="C3" s="407"/>
      <c r="D3" s="407"/>
      <c r="E3" s="407"/>
      <c r="F3" s="407"/>
      <c r="G3" s="407"/>
      <c r="H3" s="407"/>
      <c r="I3" s="407"/>
      <c r="J3" s="50" t="s">
        <v>685</v>
      </c>
      <c r="K3"/>
      <c r="L3"/>
      <c r="N3"/>
      <c r="O3"/>
      <c r="P3"/>
      <c r="Q3"/>
      <c r="R3"/>
      <c r="S3"/>
      <c r="T3"/>
    </row>
    <row r="4" spans="1:20" s="39" customFormat="1" ht="20.399999999999999" x14ac:dyDescent="0.35">
      <c r="B4" s="421"/>
      <c r="C4" s="407"/>
      <c r="D4" s="407"/>
      <c r="E4" s="407"/>
      <c r="F4" s="407"/>
      <c r="G4" s="407"/>
      <c r="H4" s="407"/>
      <c r="I4" s="407"/>
      <c r="J4" s="51" t="s">
        <v>686</v>
      </c>
      <c r="K4"/>
      <c r="L4"/>
      <c r="N4"/>
      <c r="O4"/>
      <c r="P4"/>
      <c r="Q4"/>
      <c r="R4"/>
      <c r="S4"/>
      <c r="T4"/>
    </row>
    <row r="5" spans="1:20" s="39" customFormat="1" ht="20.399999999999999" x14ac:dyDescent="0.35">
      <c r="B5" s="422"/>
      <c r="C5" s="407"/>
      <c r="D5" s="407"/>
      <c r="E5" s="407"/>
      <c r="F5" s="407"/>
      <c r="G5" s="407"/>
      <c r="H5" s="407"/>
      <c r="I5" s="407"/>
      <c r="J5" s="50" t="s">
        <v>696</v>
      </c>
      <c r="K5"/>
      <c r="L5"/>
      <c r="N5"/>
      <c r="O5"/>
      <c r="P5"/>
      <c r="Q5"/>
      <c r="R5"/>
      <c r="S5"/>
      <c r="T5"/>
    </row>
    <row r="6" spans="1:20" s="43" customFormat="1" ht="13.2" x14ac:dyDescent="0.25"/>
    <row r="7" spans="1:20" s="43" customFormat="1" ht="13.2" x14ac:dyDescent="0.25"/>
    <row r="8" spans="1:20" s="43" customFormat="1" ht="13.2" x14ac:dyDescent="0.25">
      <c r="J8" s="44"/>
      <c r="K8" s="44"/>
    </row>
    <row r="9" spans="1:20" s="43" customFormat="1" ht="13.2" x14ac:dyDescent="0.25">
      <c r="J9" s="44"/>
      <c r="K9" s="44"/>
    </row>
    <row r="10" spans="1:20" s="43" customFormat="1" ht="13.2" x14ac:dyDescent="0.25"/>
    <row r="11" spans="1:20" s="43" customFormat="1" ht="13.2" x14ac:dyDescent="0.25"/>
    <row r="12" spans="1:20" s="43" customFormat="1" ht="13.2" x14ac:dyDescent="0.25"/>
    <row r="13" spans="1:20" s="43" customFormat="1" thickBot="1" x14ac:dyDescent="0.3">
      <c r="J13" s="45"/>
      <c r="K13" s="45"/>
      <c r="L13" s="45"/>
      <c r="M13" s="45"/>
      <c r="N13" s="45"/>
      <c r="O13" s="45"/>
      <c r="P13" s="45"/>
      <c r="Q13" s="45"/>
      <c r="R13" s="45"/>
      <c r="S13" s="45"/>
    </row>
    <row r="14" spans="1:20" s="1" customFormat="1" ht="25.8" thickBot="1" x14ac:dyDescent="0.5">
      <c r="A14" s="417" t="s">
        <v>697</v>
      </c>
      <c r="B14" s="418"/>
      <c r="C14" s="418"/>
      <c r="D14" s="418"/>
      <c r="E14" s="418"/>
      <c r="F14" s="418"/>
      <c r="G14" s="418"/>
      <c r="H14" s="418"/>
      <c r="I14" s="418"/>
      <c r="J14" s="418"/>
      <c r="K14" s="418"/>
      <c r="L14" s="418"/>
      <c r="M14" s="418"/>
      <c r="N14" s="418"/>
      <c r="O14" s="418"/>
      <c r="P14" s="418"/>
      <c r="Q14" s="418"/>
      <c r="R14" s="418"/>
      <c r="S14" s="419"/>
    </row>
    <row r="17" spans="2:19" x14ac:dyDescent="0.3">
      <c r="B17" s="6" t="s">
        <v>2</v>
      </c>
      <c r="C17" s="146">
        <v>7744</v>
      </c>
      <c r="D17" s="112"/>
      <c r="E17" s="112"/>
      <c r="F17" s="49"/>
      <c r="G17" s="49"/>
      <c r="H17" s="49"/>
      <c r="I17" s="49"/>
      <c r="J17" s="49"/>
      <c r="K17" s="49"/>
      <c r="L17" s="49"/>
      <c r="M17" s="49"/>
      <c r="N17" s="49"/>
      <c r="O17" s="49"/>
      <c r="P17" s="49"/>
      <c r="Q17" s="49"/>
      <c r="R17" s="49"/>
      <c r="S17" s="49"/>
    </row>
    <row r="18" spans="2:19" x14ac:dyDescent="0.3">
      <c r="B18" s="55"/>
      <c r="C18" s="113"/>
      <c r="D18" s="113"/>
      <c r="E18" s="113"/>
      <c r="F18" s="49"/>
      <c r="G18" s="49"/>
      <c r="H18" s="49"/>
      <c r="I18" s="49"/>
      <c r="J18" s="49"/>
      <c r="K18" s="49"/>
      <c r="L18" s="49"/>
      <c r="M18" s="49"/>
      <c r="N18" s="49"/>
      <c r="O18" s="49"/>
      <c r="P18" s="49"/>
      <c r="Q18" s="49"/>
      <c r="R18" s="49"/>
      <c r="S18" s="49"/>
    </row>
    <row r="20" spans="2:19" x14ac:dyDescent="0.3">
      <c r="B20" s="79" t="s">
        <v>698</v>
      </c>
      <c r="C20" s="80" t="s">
        <v>699</v>
      </c>
      <c r="D20" s="80" t="s">
        <v>700</v>
      </c>
      <c r="E20" s="81" t="s">
        <v>701</v>
      </c>
      <c r="F20" s="49"/>
      <c r="G20" s="54"/>
      <c r="H20" s="10"/>
      <c r="I20" s="10"/>
      <c r="J20" s="10"/>
      <c r="K20" s="10"/>
      <c r="L20" s="10"/>
      <c r="M20" s="49"/>
      <c r="N20" s="54"/>
      <c r="O20" s="10"/>
      <c r="P20" s="10"/>
      <c r="Q20" s="10"/>
      <c r="R20" s="10"/>
      <c r="S20" s="49"/>
    </row>
    <row r="21" spans="2:19" x14ac:dyDescent="0.3">
      <c r="B21" s="83" t="s">
        <v>463</v>
      </c>
      <c r="C21" s="83">
        <v>45275</v>
      </c>
      <c r="D21" s="84" t="s">
        <v>1358</v>
      </c>
      <c r="E21" s="85" t="s">
        <v>1359</v>
      </c>
      <c r="F21" s="49"/>
      <c r="G21" s="114"/>
      <c r="H21" s="10"/>
      <c r="I21" s="13"/>
      <c r="J21" s="78"/>
      <c r="K21" s="78"/>
      <c r="L21" s="78"/>
      <c r="M21" s="49"/>
      <c r="N21" s="114"/>
      <c r="O21" s="10"/>
      <c r="P21" s="13"/>
      <c r="Q21" s="78"/>
      <c r="R21" s="114"/>
      <c r="S21" s="49"/>
    </row>
    <row r="22" spans="2:19" x14ac:dyDescent="0.3">
      <c r="B22" s="83" t="s">
        <v>463</v>
      </c>
      <c r="C22" s="82">
        <v>45303</v>
      </c>
      <c r="D22" s="5" t="s">
        <v>1357</v>
      </c>
      <c r="E22" s="85" t="s">
        <v>1360</v>
      </c>
      <c r="F22" s="49"/>
      <c r="G22" s="114"/>
      <c r="H22" s="10"/>
      <c r="I22" s="13"/>
      <c r="J22" s="78"/>
      <c r="K22" s="78"/>
      <c r="L22" s="78"/>
      <c r="M22" s="49"/>
      <c r="N22" s="114"/>
      <c r="O22" s="10"/>
      <c r="P22" s="13"/>
      <c r="Q22" s="78"/>
      <c r="R22" s="114"/>
      <c r="S22" s="49"/>
    </row>
    <row r="23" spans="2:19" x14ac:dyDescent="0.3">
      <c r="B23" s="83"/>
      <c r="C23" s="83"/>
      <c r="D23" s="84"/>
      <c r="E23" s="85"/>
      <c r="F23" s="49"/>
      <c r="G23" s="114"/>
      <c r="H23" s="10"/>
      <c r="I23" s="13"/>
      <c r="J23" s="78"/>
      <c r="K23" s="78"/>
      <c r="L23" s="78"/>
      <c r="M23" s="49"/>
      <c r="N23" s="114"/>
      <c r="O23" s="10"/>
      <c r="P23" s="13"/>
      <c r="Q23" s="78"/>
      <c r="R23" s="114"/>
      <c r="S23" s="49"/>
    </row>
    <row r="24" spans="2:19" x14ac:dyDescent="0.3">
      <c r="B24" s="83"/>
      <c r="C24" s="83"/>
      <c r="D24" s="84"/>
      <c r="E24" s="85"/>
      <c r="F24" s="49"/>
      <c r="G24" s="114"/>
      <c r="H24" s="10"/>
      <c r="I24" s="13"/>
      <c r="J24" s="78"/>
      <c r="K24" s="78"/>
      <c r="L24" s="78"/>
      <c r="M24" s="49"/>
      <c r="N24" s="114"/>
      <c r="O24" s="10"/>
      <c r="P24" s="13"/>
      <c r="Q24" s="78"/>
      <c r="R24" s="114"/>
      <c r="S24" s="49"/>
    </row>
    <row r="25" spans="2:19" x14ac:dyDescent="0.3">
      <c r="B25" s="83"/>
      <c r="C25" s="83"/>
      <c r="D25" s="84"/>
      <c r="E25" s="85"/>
      <c r="F25" s="49"/>
      <c r="G25" s="114"/>
      <c r="H25" s="10"/>
      <c r="I25" s="13"/>
      <c r="J25" s="78"/>
      <c r="K25" s="78"/>
      <c r="L25" s="78"/>
      <c r="M25" s="49"/>
      <c r="N25" s="114"/>
      <c r="O25" s="10"/>
      <c r="P25" s="13"/>
      <c r="Q25" s="78"/>
      <c r="R25" s="114"/>
      <c r="S25" s="49"/>
    </row>
    <row r="26" spans="2:19" x14ac:dyDescent="0.3">
      <c r="B26" s="83"/>
      <c r="C26" s="83"/>
      <c r="D26" s="84"/>
      <c r="E26" s="85"/>
      <c r="F26" s="49"/>
      <c r="G26" s="114"/>
      <c r="H26" s="10"/>
      <c r="I26" s="13"/>
      <c r="J26" s="78"/>
      <c r="K26" s="78"/>
      <c r="L26" s="78"/>
      <c r="M26" s="49"/>
      <c r="N26" s="114"/>
      <c r="O26" s="10"/>
      <c r="P26" s="13"/>
      <c r="Q26" s="78"/>
      <c r="R26" s="114"/>
      <c r="S26" s="49"/>
    </row>
    <row r="27" spans="2:19" x14ac:dyDescent="0.3">
      <c r="B27" s="83"/>
      <c r="C27" s="83"/>
      <c r="D27" s="84"/>
      <c r="E27" s="85"/>
      <c r="F27" s="49"/>
      <c r="G27" s="114"/>
      <c r="H27" s="10"/>
      <c r="I27" s="13"/>
      <c r="J27" s="78"/>
      <c r="K27" s="78"/>
      <c r="L27" s="78"/>
      <c r="M27" s="49"/>
      <c r="N27" s="114"/>
      <c r="O27" s="10"/>
      <c r="P27" s="13"/>
      <c r="Q27" s="78"/>
      <c r="R27" s="114"/>
      <c r="S27" s="49"/>
    </row>
    <row r="28" spans="2:19" x14ac:dyDescent="0.3">
      <c r="B28" s="83"/>
      <c r="C28" s="83"/>
      <c r="D28" s="84"/>
      <c r="E28" s="85"/>
      <c r="F28" s="49"/>
      <c r="G28" s="114"/>
      <c r="H28" s="10"/>
      <c r="I28" s="13"/>
      <c r="J28" s="78"/>
      <c r="K28" s="78"/>
      <c r="L28" s="78"/>
      <c r="M28" s="49"/>
      <c r="N28" s="114"/>
      <c r="O28" s="10"/>
      <c r="P28" s="13"/>
      <c r="Q28" s="78"/>
      <c r="R28" s="114"/>
      <c r="S28" s="49"/>
    </row>
    <row r="29" spans="2:19" x14ac:dyDescent="0.3">
      <c r="B29" s="83"/>
      <c r="C29" s="83"/>
      <c r="D29" s="84"/>
      <c r="E29" s="85"/>
      <c r="F29" s="49"/>
      <c r="G29" s="114"/>
      <c r="H29" s="10"/>
      <c r="I29" s="13"/>
      <c r="J29" s="78"/>
      <c r="K29" s="78"/>
      <c r="L29" s="78"/>
      <c r="M29" s="49"/>
      <c r="N29" s="114"/>
      <c r="O29" s="10"/>
      <c r="P29" s="13"/>
      <c r="Q29" s="78"/>
      <c r="R29" s="114"/>
      <c r="S29" s="49"/>
    </row>
    <row r="30" spans="2:19" x14ac:dyDescent="0.3">
      <c r="B30" s="83"/>
      <c r="C30" s="83"/>
      <c r="D30" s="84"/>
      <c r="E30" s="85"/>
      <c r="F30" s="49"/>
      <c r="G30" s="114"/>
      <c r="H30" s="10"/>
      <c r="I30" s="13"/>
      <c r="J30" s="78"/>
      <c r="K30" s="78"/>
      <c r="L30" s="78"/>
      <c r="M30" s="49"/>
      <c r="N30" s="114"/>
      <c r="O30" s="10"/>
      <c r="P30" s="13"/>
      <c r="Q30" s="78"/>
      <c r="R30" s="114"/>
      <c r="S30" s="49"/>
    </row>
    <row r="31" spans="2:19" x14ac:dyDescent="0.3">
      <c r="B31" s="83"/>
      <c r="C31" s="83"/>
      <c r="D31" s="84"/>
      <c r="E31" s="85"/>
      <c r="F31" s="49"/>
      <c r="G31" s="114"/>
      <c r="H31" s="10"/>
      <c r="I31" s="13"/>
      <c r="J31" s="78"/>
      <c r="K31" s="78"/>
      <c r="L31" s="78"/>
      <c r="M31" s="49"/>
      <c r="N31" s="114"/>
      <c r="O31" s="10"/>
      <c r="P31" s="13"/>
      <c r="Q31" s="78"/>
      <c r="R31" s="114"/>
      <c r="S31" s="49"/>
    </row>
    <row r="32" spans="2:19" x14ac:dyDescent="0.3">
      <c r="B32" s="83"/>
      <c r="C32" s="83"/>
      <c r="D32" s="84"/>
      <c r="E32" s="85"/>
      <c r="F32" s="49"/>
      <c r="G32" s="114"/>
      <c r="H32" s="10"/>
      <c r="I32" s="13"/>
      <c r="J32" s="78"/>
      <c r="K32" s="78"/>
      <c r="L32" s="78"/>
      <c r="M32" s="49"/>
      <c r="N32" s="114"/>
      <c r="O32" s="10"/>
      <c r="P32" s="13"/>
      <c r="Q32" s="78"/>
      <c r="R32" s="114"/>
      <c r="S32" s="49"/>
    </row>
    <row r="33" spans="1:20" x14ac:dyDescent="0.3">
      <c r="A33" s="49"/>
      <c r="B33" s="83"/>
      <c r="C33" s="83"/>
      <c r="D33" s="84"/>
      <c r="E33" s="85"/>
      <c r="F33" s="49"/>
      <c r="G33" s="114"/>
      <c r="H33" s="10"/>
      <c r="I33" s="13"/>
      <c r="J33" s="78"/>
      <c r="K33" s="78"/>
      <c r="L33" s="78"/>
      <c r="M33" s="49"/>
      <c r="N33" s="114"/>
      <c r="O33" s="10"/>
      <c r="P33" s="13"/>
      <c r="Q33" s="78"/>
      <c r="R33" s="114"/>
      <c r="S33" s="49"/>
      <c r="T33" s="49"/>
    </row>
    <row r="34" spans="1:20" x14ac:dyDescent="0.3">
      <c r="A34" s="49"/>
      <c r="B34" s="83"/>
      <c r="C34" s="83"/>
      <c r="D34" s="84"/>
      <c r="E34" s="85"/>
      <c r="F34" s="49"/>
      <c r="G34" s="114"/>
      <c r="H34" s="10"/>
      <c r="I34" s="13"/>
      <c r="J34" s="78"/>
      <c r="K34" s="78"/>
      <c r="L34" s="78"/>
      <c r="M34" s="49"/>
      <c r="N34" s="114"/>
      <c r="O34" s="10"/>
      <c r="P34" s="13"/>
      <c r="Q34" s="78"/>
      <c r="R34" s="78"/>
      <c r="S34" s="49"/>
      <c r="T34" s="49"/>
    </row>
    <row r="35" spans="1:20" x14ac:dyDescent="0.3">
      <c r="A35" s="49"/>
      <c r="B35" s="83"/>
      <c r="C35" s="83"/>
      <c r="D35" s="84"/>
      <c r="E35" s="85"/>
      <c r="F35" s="49"/>
      <c r="G35" s="114"/>
      <c r="H35" s="10"/>
      <c r="I35" s="13"/>
      <c r="J35" s="78"/>
      <c r="K35" s="78"/>
      <c r="L35" s="78"/>
      <c r="M35" s="49"/>
      <c r="N35" s="114"/>
      <c r="O35" s="10"/>
      <c r="P35" s="13"/>
      <c r="Q35" s="78"/>
      <c r="R35" s="78"/>
      <c r="S35" s="49"/>
      <c r="T35" s="49"/>
    </row>
    <row r="36" spans="1:20" x14ac:dyDescent="0.3">
      <c r="A36" s="49"/>
      <c r="B36" s="83"/>
      <c r="C36" s="83"/>
      <c r="D36" s="84"/>
      <c r="E36" s="85"/>
      <c r="F36" s="49"/>
      <c r="G36" s="114"/>
      <c r="H36" s="10"/>
      <c r="I36" s="13"/>
      <c r="J36" s="78"/>
      <c r="K36" s="78"/>
      <c r="L36" s="78"/>
      <c r="M36" s="49"/>
      <c r="N36" s="114"/>
      <c r="O36" s="10"/>
      <c r="P36" s="13"/>
      <c r="Q36" s="78"/>
      <c r="R36" s="78"/>
      <c r="S36" s="49"/>
      <c r="T36" s="49"/>
    </row>
    <row r="37" spans="1:20" x14ac:dyDescent="0.3">
      <c r="A37" s="49"/>
      <c r="B37" s="83"/>
      <c r="C37" s="82"/>
      <c r="D37" s="5"/>
      <c r="E37" s="85"/>
      <c r="F37" s="49"/>
      <c r="G37" s="114"/>
      <c r="H37" s="10"/>
      <c r="I37" s="13"/>
      <c r="J37" s="78"/>
      <c r="K37" s="78"/>
      <c r="L37" s="78"/>
      <c r="M37" s="49"/>
      <c r="N37" s="114"/>
      <c r="O37" s="10"/>
      <c r="P37" s="13"/>
      <c r="Q37" s="78"/>
      <c r="R37" s="78"/>
      <c r="S37" s="49"/>
      <c r="T37" s="49"/>
    </row>
    <row r="38" spans="1:20" x14ac:dyDescent="0.3">
      <c r="A38" s="49"/>
      <c r="B38" s="83"/>
      <c r="C38" s="82"/>
      <c r="D38" s="5"/>
      <c r="E38" s="85"/>
      <c r="F38" s="49"/>
      <c r="G38" s="114"/>
      <c r="H38" s="10"/>
      <c r="I38" s="13"/>
      <c r="J38" s="78"/>
      <c r="K38" s="78"/>
      <c r="L38" s="78"/>
      <c r="M38" s="49"/>
      <c r="N38" s="114"/>
      <c r="O38" s="10"/>
      <c r="P38" s="13"/>
      <c r="Q38" s="78"/>
      <c r="R38" s="78"/>
      <c r="S38" s="49"/>
      <c r="T38" s="49"/>
    </row>
    <row r="39" spans="1:20" x14ac:dyDescent="0.3">
      <c r="A39" s="49"/>
      <c r="B39" s="83"/>
      <c r="C39" s="83"/>
      <c r="D39" s="84"/>
      <c r="E39" s="85"/>
      <c r="F39" s="49"/>
      <c r="G39" s="114"/>
      <c r="H39" s="10"/>
      <c r="I39" s="13"/>
      <c r="J39" s="78"/>
      <c r="K39" s="78"/>
      <c r="L39" s="78"/>
      <c r="M39" s="49"/>
      <c r="N39" s="114"/>
      <c r="O39" s="10"/>
      <c r="P39" s="13"/>
      <c r="Q39" s="78"/>
      <c r="R39" s="78"/>
      <c r="S39" s="49"/>
      <c r="T39" s="49"/>
    </row>
    <row r="40" spans="1:20" x14ac:dyDescent="0.3">
      <c r="A40" s="49"/>
      <c r="B40" s="83"/>
      <c r="C40" s="82"/>
      <c r="D40" s="5"/>
      <c r="E40" s="85"/>
      <c r="F40" s="49"/>
      <c r="G40" s="114"/>
      <c r="H40" s="10"/>
      <c r="I40" s="13"/>
      <c r="J40" s="78"/>
      <c r="K40" s="78"/>
      <c r="L40" s="78"/>
      <c r="M40" s="49"/>
      <c r="N40" s="114"/>
      <c r="O40" s="10"/>
      <c r="P40" s="13"/>
      <c r="Q40" s="78"/>
      <c r="R40" s="78"/>
      <c r="S40" s="49"/>
      <c r="T40" s="49"/>
    </row>
    <row r="41" spans="1:20" x14ac:dyDescent="0.3">
      <c r="A41" s="49"/>
      <c r="B41" s="83"/>
      <c r="C41" s="83"/>
      <c r="D41" s="84"/>
      <c r="E41" s="85"/>
      <c r="F41" s="49"/>
      <c r="G41" s="114"/>
      <c r="H41" s="10"/>
      <c r="I41" s="13"/>
      <c r="J41" s="78"/>
      <c r="K41" s="78"/>
      <c r="L41" s="78"/>
      <c r="M41" s="49"/>
      <c r="N41" s="114"/>
      <c r="O41" s="10"/>
      <c r="P41" s="13"/>
      <c r="Q41" s="78"/>
      <c r="R41" s="78"/>
      <c r="S41" s="49"/>
      <c r="T41" s="49"/>
    </row>
    <row r="42" spans="1:20" x14ac:dyDescent="0.3">
      <c r="A42" s="49"/>
      <c r="B42" s="83"/>
      <c r="C42" s="83"/>
      <c r="D42" s="84"/>
      <c r="E42" s="85"/>
      <c r="F42" s="49"/>
      <c r="G42" s="114"/>
      <c r="H42" s="10"/>
      <c r="I42" s="13"/>
      <c r="J42" s="78"/>
      <c r="K42" s="78"/>
      <c r="L42" s="78"/>
      <c r="M42" s="49"/>
      <c r="N42" s="114"/>
      <c r="O42" s="10"/>
      <c r="P42" s="13"/>
      <c r="Q42" s="78"/>
      <c r="R42" s="78"/>
      <c r="S42" s="49"/>
      <c r="T42" s="49"/>
    </row>
    <row r="43" spans="1:20" x14ac:dyDescent="0.3">
      <c r="A43" s="49"/>
      <c r="B43" s="83"/>
      <c r="C43" s="83"/>
      <c r="D43" s="84"/>
      <c r="E43" s="85"/>
      <c r="F43" s="49"/>
      <c r="G43" s="114"/>
      <c r="H43" s="10"/>
      <c r="I43" s="13"/>
      <c r="J43" s="78"/>
      <c r="K43" s="78"/>
      <c r="L43" s="78"/>
      <c r="M43" s="49"/>
      <c r="N43" s="114"/>
      <c r="O43" s="10"/>
      <c r="P43" s="13"/>
      <c r="Q43" s="78"/>
      <c r="R43" s="78"/>
      <c r="S43" s="49"/>
      <c r="T43" s="49"/>
    </row>
    <row r="44" spans="1:20" x14ac:dyDescent="0.3">
      <c r="A44" s="49"/>
      <c r="B44" s="115"/>
      <c r="C44" s="82"/>
      <c r="D44" s="86"/>
      <c r="E44" s="85"/>
      <c r="F44" s="49"/>
      <c r="G44" s="114"/>
      <c r="H44" s="10"/>
      <c r="I44" s="13"/>
      <c r="J44" s="78"/>
      <c r="K44" s="78"/>
      <c r="L44" s="78"/>
      <c r="M44" s="49"/>
      <c r="N44" s="114"/>
      <c r="O44" s="116"/>
      <c r="P44" s="13"/>
      <c r="Q44" s="78"/>
      <c r="R44" s="78"/>
      <c r="S44" s="49"/>
      <c r="T44" s="49"/>
    </row>
    <row r="45" spans="1:20" x14ac:dyDescent="0.3">
      <c r="A45" s="49"/>
      <c r="B45" s="117"/>
      <c r="C45" s="117"/>
      <c r="D45" s="10"/>
      <c r="E45" s="13"/>
      <c r="F45" s="116"/>
      <c r="G45" s="49"/>
      <c r="H45" s="114"/>
      <c r="I45" s="10"/>
      <c r="J45" s="13"/>
      <c r="K45" s="78"/>
      <c r="L45" s="78"/>
      <c r="M45" s="78"/>
      <c r="N45" s="49"/>
      <c r="O45" s="114"/>
      <c r="P45" s="10"/>
      <c r="Q45" s="13"/>
      <c r="R45" s="78"/>
      <c r="S45" s="78"/>
      <c r="T45" s="49"/>
    </row>
    <row r="46" spans="1:20" x14ac:dyDescent="0.3">
      <c r="A46" s="49"/>
      <c r="B46" s="117"/>
      <c r="C46" s="117"/>
      <c r="D46" s="10"/>
      <c r="E46" s="13"/>
      <c r="F46" s="116"/>
      <c r="G46" s="49"/>
      <c r="H46" s="114"/>
      <c r="I46" s="10"/>
      <c r="J46" s="13"/>
      <c r="K46" s="78"/>
      <c r="L46" s="78"/>
      <c r="M46" s="78"/>
      <c r="N46" s="49"/>
      <c r="O46" s="114"/>
      <c r="P46" s="10"/>
      <c r="Q46" s="13"/>
      <c r="R46" s="78"/>
      <c r="S46" s="78"/>
      <c r="T46" s="49"/>
    </row>
    <row r="47" spans="1:20" x14ac:dyDescent="0.3">
      <c r="A47" s="49"/>
      <c r="B47" s="49"/>
      <c r="C47" s="49"/>
      <c r="D47" s="49"/>
      <c r="E47" s="49"/>
      <c r="F47" s="49"/>
      <c r="G47" s="49"/>
      <c r="H47" s="49"/>
      <c r="I47" s="49"/>
      <c r="J47" s="49"/>
      <c r="K47" s="49"/>
      <c r="L47" s="49"/>
      <c r="M47" s="49"/>
      <c r="N47" s="49"/>
      <c r="O47" s="114"/>
      <c r="P47" s="10"/>
      <c r="Q47" s="13"/>
      <c r="R47" s="78"/>
      <c r="S47" s="78"/>
      <c r="T47" s="49"/>
    </row>
  </sheetData>
  <sheetProtection formatCells="0" formatColumns="0" formatRows="0" insertRows="0" insertHyperlinks="0" sort="0" autoFilter="0" pivotTables="0"/>
  <mergeCells count="3">
    <mergeCell ref="A14:S14"/>
    <mergeCell ref="B2:B5"/>
    <mergeCell ref="C2:I5"/>
  </mergeCells>
  <phoneticPr fontId="14" type="noConversion"/>
  <dataValidations xWindow="456" yWindow="737" count="6">
    <dataValidation allowBlank="1" showInputMessage="1" showErrorMessage="1" prompt="Seleccione de la lista desplegable el proyecto de inversión" sqref="D17:E17" xr:uid="{00000000-0002-0000-0500-000000000000}"/>
    <dataValidation type="list" allowBlank="1" showInputMessage="1" showErrorMessage="1" sqref="B21:B44" xr:uid="{00000000-0002-0000-0500-000001000000}">
      <formula1>accion</formula1>
    </dataValidation>
    <dataValidation type="date" allowBlank="1" showInputMessage="1" showErrorMessage="1" sqref="C21:C44" xr:uid="{00000000-0002-0000-0500-000002000000}">
      <formula1>44927</formula1>
      <formula2>45657</formula2>
    </dataValidation>
    <dataValidation allowBlank="1" showInputMessage="1" showErrorMessage="1" prompt="Relacione el código de radicado del plan de acción." sqref="K45:K46 Q21:Q44 R45:R47 J21:J44" xr:uid="{00000000-0002-0000-0500-000003000000}"/>
    <dataValidation type="date" allowBlank="1" showInputMessage="1" showErrorMessage="1" prompt="Diligenciar la fecha de modificación con el formato dd/mm/aaaa" sqref="H45:H46 G21:G44" xr:uid="{00000000-0002-0000-0500-000004000000}">
      <formula1>43983</formula1>
      <formula2>45443</formula2>
    </dataValidation>
    <dataValidation type="date" allowBlank="1" showInputMessage="1" showErrorMessage="1" prompt="Diligenciar la fecha con el formato dd//mm/aaaa" sqref="S45:S47 R21:R44" xr:uid="{00000000-0002-0000-0500-000005000000}">
      <formula1>43983</formula1>
      <formula2>45443</formula2>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9">
    <tabColor rgb="FFFF0000"/>
  </sheetPr>
  <dimension ref="A2:AP105"/>
  <sheetViews>
    <sheetView showGridLines="0" topLeftCell="A10" zoomScale="85" zoomScaleNormal="85" workbookViewId="0">
      <selection activeCell="D36" sqref="D36:F36"/>
    </sheetView>
  </sheetViews>
  <sheetFormatPr baseColWidth="10" defaultColWidth="6.81640625" defaultRowHeight="20.7" customHeight="1" x14ac:dyDescent="0.3"/>
  <cols>
    <col min="1" max="4" width="6.81640625" style="72"/>
    <col min="5" max="5" width="8.36328125" style="72" customWidth="1"/>
    <col min="6" max="6" width="9" style="72" customWidth="1"/>
    <col min="7" max="8" width="6.81640625" style="72"/>
    <col min="9" max="9" width="6.81640625" style="72" customWidth="1"/>
    <col min="10" max="13" width="6.81640625" style="72"/>
    <col min="14" max="14" width="10.54296875" style="72" customWidth="1"/>
    <col min="15" max="15" width="12" style="72" customWidth="1"/>
    <col min="16" max="16" width="6.81640625" style="72" customWidth="1"/>
    <col min="17" max="17" width="8.453125" style="72" customWidth="1"/>
    <col min="18" max="18" width="7.81640625" style="72" customWidth="1"/>
    <col min="19" max="20" width="8.08984375" style="72" customWidth="1"/>
    <col min="21" max="21" width="9.81640625" style="72" customWidth="1"/>
    <col min="22" max="22" width="10.36328125" style="72" customWidth="1"/>
    <col min="23" max="25" width="6.81640625" style="72" customWidth="1"/>
    <col min="26" max="26" width="6.90625" style="72" customWidth="1"/>
    <col min="27" max="28" width="6.81640625" style="72"/>
    <col min="29" max="29" width="7.54296875" style="72" bestFit="1" customWidth="1"/>
    <col min="30" max="34" width="6.81640625" style="72"/>
    <col min="35" max="35" width="7.54296875" style="72" bestFit="1" customWidth="1"/>
    <col min="36" max="16384" width="6.81640625" style="72"/>
  </cols>
  <sheetData>
    <row r="2" spans="1:42" s="74" customFormat="1" ht="20.7" customHeight="1" x14ac:dyDescent="0.3">
      <c r="C2" s="484"/>
      <c r="D2" s="485"/>
      <c r="E2" s="475" t="s">
        <v>683</v>
      </c>
      <c r="F2" s="476"/>
      <c r="G2" s="476"/>
      <c r="H2" s="476"/>
      <c r="I2" s="476"/>
      <c r="J2" s="476"/>
      <c r="K2" s="476"/>
      <c r="L2" s="476"/>
      <c r="M2" s="476"/>
      <c r="N2" s="477"/>
      <c r="O2" s="411" t="s">
        <v>684</v>
      </c>
      <c r="P2" s="412"/>
      <c r="Q2" s="412"/>
      <c r="R2" s="413"/>
      <c r="S2" s="72"/>
      <c r="T2" s="72"/>
      <c r="U2" s="72"/>
      <c r="V2" s="72"/>
      <c r="W2" s="72"/>
      <c r="X2" s="72"/>
      <c r="Y2" s="72"/>
      <c r="Z2" s="72"/>
    </row>
    <row r="3" spans="1:42" s="74" customFormat="1" ht="20.7" customHeight="1" x14ac:dyDescent="0.3">
      <c r="C3" s="486"/>
      <c r="D3" s="487"/>
      <c r="E3" s="478"/>
      <c r="F3" s="479"/>
      <c r="G3" s="479"/>
      <c r="H3" s="479"/>
      <c r="I3" s="479"/>
      <c r="J3" s="479"/>
      <c r="K3" s="479"/>
      <c r="L3" s="479"/>
      <c r="M3" s="479"/>
      <c r="N3" s="480"/>
      <c r="O3" s="411" t="s">
        <v>685</v>
      </c>
      <c r="P3" s="412"/>
      <c r="Q3" s="412"/>
      <c r="R3" s="413"/>
      <c r="S3" s="72"/>
      <c r="T3" s="72"/>
      <c r="U3" s="72"/>
      <c r="V3" s="72"/>
      <c r="W3" s="72"/>
      <c r="X3" s="72"/>
      <c r="Y3" s="72"/>
      <c r="Z3" s="72"/>
    </row>
    <row r="4" spans="1:42" s="74" customFormat="1" ht="20.7" customHeight="1" x14ac:dyDescent="0.3">
      <c r="C4" s="486"/>
      <c r="D4" s="487"/>
      <c r="E4" s="478"/>
      <c r="F4" s="479"/>
      <c r="G4" s="479"/>
      <c r="H4" s="479"/>
      <c r="I4" s="479"/>
      <c r="J4" s="479"/>
      <c r="K4" s="479"/>
      <c r="L4" s="479"/>
      <c r="M4" s="479"/>
      <c r="N4" s="480"/>
      <c r="O4" s="414" t="s">
        <v>702</v>
      </c>
      <c r="P4" s="415"/>
      <c r="Q4" s="415"/>
      <c r="R4" s="416"/>
      <c r="S4" s="72"/>
      <c r="T4" s="72"/>
      <c r="U4" s="72"/>
      <c r="V4" s="72"/>
      <c r="W4" s="72"/>
      <c r="X4" s="72"/>
      <c r="Y4" s="72"/>
      <c r="Z4" s="72"/>
    </row>
    <row r="5" spans="1:42" s="74" customFormat="1" ht="20.7" customHeight="1" x14ac:dyDescent="0.3">
      <c r="C5" s="488"/>
      <c r="D5" s="489"/>
      <c r="E5" s="481"/>
      <c r="F5" s="482"/>
      <c r="G5" s="482"/>
      <c r="H5" s="482"/>
      <c r="I5" s="482"/>
      <c r="J5" s="482"/>
      <c r="K5" s="482"/>
      <c r="L5" s="482"/>
      <c r="M5" s="482"/>
      <c r="N5" s="483"/>
      <c r="O5" s="411" t="s">
        <v>703</v>
      </c>
      <c r="P5" s="412"/>
      <c r="Q5" s="412"/>
      <c r="R5" s="413"/>
      <c r="S5" s="72"/>
      <c r="T5" s="72"/>
      <c r="U5" s="72"/>
      <c r="V5" s="72"/>
      <c r="W5" s="72"/>
      <c r="X5" s="72"/>
      <c r="Y5" s="72"/>
      <c r="Z5" s="72"/>
    </row>
    <row r="8" spans="1:42" ht="20.7" customHeight="1" x14ac:dyDescent="0.3">
      <c r="A8" s="490" t="s">
        <v>704</v>
      </c>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row>
    <row r="10" spans="1:42" ht="20.7" customHeight="1" x14ac:dyDescent="0.3">
      <c r="B10" s="431" t="s">
        <v>705</v>
      </c>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row>
    <row r="11" spans="1:42" ht="20.7" customHeight="1" x14ac:dyDescent="0.3">
      <c r="B11" s="70"/>
      <c r="C11" s="75"/>
      <c r="D11" s="71"/>
      <c r="E11" s="71"/>
    </row>
    <row r="12" spans="1:42" ht="20.7" customHeight="1" x14ac:dyDescent="0.3">
      <c r="A12" s="191">
        <f>'Cuadro Control'!C17</f>
        <v>7744</v>
      </c>
      <c r="B12" s="434" t="s">
        <v>15</v>
      </c>
      <c r="C12" s="434"/>
      <c r="D12" s="434" t="s">
        <v>706</v>
      </c>
      <c r="E12" s="434"/>
      <c r="F12" s="434"/>
      <c r="G12" s="434" t="s">
        <v>707</v>
      </c>
      <c r="H12" s="434"/>
      <c r="I12" s="434"/>
      <c r="J12" s="73" t="s">
        <v>708</v>
      </c>
      <c r="K12" s="434" t="s">
        <v>709</v>
      </c>
      <c r="L12" s="434"/>
      <c r="M12" s="434"/>
      <c r="N12" s="73" t="s">
        <v>708</v>
      </c>
      <c r="O12" s="191">
        <f>'Cuadro Control'!C17</f>
        <v>7744</v>
      </c>
      <c r="P12" s="452" t="s">
        <v>710</v>
      </c>
      <c r="Q12" s="452"/>
      <c r="R12" s="434" t="s">
        <v>711</v>
      </c>
      <c r="S12" s="434"/>
      <c r="T12" s="434"/>
      <c r="U12" s="434" t="s">
        <v>712</v>
      </c>
      <c r="V12" s="434"/>
      <c r="W12" s="434"/>
      <c r="X12" s="434" t="s">
        <v>713</v>
      </c>
      <c r="Y12" s="434"/>
      <c r="Z12" s="434"/>
      <c r="AA12" s="434" t="s">
        <v>709</v>
      </c>
      <c r="AB12" s="434"/>
      <c r="AC12" s="434"/>
      <c r="AD12" s="73" t="s">
        <v>708</v>
      </c>
      <c r="AE12" s="191">
        <f>'Cuadro Control'!C17</f>
        <v>7744</v>
      </c>
      <c r="AF12" s="452" t="s">
        <v>714</v>
      </c>
      <c r="AG12" s="452"/>
      <c r="AH12" s="434" t="s">
        <v>706</v>
      </c>
      <c r="AI12" s="434"/>
      <c r="AJ12" s="434"/>
      <c r="AK12" s="434" t="s">
        <v>707</v>
      </c>
      <c r="AL12" s="434"/>
      <c r="AM12" s="434"/>
      <c r="AN12" s="73" t="s">
        <v>708</v>
      </c>
    </row>
    <row r="13" spans="1:42" ht="20.7" customHeight="1" x14ac:dyDescent="0.3">
      <c r="A13" s="202" t="str">
        <f>$A$12&amp;B13</f>
        <v>77441</v>
      </c>
      <c r="B13" s="426">
        <v>1</v>
      </c>
      <c r="C13" s="426"/>
      <c r="D13" s="430">
        <v>2019908000</v>
      </c>
      <c r="E13" s="430"/>
      <c r="F13" s="430"/>
      <c r="G13" s="430"/>
      <c r="H13" s="430"/>
      <c r="I13" s="430"/>
      <c r="J13" s="76">
        <f>IFERROR((G13/D13*100),"…")</f>
        <v>0</v>
      </c>
      <c r="K13" s="430"/>
      <c r="L13" s="430"/>
      <c r="M13" s="430"/>
      <c r="N13" s="76">
        <f t="shared" ref="N13:N23" si="0">IFERROR((K13/D13*100),"…")</f>
        <v>0</v>
      </c>
      <c r="O13" s="202" t="str">
        <f>$A$12&amp;P13</f>
        <v>77441</v>
      </c>
      <c r="P13" s="426">
        <v>1</v>
      </c>
      <c r="Q13" s="426"/>
      <c r="R13" s="430"/>
      <c r="S13" s="430"/>
      <c r="T13" s="430"/>
      <c r="U13" s="430"/>
      <c r="V13" s="430"/>
      <c r="W13" s="430"/>
      <c r="X13" s="441">
        <f t="shared" ref="X13:X17" si="1">R13-U13</f>
        <v>0</v>
      </c>
      <c r="Y13" s="441"/>
      <c r="Z13" s="441"/>
      <c r="AA13" s="430"/>
      <c r="AB13" s="430"/>
      <c r="AC13" s="430"/>
      <c r="AD13" s="76" t="str">
        <f t="shared" ref="AD13:AD17" si="2">IFERROR((AA13/X13*100),"…")</f>
        <v>…</v>
      </c>
      <c r="AE13" s="191" t="str">
        <f>$AE$12&amp;AF13</f>
        <v>774441</v>
      </c>
      <c r="AF13" s="426">
        <f>L32</f>
        <v>41</v>
      </c>
      <c r="AG13" s="426"/>
      <c r="AH13" s="430"/>
      <c r="AI13" s="430"/>
      <c r="AJ13" s="430"/>
      <c r="AK13" s="430"/>
      <c r="AL13" s="430"/>
      <c r="AM13" s="430"/>
      <c r="AN13" s="76" t="str">
        <f t="shared" ref="AN13:AN18" si="3">IFERROR((AK13/AH13*100),"…")</f>
        <v>…</v>
      </c>
    </row>
    <row r="14" spans="1:42" ht="20.7" customHeight="1" x14ac:dyDescent="0.3">
      <c r="A14" s="202" t="str">
        <f t="shared" ref="A14:A23" si="4">$A$12&amp;B14</f>
        <v>77442</v>
      </c>
      <c r="B14" s="426">
        <v>2</v>
      </c>
      <c r="C14" s="426"/>
      <c r="D14" s="430">
        <v>207172088000</v>
      </c>
      <c r="E14" s="430"/>
      <c r="F14" s="430"/>
      <c r="G14" s="430"/>
      <c r="H14" s="430"/>
      <c r="I14" s="430"/>
      <c r="J14" s="76">
        <f t="shared" ref="J14:J15" si="5">IFERROR((G14/D14*100),"…")</f>
        <v>0</v>
      </c>
      <c r="K14" s="430"/>
      <c r="L14" s="430"/>
      <c r="M14" s="430"/>
      <c r="N14" s="76">
        <f t="shared" si="0"/>
        <v>0</v>
      </c>
      <c r="O14" s="202" t="str">
        <f t="shared" ref="O14:O23" si="6">$A$12&amp;P14</f>
        <v>77442</v>
      </c>
      <c r="P14" s="426">
        <v>2</v>
      </c>
      <c r="Q14" s="426"/>
      <c r="R14" s="430"/>
      <c r="S14" s="430"/>
      <c r="T14" s="430"/>
      <c r="U14" s="430"/>
      <c r="V14" s="430"/>
      <c r="W14" s="430"/>
      <c r="X14" s="441">
        <f t="shared" si="1"/>
        <v>0</v>
      </c>
      <c r="Y14" s="441"/>
      <c r="Z14" s="441"/>
      <c r="AA14" s="430"/>
      <c r="AB14" s="430"/>
      <c r="AC14" s="430"/>
      <c r="AD14" s="76" t="str">
        <f t="shared" si="2"/>
        <v>…</v>
      </c>
      <c r="AE14" s="191" t="str">
        <f t="shared" ref="AE14:AE18" si="7">$AE$12&amp;AF14</f>
        <v>774442</v>
      </c>
      <c r="AF14" s="426">
        <f t="shared" ref="AF14:AF17" si="8">L33</f>
        <v>42</v>
      </c>
      <c r="AG14" s="426"/>
      <c r="AH14" s="430"/>
      <c r="AI14" s="430"/>
      <c r="AJ14" s="430"/>
      <c r="AK14" s="430"/>
      <c r="AL14" s="430"/>
      <c r="AM14" s="430"/>
      <c r="AN14" s="76" t="str">
        <f t="shared" si="3"/>
        <v>…</v>
      </c>
    </row>
    <row r="15" spans="1:42" ht="20.7" customHeight="1" x14ac:dyDescent="0.3">
      <c r="A15" s="202" t="str">
        <f t="shared" si="4"/>
        <v>77443</v>
      </c>
      <c r="B15" s="426">
        <v>3</v>
      </c>
      <c r="C15" s="426"/>
      <c r="D15" s="430">
        <v>12305233000</v>
      </c>
      <c r="E15" s="430"/>
      <c r="F15" s="430"/>
      <c r="G15" s="430"/>
      <c r="H15" s="430"/>
      <c r="I15" s="430"/>
      <c r="J15" s="76">
        <f t="shared" si="5"/>
        <v>0</v>
      </c>
      <c r="K15" s="430"/>
      <c r="L15" s="430"/>
      <c r="M15" s="430"/>
      <c r="N15" s="76">
        <f t="shared" si="0"/>
        <v>0</v>
      </c>
      <c r="O15" s="202" t="str">
        <f t="shared" si="6"/>
        <v>77443</v>
      </c>
      <c r="P15" s="426">
        <v>3</v>
      </c>
      <c r="Q15" s="426"/>
      <c r="R15" s="430"/>
      <c r="S15" s="430"/>
      <c r="T15" s="430"/>
      <c r="U15" s="430"/>
      <c r="V15" s="430"/>
      <c r="W15" s="430"/>
      <c r="X15" s="441">
        <f t="shared" si="1"/>
        <v>0</v>
      </c>
      <c r="Y15" s="441"/>
      <c r="Z15" s="441"/>
      <c r="AA15" s="430"/>
      <c r="AB15" s="430"/>
      <c r="AC15" s="430"/>
      <c r="AD15" s="76" t="str">
        <f t="shared" si="2"/>
        <v>…</v>
      </c>
      <c r="AE15" s="191" t="str">
        <f t="shared" si="7"/>
        <v>774443</v>
      </c>
      <c r="AF15" s="426">
        <f t="shared" si="8"/>
        <v>43</v>
      </c>
      <c r="AG15" s="426"/>
      <c r="AH15" s="430"/>
      <c r="AI15" s="430"/>
      <c r="AJ15" s="430"/>
      <c r="AK15" s="430"/>
      <c r="AL15" s="430"/>
      <c r="AM15" s="430"/>
      <c r="AN15" s="76" t="str">
        <f t="shared" si="3"/>
        <v>…</v>
      </c>
    </row>
    <row r="16" spans="1:42" ht="20.7" customHeight="1" x14ac:dyDescent="0.3">
      <c r="A16" s="202" t="str">
        <f t="shared" si="4"/>
        <v>77444</v>
      </c>
      <c r="B16" s="426">
        <v>4</v>
      </c>
      <c r="C16" s="426"/>
      <c r="D16" s="430">
        <v>383559000</v>
      </c>
      <c r="E16" s="430"/>
      <c r="F16" s="430"/>
      <c r="G16" s="430"/>
      <c r="H16" s="430"/>
      <c r="I16" s="430"/>
      <c r="J16" s="76">
        <f>IFERROR((G16/D16*100),"…")</f>
        <v>0</v>
      </c>
      <c r="K16" s="430"/>
      <c r="L16" s="430"/>
      <c r="M16" s="430"/>
      <c r="N16" s="76">
        <f t="shared" si="0"/>
        <v>0</v>
      </c>
      <c r="O16" s="202" t="str">
        <f t="shared" si="6"/>
        <v>77444</v>
      </c>
      <c r="P16" s="426">
        <v>4</v>
      </c>
      <c r="Q16" s="426"/>
      <c r="R16" s="430"/>
      <c r="S16" s="430"/>
      <c r="T16" s="430"/>
      <c r="U16" s="430"/>
      <c r="V16" s="430"/>
      <c r="W16" s="430"/>
      <c r="X16" s="441">
        <f>R16-U16</f>
        <v>0</v>
      </c>
      <c r="Y16" s="441"/>
      <c r="Z16" s="441"/>
      <c r="AA16" s="430"/>
      <c r="AB16" s="430"/>
      <c r="AC16" s="430"/>
      <c r="AD16" s="76" t="str">
        <f>IFERROR((AA16/X16*100),"…")</f>
        <v>…</v>
      </c>
      <c r="AE16" s="191" t="str">
        <f t="shared" si="7"/>
        <v>774447</v>
      </c>
      <c r="AF16" s="426">
        <f t="shared" si="8"/>
        <v>47</v>
      </c>
      <c r="AG16" s="426"/>
      <c r="AH16" s="430"/>
      <c r="AI16" s="430"/>
      <c r="AJ16" s="430"/>
      <c r="AK16" s="430"/>
      <c r="AL16" s="430"/>
      <c r="AM16" s="430"/>
      <c r="AN16" s="76" t="str">
        <f t="shared" si="3"/>
        <v>…</v>
      </c>
    </row>
    <row r="17" spans="1:40" ht="20.7" customHeight="1" x14ac:dyDescent="0.3">
      <c r="A17" s="202" t="str">
        <f t="shared" si="4"/>
        <v>77445</v>
      </c>
      <c r="B17" s="426">
        <v>5</v>
      </c>
      <c r="C17" s="426"/>
      <c r="D17" s="430">
        <v>12473492000</v>
      </c>
      <c r="E17" s="430"/>
      <c r="F17" s="430"/>
      <c r="G17" s="430"/>
      <c r="H17" s="430"/>
      <c r="I17" s="430"/>
      <c r="J17" s="76">
        <f>IFERROR((G17/D17*100),"…")</f>
        <v>0</v>
      </c>
      <c r="K17" s="430"/>
      <c r="L17" s="430"/>
      <c r="M17" s="430"/>
      <c r="N17" s="76">
        <f t="shared" si="0"/>
        <v>0</v>
      </c>
      <c r="O17" s="202" t="str">
        <f t="shared" si="6"/>
        <v>77445</v>
      </c>
      <c r="P17" s="426">
        <v>5</v>
      </c>
      <c r="Q17" s="426"/>
      <c r="R17" s="430"/>
      <c r="S17" s="430"/>
      <c r="T17" s="430"/>
      <c r="U17" s="430"/>
      <c r="V17" s="430"/>
      <c r="W17" s="430"/>
      <c r="X17" s="441">
        <f t="shared" si="1"/>
        <v>0</v>
      </c>
      <c r="Y17" s="441"/>
      <c r="Z17" s="441"/>
      <c r="AA17" s="430"/>
      <c r="AB17" s="430"/>
      <c r="AC17" s="430"/>
      <c r="AD17" s="76" t="str">
        <f t="shared" si="2"/>
        <v>…</v>
      </c>
      <c r="AE17" s="191" t="str">
        <f t="shared" si="7"/>
        <v>77440</v>
      </c>
      <c r="AF17" s="426">
        <f t="shared" si="8"/>
        <v>0</v>
      </c>
      <c r="AG17" s="426"/>
      <c r="AH17" s="430"/>
      <c r="AI17" s="430"/>
      <c r="AJ17" s="430"/>
      <c r="AK17" s="430"/>
      <c r="AL17" s="430"/>
      <c r="AM17" s="430"/>
      <c r="AN17" s="76" t="str">
        <f t="shared" si="3"/>
        <v>…</v>
      </c>
    </row>
    <row r="18" spans="1:40" ht="20.7" customHeight="1" x14ac:dyDescent="0.3">
      <c r="A18" s="202" t="str">
        <f t="shared" si="4"/>
        <v>77446</v>
      </c>
      <c r="B18" s="426">
        <v>6</v>
      </c>
      <c r="C18" s="426"/>
      <c r="D18" s="430">
        <v>2761025000</v>
      </c>
      <c r="E18" s="430"/>
      <c r="F18" s="430"/>
      <c r="G18" s="430"/>
      <c r="H18" s="430"/>
      <c r="I18" s="430"/>
      <c r="J18" s="76">
        <f t="shared" ref="J18:J24" si="9">IFERROR((G18/D18*100),"…")</f>
        <v>0</v>
      </c>
      <c r="K18" s="430"/>
      <c r="L18" s="430"/>
      <c r="M18" s="430"/>
      <c r="N18" s="76">
        <f t="shared" si="0"/>
        <v>0</v>
      </c>
      <c r="O18" s="202" t="str">
        <f t="shared" si="6"/>
        <v>77446</v>
      </c>
      <c r="P18" s="426">
        <v>6</v>
      </c>
      <c r="Q18" s="426"/>
      <c r="R18" s="430"/>
      <c r="S18" s="430"/>
      <c r="T18" s="430"/>
      <c r="U18" s="430"/>
      <c r="V18" s="430"/>
      <c r="W18" s="430"/>
      <c r="X18" s="441">
        <f t="shared" ref="X18:X23" si="10">R18-U18</f>
        <v>0</v>
      </c>
      <c r="Y18" s="441"/>
      <c r="Z18" s="441"/>
      <c r="AA18" s="430"/>
      <c r="AB18" s="430"/>
      <c r="AC18" s="430"/>
      <c r="AD18" s="76" t="str">
        <f t="shared" ref="AD18:AD24" si="11">IFERROR((AA18/X18*100),"…")</f>
        <v>…</v>
      </c>
      <c r="AE18" s="191" t="str">
        <f t="shared" si="7"/>
        <v>77440</v>
      </c>
      <c r="AF18" s="426">
        <f>L37</f>
        <v>0</v>
      </c>
      <c r="AG18" s="426"/>
      <c r="AH18" s="430"/>
      <c r="AI18" s="430"/>
      <c r="AJ18" s="430"/>
      <c r="AK18" s="430"/>
      <c r="AL18" s="430"/>
      <c r="AM18" s="430"/>
      <c r="AN18" s="76" t="str">
        <f t="shared" si="3"/>
        <v>…</v>
      </c>
    </row>
    <row r="19" spans="1:40" ht="20.7" hidden="1" customHeight="1" x14ac:dyDescent="0.3">
      <c r="A19" s="202" t="str">
        <f t="shared" si="4"/>
        <v>77447</v>
      </c>
      <c r="B19" s="426">
        <v>7</v>
      </c>
      <c r="C19" s="426"/>
      <c r="D19" s="430"/>
      <c r="E19" s="430"/>
      <c r="F19" s="430"/>
      <c r="G19" s="430"/>
      <c r="H19" s="430"/>
      <c r="I19" s="430"/>
      <c r="J19" s="76" t="str">
        <f t="shared" si="9"/>
        <v>…</v>
      </c>
      <c r="K19" s="430"/>
      <c r="L19" s="430"/>
      <c r="M19" s="430"/>
      <c r="N19" s="76" t="str">
        <f t="shared" si="0"/>
        <v>…</v>
      </c>
      <c r="O19" s="202" t="str">
        <f t="shared" si="6"/>
        <v>77447</v>
      </c>
      <c r="P19" s="426">
        <v>7</v>
      </c>
      <c r="Q19" s="426"/>
      <c r="R19" s="430"/>
      <c r="S19" s="430"/>
      <c r="T19" s="430"/>
      <c r="U19" s="430"/>
      <c r="V19" s="430"/>
      <c r="W19" s="430"/>
      <c r="X19" s="441">
        <f t="shared" si="10"/>
        <v>0</v>
      </c>
      <c r="Y19" s="441"/>
      <c r="Z19" s="441"/>
      <c r="AA19" s="430"/>
      <c r="AB19" s="430"/>
      <c r="AC19" s="430"/>
      <c r="AD19" s="76" t="str">
        <f t="shared" si="11"/>
        <v>…</v>
      </c>
      <c r="AF19" s="451" t="s">
        <v>715</v>
      </c>
      <c r="AG19" s="451"/>
      <c r="AH19" s="448">
        <f>SUM(AH13:AJ18)</f>
        <v>0</v>
      </c>
      <c r="AI19" s="448"/>
      <c r="AJ19" s="448"/>
      <c r="AK19" s="448">
        <f>SUM(AK13:AM18)</f>
        <v>0</v>
      </c>
      <c r="AL19" s="448"/>
      <c r="AM19" s="448"/>
      <c r="AN19" s="87" t="str">
        <f>IFERROR((AK19/AH19*100),"…")</f>
        <v>…</v>
      </c>
    </row>
    <row r="20" spans="1:40" ht="20.7" hidden="1" customHeight="1" x14ac:dyDescent="0.3">
      <c r="A20" s="202" t="str">
        <f t="shared" si="4"/>
        <v>77448</v>
      </c>
      <c r="B20" s="426">
        <v>8</v>
      </c>
      <c r="C20" s="426"/>
      <c r="D20" s="430"/>
      <c r="E20" s="430"/>
      <c r="F20" s="430"/>
      <c r="G20" s="430"/>
      <c r="H20" s="430"/>
      <c r="I20" s="430"/>
      <c r="J20" s="76" t="str">
        <f t="shared" si="9"/>
        <v>…</v>
      </c>
      <c r="K20" s="430"/>
      <c r="L20" s="430"/>
      <c r="M20" s="430"/>
      <c r="N20" s="76" t="str">
        <f t="shared" si="0"/>
        <v>…</v>
      </c>
      <c r="O20" s="202" t="str">
        <f t="shared" si="6"/>
        <v>77448</v>
      </c>
      <c r="P20" s="426">
        <v>8</v>
      </c>
      <c r="Q20" s="426"/>
      <c r="R20" s="430"/>
      <c r="S20" s="430"/>
      <c r="T20" s="430"/>
      <c r="U20" s="430"/>
      <c r="V20" s="430"/>
      <c r="W20" s="430"/>
      <c r="X20" s="441">
        <f t="shared" si="10"/>
        <v>0</v>
      </c>
      <c r="Y20" s="441"/>
      <c r="Z20" s="441"/>
      <c r="AA20" s="430"/>
      <c r="AB20" s="430"/>
      <c r="AC20" s="430"/>
      <c r="AD20" s="76" t="str">
        <f t="shared" si="11"/>
        <v>…</v>
      </c>
      <c r="AF20" s="449"/>
      <c r="AG20" s="449"/>
      <c r="AH20" s="450"/>
      <c r="AI20" s="450"/>
      <c r="AJ20" s="450"/>
      <c r="AK20" s="450"/>
      <c r="AL20" s="450"/>
      <c r="AM20" s="450"/>
      <c r="AN20" s="88"/>
    </row>
    <row r="21" spans="1:40" ht="20.7" hidden="1" customHeight="1" x14ac:dyDescent="0.3">
      <c r="A21" s="202" t="str">
        <f t="shared" si="4"/>
        <v>77449</v>
      </c>
      <c r="B21" s="426">
        <v>9</v>
      </c>
      <c r="C21" s="426"/>
      <c r="D21" s="430"/>
      <c r="E21" s="430"/>
      <c r="F21" s="430"/>
      <c r="G21" s="430"/>
      <c r="H21" s="430"/>
      <c r="I21" s="430"/>
      <c r="J21" s="76" t="str">
        <f t="shared" si="9"/>
        <v>…</v>
      </c>
      <c r="K21" s="430"/>
      <c r="L21" s="430"/>
      <c r="M21" s="430"/>
      <c r="N21" s="76" t="str">
        <f t="shared" si="0"/>
        <v>…</v>
      </c>
      <c r="O21" s="202" t="str">
        <f t="shared" si="6"/>
        <v>77449</v>
      </c>
      <c r="P21" s="426">
        <v>9</v>
      </c>
      <c r="Q21" s="426"/>
      <c r="R21" s="430"/>
      <c r="S21" s="430"/>
      <c r="T21" s="430"/>
      <c r="U21" s="430"/>
      <c r="V21" s="430"/>
      <c r="W21" s="430"/>
      <c r="X21" s="441">
        <f t="shared" si="10"/>
        <v>0</v>
      </c>
      <c r="Y21" s="441"/>
      <c r="Z21" s="441"/>
      <c r="AA21" s="430"/>
      <c r="AB21" s="430"/>
      <c r="AC21" s="430"/>
      <c r="AD21" s="76" t="str">
        <f t="shared" si="11"/>
        <v>…</v>
      </c>
      <c r="AF21" s="71"/>
      <c r="AG21" s="71"/>
      <c r="AH21" s="95"/>
      <c r="AI21" s="95"/>
      <c r="AJ21" s="95"/>
      <c r="AK21" s="95"/>
      <c r="AL21" s="95"/>
      <c r="AM21" s="95"/>
      <c r="AN21" s="88"/>
    </row>
    <row r="22" spans="1:40" ht="20.7" hidden="1" customHeight="1" x14ac:dyDescent="0.3">
      <c r="A22" s="202" t="str">
        <f t="shared" si="4"/>
        <v>774410</v>
      </c>
      <c r="B22" s="426">
        <v>10</v>
      </c>
      <c r="C22" s="426"/>
      <c r="D22" s="430"/>
      <c r="E22" s="430"/>
      <c r="F22" s="430"/>
      <c r="G22" s="430"/>
      <c r="H22" s="430"/>
      <c r="I22" s="430"/>
      <c r="J22" s="76" t="str">
        <f t="shared" si="9"/>
        <v>…</v>
      </c>
      <c r="K22" s="430"/>
      <c r="L22" s="430"/>
      <c r="M22" s="430"/>
      <c r="N22" s="76" t="str">
        <f t="shared" si="0"/>
        <v>…</v>
      </c>
      <c r="O22" s="202" t="str">
        <f t="shared" si="6"/>
        <v>774410</v>
      </c>
      <c r="P22" s="426">
        <v>10</v>
      </c>
      <c r="Q22" s="426"/>
      <c r="R22" s="430"/>
      <c r="S22" s="430"/>
      <c r="T22" s="430"/>
      <c r="U22" s="430"/>
      <c r="V22" s="430"/>
      <c r="W22" s="430"/>
      <c r="X22" s="441">
        <f t="shared" si="10"/>
        <v>0</v>
      </c>
      <c r="Y22" s="441"/>
      <c r="Z22" s="441"/>
      <c r="AA22" s="430"/>
      <c r="AB22" s="430"/>
      <c r="AC22" s="430"/>
      <c r="AD22" s="76" t="str">
        <f t="shared" si="11"/>
        <v>…</v>
      </c>
      <c r="AF22" s="71"/>
      <c r="AG22" s="71"/>
      <c r="AH22" s="95"/>
      <c r="AI22" s="95"/>
      <c r="AJ22" s="95"/>
      <c r="AK22" s="95"/>
      <c r="AL22" s="95"/>
      <c r="AM22" s="95"/>
      <c r="AN22" s="88"/>
    </row>
    <row r="23" spans="1:40" ht="20.7" hidden="1" customHeight="1" x14ac:dyDescent="0.3">
      <c r="A23" s="202" t="str">
        <f t="shared" si="4"/>
        <v>774411</v>
      </c>
      <c r="B23" s="426">
        <v>11</v>
      </c>
      <c r="C23" s="426"/>
      <c r="D23" s="430"/>
      <c r="E23" s="430"/>
      <c r="F23" s="430"/>
      <c r="G23" s="430"/>
      <c r="H23" s="430"/>
      <c r="I23" s="430"/>
      <c r="J23" s="76" t="str">
        <f t="shared" si="9"/>
        <v>…</v>
      </c>
      <c r="K23" s="430"/>
      <c r="L23" s="430"/>
      <c r="M23" s="430"/>
      <c r="N23" s="76" t="str">
        <f t="shared" si="0"/>
        <v>…</v>
      </c>
      <c r="O23" s="202" t="str">
        <f t="shared" si="6"/>
        <v>774411</v>
      </c>
      <c r="P23" s="426">
        <v>11</v>
      </c>
      <c r="Q23" s="426"/>
      <c r="R23" s="430"/>
      <c r="S23" s="430"/>
      <c r="T23" s="430"/>
      <c r="U23" s="430"/>
      <c r="V23" s="430"/>
      <c r="W23" s="430"/>
      <c r="X23" s="441">
        <f t="shared" si="10"/>
        <v>0</v>
      </c>
      <c r="Y23" s="441"/>
      <c r="Z23" s="441"/>
      <c r="AA23" s="430"/>
      <c r="AB23" s="430"/>
      <c r="AC23" s="430"/>
      <c r="AD23" s="76" t="str">
        <f t="shared" si="11"/>
        <v>…</v>
      </c>
      <c r="AF23" s="71"/>
      <c r="AG23" s="71"/>
      <c r="AH23" s="95"/>
      <c r="AI23" s="95"/>
      <c r="AJ23" s="95"/>
      <c r="AK23" s="95"/>
      <c r="AL23" s="95"/>
      <c r="AM23" s="95"/>
      <c r="AN23" s="88"/>
    </row>
    <row r="24" spans="1:40" ht="20.7" customHeight="1" x14ac:dyDescent="0.3">
      <c r="A24" s="162"/>
      <c r="B24" s="460" t="s">
        <v>715</v>
      </c>
      <c r="C24" s="460"/>
      <c r="D24" s="461">
        <f>SUM(D13:F23)</f>
        <v>237115305000</v>
      </c>
      <c r="E24" s="461"/>
      <c r="F24" s="461"/>
      <c r="G24" s="461">
        <f>SUM(G13:I23)</f>
        <v>0</v>
      </c>
      <c r="H24" s="461"/>
      <c r="I24" s="461"/>
      <c r="J24" s="76">
        <f t="shared" si="9"/>
        <v>0</v>
      </c>
      <c r="K24" s="461">
        <f>SUM(K13:M23)</f>
        <v>0</v>
      </c>
      <c r="L24" s="461"/>
      <c r="M24" s="461"/>
      <c r="N24" s="76" t="str">
        <f>IFERROR((K24/G24*100),"…")</f>
        <v>…</v>
      </c>
      <c r="P24" s="460" t="s">
        <v>715</v>
      </c>
      <c r="Q24" s="460"/>
      <c r="R24" s="461">
        <f>SUM(R13:T23)</f>
        <v>0</v>
      </c>
      <c r="S24" s="461"/>
      <c r="T24" s="461"/>
      <c r="U24" s="461">
        <f>SUM(U13:W23)</f>
        <v>0</v>
      </c>
      <c r="V24" s="461"/>
      <c r="W24" s="461"/>
      <c r="X24" s="461">
        <f>SUM(X13:Z23)</f>
        <v>0</v>
      </c>
      <c r="Y24" s="461"/>
      <c r="Z24" s="461"/>
      <c r="AA24" s="461">
        <f>SUM(AA13:AC23)</f>
        <v>0</v>
      </c>
      <c r="AB24" s="461"/>
      <c r="AC24" s="461"/>
      <c r="AD24" s="76" t="str">
        <f t="shared" si="11"/>
        <v>…</v>
      </c>
    </row>
    <row r="25" spans="1:40" ht="3.75" customHeight="1" x14ac:dyDescent="0.3">
      <c r="J25" s="154"/>
    </row>
    <row r="26" spans="1:40" ht="20.7" customHeight="1" x14ac:dyDescent="0.3">
      <c r="F26" s="467"/>
      <c r="G26" s="467"/>
    </row>
    <row r="27" spans="1:40" ht="20.7" customHeight="1" x14ac:dyDescent="0.3">
      <c r="B27" s="431" t="s">
        <v>716</v>
      </c>
      <c r="C27" s="431"/>
      <c r="D27" s="431"/>
      <c r="E27" s="431"/>
      <c r="F27" s="431"/>
      <c r="G27" s="431"/>
      <c r="H27" s="431"/>
      <c r="I27" s="431"/>
      <c r="J27" s="431"/>
      <c r="K27" s="431"/>
      <c r="L27" s="431"/>
      <c r="M27" s="431"/>
      <c r="N27" s="431"/>
      <c r="O27" s="431"/>
      <c r="P27" s="431"/>
      <c r="Q27" s="431"/>
      <c r="R27" s="431"/>
      <c r="S27" s="431"/>
      <c r="T27" s="77"/>
      <c r="U27" s="164"/>
      <c r="V27" s="77"/>
      <c r="X27" s="423" t="s">
        <v>717</v>
      </c>
      <c r="Y27" s="423"/>
      <c r="Z27" s="423"/>
      <c r="AA27" s="423"/>
      <c r="AB27" s="423"/>
      <c r="AC27" s="423"/>
      <c r="AD27" s="423"/>
      <c r="AE27" s="423"/>
      <c r="AF27" s="423"/>
      <c r="AG27" s="423"/>
      <c r="AH27" s="423"/>
    </row>
    <row r="28" spans="1:40" ht="20.7" customHeight="1" x14ac:dyDescent="0.3">
      <c r="X28" s="493"/>
      <c r="Y28" s="493"/>
      <c r="Z28" s="493"/>
      <c r="AA28" s="493"/>
      <c r="AB28" s="493"/>
      <c r="AC28" s="493"/>
      <c r="AD28" s="493"/>
      <c r="AE28" s="493"/>
      <c r="AF28" s="493"/>
      <c r="AG28" s="493"/>
      <c r="AH28" s="493"/>
    </row>
    <row r="29" spans="1:40" ht="20.7" customHeight="1" x14ac:dyDescent="0.3">
      <c r="B29" s="466" t="s">
        <v>718</v>
      </c>
      <c r="C29" s="466"/>
      <c r="D29" s="466"/>
      <c r="E29" s="466"/>
      <c r="F29" s="466"/>
      <c r="G29" s="466"/>
      <c r="H29" s="466"/>
      <c r="I29" s="466"/>
      <c r="L29" s="466" t="s">
        <v>719</v>
      </c>
      <c r="M29" s="466"/>
      <c r="N29" s="466"/>
      <c r="O29" s="466"/>
      <c r="P29" s="466"/>
      <c r="Q29" s="466"/>
      <c r="R29" s="466"/>
      <c r="S29" s="466"/>
      <c r="X29" s="493"/>
      <c r="Y29" s="493"/>
      <c r="Z29" s="493"/>
      <c r="AA29" s="493"/>
      <c r="AB29" s="493"/>
      <c r="AC29" s="493"/>
      <c r="AD29" s="493"/>
      <c r="AE29" s="493"/>
      <c r="AF29" s="493"/>
      <c r="AG29" s="493"/>
      <c r="AH29" s="493"/>
    </row>
    <row r="30" spans="1:40" ht="20.7" customHeight="1" x14ac:dyDescent="0.3">
      <c r="X30" s="493"/>
      <c r="Y30" s="493"/>
      <c r="Z30" s="493"/>
      <c r="AA30" s="493"/>
      <c r="AB30" s="493"/>
      <c r="AC30" s="493"/>
      <c r="AD30" s="493"/>
      <c r="AE30" s="493"/>
      <c r="AF30" s="493"/>
      <c r="AG30" s="493"/>
      <c r="AH30" s="493"/>
    </row>
    <row r="31" spans="1:40" ht="20.7" customHeight="1" x14ac:dyDescent="0.3">
      <c r="A31" s="203">
        <f>'Cuadro Control'!C17</f>
        <v>7744</v>
      </c>
      <c r="B31" s="434" t="s">
        <v>3</v>
      </c>
      <c r="C31" s="434"/>
      <c r="D31" s="434" t="s">
        <v>720</v>
      </c>
      <c r="E31" s="434"/>
      <c r="F31" s="434"/>
      <c r="G31" s="434" t="s">
        <v>704</v>
      </c>
      <c r="H31" s="434"/>
      <c r="I31" s="73" t="s">
        <v>708</v>
      </c>
      <c r="K31" s="191">
        <f>'Cuadro Control'!C17</f>
        <v>7744</v>
      </c>
      <c r="L31" s="452" t="s">
        <v>714</v>
      </c>
      <c r="M31" s="452"/>
      <c r="N31" s="198" t="s">
        <v>721</v>
      </c>
      <c r="O31" s="434" t="s">
        <v>720</v>
      </c>
      <c r="P31" s="434"/>
      <c r="Q31" s="434" t="s">
        <v>704</v>
      </c>
      <c r="R31" s="434"/>
      <c r="S31" s="73" t="s">
        <v>708</v>
      </c>
      <c r="X31" s="493"/>
      <c r="Y31" s="493"/>
      <c r="Z31" s="493"/>
      <c r="AA31" s="493"/>
      <c r="AB31" s="493"/>
      <c r="AC31" s="493"/>
      <c r="AD31" s="493"/>
      <c r="AE31" s="493"/>
      <c r="AF31" s="493"/>
      <c r="AG31" s="493"/>
      <c r="AH31" s="493"/>
    </row>
    <row r="32" spans="1:40" ht="20.7" customHeight="1" x14ac:dyDescent="0.3">
      <c r="A32" s="203" t="str">
        <f>$A$31&amp;B32</f>
        <v>77441</v>
      </c>
      <c r="B32" s="426">
        <v>1</v>
      </c>
      <c r="C32" s="426"/>
      <c r="D32" s="463">
        <f>VLOOKUP(A32,'Metas proyecto'!$B$18:$S$23,18,0)</f>
        <v>1</v>
      </c>
      <c r="E32" s="463"/>
      <c r="F32" s="463"/>
      <c r="G32" s="433"/>
      <c r="H32" s="433"/>
      <c r="I32" s="223">
        <f t="shared" ref="I32:I37" si="12">IFERROR((G32/D32*100%),"…")</f>
        <v>0</v>
      </c>
      <c r="K32" s="191" t="str">
        <f>$K$31&amp;L32&amp;N32</f>
        <v>77444143</v>
      </c>
      <c r="L32" s="426">
        <f>'Metas PDD'!E19</f>
        <v>41</v>
      </c>
      <c r="M32" s="426"/>
      <c r="N32" s="199">
        <v>43</v>
      </c>
      <c r="O32" s="428">
        <f>VLOOKUP(K32,'Metas PDD'!$A$19:$R$24,18,0)</f>
        <v>1</v>
      </c>
      <c r="P32" s="428"/>
      <c r="Q32" s="494"/>
      <c r="R32" s="494"/>
      <c r="S32" s="76">
        <f>IFERROR((Q32/O32*100),"…")</f>
        <v>0</v>
      </c>
      <c r="X32" s="493"/>
      <c r="Y32" s="493"/>
      <c r="Z32" s="493"/>
      <c r="AA32" s="493"/>
      <c r="AB32" s="493"/>
      <c r="AC32" s="493"/>
      <c r="AD32" s="493"/>
      <c r="AE32" s="493"/>
      <c r="AF32" s="493"/>
      <c r="AG32" s="493"/>
      <c r="AH32" s="493"/>
    </row>
    <row r="33" spans="1:34" ht="20.7" customHeight="1" x14ac:dyDescent="0.3">
      <c r="A33" s="203" t="str">
        <f t="shared" ref="A33:A42" si="13">$A$31&amp;B33</f>
        <v>77442</v>
      </c>
      <c r="B33" s="426">
        <v>2</v>
      </c>
      <c r="C33" s="426"/>
      <c r="D33" s="463">
        <f>VLOOKUP(A33,'Metas proyecto'!$B$18:$S$23,18,0)</f>
        <v>71000</v>
      </c>
      <c r="E33" s="463"/>
      <c r="F33" s="463"/>
      <c r="G33" s="425"/>
      <c r="H33" s="425"/>
      <c r="I33" s="224">
        <f t="shared" si="12"/>
        <v>0</v>
      </c>
      <c r="K33" s="191" t="str">
        <f t="shared" ref="K33:K37" si="14">$K$31&amp;L33&amp;N33</f>
        <v>77444244</v>
      </c>
      <c r="L33" s="426">
        <f>'Metas PDD'!E20</f>
        <v>42</v>
      </c>
      <c r="M33" s="426"/>
      <c r="N33" s="199">
        <v>44</v>
      </c>
      <c r="O33" s="428">
        <f>VLOOKUP(K33,'Metas PDD'!$A$19:$R$24,18,0)</f>
        <v>71000</v>
      </c>
      <c r="P33" s="428"/>
      <c r="Q33" s="496"/>
      <c r="R33" s="496"/>
      <c r="S33" s="76">
        <f t="shared" ref="S33:S35" si="15">IFERROR((Q33/O33*100),"…")</f>
        <v>0</v>
      </c>
      <c r="X33" s="493"/>
      <c r="Y33" s="493"/>
      <c r="Z33" s="493"/>
      <c r="AA33" s="493"/>
      <c r="AB33" s="493"/>
      <c r="AC33" s="493"/>
      <c r="AD33" s="493"/>
      <c r="AE33" s="493"/>
      <c r="AF33" s="493"/>
      <c r="AG33" s="493"/>
      <c r="AH33" s="493"/>
    </row>
    <row r="34" spans="1:34" ht="20.7" customHeight="1" x14ac:dyDescent="0.3">
      <c r="A34" s="203" t="str">
        <f t="shared" si="13"/>
        <v>77443</v>
      </c>
      <c r="B34" s="426">
        <v>3</v>
      </c>
      <c r="C34" s="426"/>
      <c r="D34" s="463">
        <f>VLOOKUP(A34,'Metas proyecto'!$B$18:$S$23,18,0)</f>
        <v>20700</v>
      </c>
      <c r="E34" s="463"/>
      <c r="F34" s="463"/>
      <c r="G34" s="425"/>
      <c r="H34" s="425"/>
      <c r="I34" s="224">
        <f t="shared" si="12"/>
        <v>0</v>
      </c>
      <c r="K34" s="191" t="str">
        <f t="shared" si="14"/>
        <v>77444345</v>
      </c>
      <c r="L34" s="426">
        <f>'Metas PDD'!E21</f>
        <v>43</v>
      </c>
      <c r="M34" s="426"/>
      <c r="N34" s="199">
        <v>45</v>
      </c>
      <c r="O34" s="428">
        <f>VLOOKUP(K34,'Metas PDD'!$A$19:$R$24,18,0)</f>
        <v>17500</v>
      </c>
      <c r="P34" s="428"/>
      <c r="Q34" s="465"/>
      <c r="R34" s="465"/>
      <c r="S34" s="76">
        <f t="shared" si="15"/>
        <v>0</v>
      </c>
      <c r="X34" s="493"/>
      <c r="Y34" s="493"/>
      <c r="Z34" s="493"/>
      <c r="AA34" s="493"/>
      <c r="AB34" s="493"/>
      <c r="AC34" s="493"/>
      <c r="AD34" s="493"/>
      <c r="AE34" s="493"/>
      <c r="AF34" s="493"/>
      <c r="AG34" s="493"/>
      <c r="AH34" s="493"/>
    </row>
    <row r="35" spans="1:34" ht="20.7" customHeight="1" x14ac:dyDescent="0.3">
      <c r="A35" s="203" t="str">
        <f t="shared" si="13"/>
        <v>77444</v>
      </c>
      <c r="B35" s="426">
        <v>4</v>
      </c>
      <c r="C35" s="426"/>
      <c r="D35" s="463">
        <f>VLOOKUP(A35,'Metas proyecto'!$B$18:$S$23,18,0)</f>
        <v>1</v>
      </c>
      <c r="E35" s="463"/>
      <c r="F35" s="463"/>
      <c r="G35" s="425"/>
      <c r="H35" s="425"/>
      <c r="I35" s="224">
        <f t="shared" si="12"/>
        <v>0</v>
      </c>
      <c r="K35" s="191" t="str">
        <f t="shared" si="14"/>
        <v>77444749</v>
      </c>
      <c r="L35" s="426">
        <f>'Metas PDD'!E22</f>
        <v>47</v>
      </c>
      <c r="M35" s="426"/>
      <c r="N35" s="199">
        <v>49</v>
      </c>
      <c r="O35" s="428">
        <f>VLOOKUP(K35,'Metas PDD'!$A$19:$R$24,18,0)</f>
        <v>8300</v>
      </c>
      <c r="P35" s="428"/>
      <c r="Q35" s="465"/>
      <c r="R35" s="465"/>
      <c r="S35" s="76">
        <f t="shared" si="15"/>
        <v>0</v>
      </c>
      <c r="X35" s="493"/>
      <c r="Y35" s="493"/>
      <c r="Z35" s="493"/>
      <c r="AA35" s="493"/>
      <c r="AB35" s="493"/>
      <c r="AC35" s="493"/>
      <c r="AD35" s="493"/>
      <c r="AE35" s="493"/>
      <c r="AF35" s="493"/>
      <c r="AG35" s="493"/>
      <c r="AH35" s="493"/>
    </row>
    <row r="36" spans="1:34" ht="20.7" customHeight="1" x14ac:dyDescent="0.3">
      <c r="A36" s="203" t="str">
        <f t="shared" si="13"/>
        <v>77445</v>
      </c>
      <c r="B36" s="426">
        <v>5</v>
      </c>
      <c r="C36" s="426"/>
      <c r="D36" s="463">
        <f>VLOOKUP(A36,'Metas proyecto'!$B$18:$S$23,18,0)</f>
        <v>21200</v>
      </c>
      <c r="E36" s="463"/>
      <c r="F36" s="463"/>
      <c r="G36" s="425"/>
      <c r="H36" s="425"/>
      <c r="I36" s="224">
        <f t="shared" si="12"/>
        <v>0</v>
      </c>
      <c r="K36" s="191" t="str">
        <f t="shared" si="14"/>
        <v>7744</v>
      </c>
      <c r="L36" s="426"/>
      <c r="M36" s="426"/>
      <c r="N36" s="201"/>
      <c r="O36" s="429"/>
      <c r="P36" s="429"/>
      <c r="Q36" s="447"/>
      <c r="R36" s="447"/>
      <c r="S36" s="76"/>
      <c r="X36" s="493"/>
      <c r="Y36" s="493"/>
      <c r="Z36" s="493"/>
      <c r="AA36" s="493"/>
      <c r="AB36" s="493"/>
      <c r="AC36" s="493"/>
      <c r="AD36" s="493"/>
      <c r="AE36" s="493"/>
      <c r="AF36" s="493"/>
      <c r="AG36" s="493"/>
      <c r="AH36" s="493"/>
    </row>
    <row r="37" spans="1:34" ht="20.7" customHeight="1" x14ac:dyDescent="0.3">
      <c r="A37" s="203" t="str">
        <f t="shared" si="13"/>
        <v>77446</v>
      </c>
      <c r="B37" s="426">
        <v>6</v>
      </c>
      <c r="C37" s="426"/>
      <c r="D37" s="463">
        <f>VLOOKUP(A37,'Metas proyecto'!$B$18:$S$23,18,0)</f>
        <v>8300</v>
      </c>
      <c r="E37" s="463"/>
      <c r="F37" s="463"/>
      <c r="G37" s="465"/>
      <c r="H37" s="465"/>
      <c r="I37" s="223">
        <f t="shared" si="12"/>
        <v>0</v>
      </c>
      <c r="K37" s="191" t="str">
        <f t="shared" si="14"/>
        <v>7744</v>
      </c>
      <c r="L37" s="426"/>
      <c r="M37" s="426"/>
      <c r="N37" s="200"/>
      <c r="O37" s="429"/>
      <c r="P37" s="429"/>
      <c r="Q37" s="495"/>
      <c r="R37" s="495"/>
      <c r="S37" s="76"/>
      <c r="X37" s="493"/>
      <c r="Y37" s="493"/>
      <c r="Z37" s="493"/>
      <c r="AA37" s="493"/>
      <c r="AB37" s="493"/>
      <c r="AC37" s="493"/>
      <c r="AD37" s="493"/>
      <c r="AE37" s="493"/>
      <c r="AF37" s="493"/>
      <c r="AG37" s="493"/>
      <c r="AH37" s="493"/>
    </row>
    <row r="38" spans="1:34" ht="20.7" hidden="1" customHeight="1" x14ac:dyDescent="0.3">
      <c r="A38" s="203" t="str">
        <f t="shared" si="13"/>
        <v>77447</v>
      </c>
      <c r="B38" s="426">
        <v>7</v>
      </c>
      <c r="C38" s="426"/>
      <c r="D38" s="424" t="e">
        <f>VLOOKUP(A38,'Metas proyecto'!$B$18:$S$23,18,0)</f>
        <v>#N/A</v>
      </c>
      <c r="E38" s="424"/>
      <c r="F38" s="424"/>
      <c r="G38" s="464"/>
      <c r="H38" s="464"/>
      <c r="I38" s="76" t="str">
        <f>IFERROR((G38/D38*100),"…")</f>
        <v>…</v>
      </c>
      <c r="L38" s="71"/>
      <c r="M38" s="71"/>
      <c r="N38" s="99"/>
      <c r="O38" s="99"/>
      <c r="P38" s="99"/>
      <c r="Q38" s="100"/>
      <c r="R38" s="100"/>
      <c r="S38" s="88"/>
      <c r="X38" s="493"/>
      <c r="Y38" s="493"/>
      <c r="Z38" s="493"/>
      <c r="AA38" s="493"/>
      <c r="AB38" s="493"/>
      <c r="AC38" s="493"/>
      <c r="AD38" s="493"/>
      <c r="AE38" s="493"/>
      <c r="AF38" s="493"/>
      <c r="AG38" s="493"/>
      <c r="AH38" s="493"/>
    </row>
    <row r="39" spans="1:34" ht="20.7" hidden="1" customHeight="1" x14ac:dyDescent="0.3">
      <c r="A39" s="203" t="str">
        <f t="shared" si="13"/>
        <v>77448</v>
      </c>
      <c r="B39" s="426">
        <v>8</v>
      </c>
      <c r="C39" s="426"/>
      <c r="D39" s="424" t="e">
        <f>VLOOKUP(A39,'Metas proyecto'!$B$18:$S$23,18,0)</f>
        <v>#N/A</v>
      </c>
      <c r="E39" s="424"/>
      <c r="F39" s="424"/>
      <c r="G39" s="433"/>
      <c r="H39" s="433"/>
      <c r="I39" s="76" t="str">
        <f>IFERROR((G39/D39*100),"…")</f>
        <v>…</v>
      </c>
      <c r="K39" s="163"/>
      <c r="O39" s="492"/>
      <c r="P39" s="492"/>
      <c r="Q39" s="492"/>
      <c r="R39" s="492"/>
      <c r="S39" s="492"/>
      <c r="T39" s="492"/>
      <c r="U39" s="492"/>
      <c r="V39" s="492"/>
      <c r="X39" s="493"/>
      <c r="Y39" s="493"/>
      <c r="Z39" s="493"/>
      <c r="AA39" s="493"/>
      <c r="AB39" s="493"/>
      <c r="AC39" s="493"/>
      <c r="AD39" s="493"/>
      <c r="AE39" s="493"/>
      <c r="AF39" s="493"/>
      <c r="AG39" s="493"/>
      <c r="AH39" s="493"/>
    </row>
    <row r="40" spans="1:34" ht="20.7" hidden="1" customHeight="1" x14ac:dyDescent="0.3">
      <c r="A40" s="203" t="str">
        <f t="shared" si="13"/>
        <v>77449</v>
      </c>
      <c r="B40" s="426">
        <v>9</v>
      </c>
      <c r="C40" s="426"/>
      <c r="D40" s="424" t="e">
        <f>VLOOKUP(A40,'Metas proyecto'!$B$18:$S$23,18,0)</f>
        <v>#N/A</v>
      </c>
      <c r="E40" s="424"/>
      <c r="F40" s="424"/>
      <c r="G40" s="462"/>
      <c r="H40" s="462"/>
      <c r="I40" s="76" t="str">
        <f>IFERROR((G40/D40*100),"…")</f>
        <v>…</v>
      </c>
      <c r="X40" s="493"/>
      <c r="Y40" s="493"/>
      <c r="Z40" s="493"/>
      <c r="AA40" s="493"/>
      <c r="AB40" s="493"/>
      <c r="AC40" s="493"/>
      <c r="AD40" s="493"/>
      <c r="AE40" s="493"/>
      <c r="AF40" s="493"/>
      <c r="AG40" s="493"/>
      <c r="AH40" s="493"/>
    </row>
    <row r="41" spans="1:34" ht="27.75" hidden="1" customHeight="1" x14ac:dyDescent="0.3">
      <c r="A41" s="203" t="str">
        <f t="shared" si="13"/>
        <v>774410</v>
      </c>
      <c r="B41" s="426">
        <v>10</v>
      </c>
      <c r="C41" s="426"/>
      <c r="D41" s="424" t="e">
        <f>VLOOKUP(A41,'Metas proyecto'!$B$18:$S$23,18,0)</f>
        <v>#N/A</v>
      </c>
      <c r="E41" s="424"/>
      <c r="F41" s="424"/>
      <c r="G41" s="462"/>
      <c r="H41" s="462"/>
      <c r="I41" s="76" t="str">
        <f>IFERROR((G41/D41*100),"…")</f>
        <v>…</v>
      </c>
      <c r="O41" s="189"/>
      <c r="P41" s="491"/>
      <c r="Q41" s="491"/>
      <c r="R41" s="189"/>
      <c r="S41" s="189"/>
      <c r="T41" s="189"/>
      <c r="U41" s="189"/>
      <c r="V41" s="189"/>
      <c r="X41" s="493"/>
      <c r="Y41" s="493"/>
      <c r="Z41" s="493"/>
      <c r="AA41" s="493"/>
      <c r="AB41" s="493"/>
      <c r="AC41" s="493"/>
      <c r="AD41" s="493"/>
      <c r="AE41" s="493"/>
      <c r="AF41" s="493"/>
      <c r="AG41" s="493"/>
      <c r="AH41" s="493"/>
    </row>
    <row r="42" spans="1:34" ht="20.7" hidden="1" customHeight="1" x14ac:dyDescent="0.3">
      <c r="A42" s="203" t="str">
        <f t="shared" si="13"/>
        <v>774411</v>
      </c>
      <c r="B42" s="426">
        <v>11</v>
      </c>
      <c r="C42" s="426"/>
      <c r="D42" s="424" t="e">
        <f>VLOOKUP(A42,'Metas proyecto'!$B$18:$S$23,18,0)</f>
        <v>#N/A</v>
      </c>
      <c r="E42" s="424"/>
      <c r="F42" s="424"/>
      <c r="G42" s="433"/>
      <c r="H42" s="433"/>
      <c r="I42" s="76" t="str">
        <f>IFERROR((G42/D42*100),"…")</f>
        <v>…</v>
      </c>
      <c r="O42" s="184"/>
      <c r="P42" s="443"/>
      <c r="Q42" s="443"/>
      <c r="R42" s="185"/>
      <c r="S42" s="186"/>
      <c r="T42" s="187"/>
      <c r="U42" s="187"/>
      <c r="V42" s="188"/>
      <c r="X42" s="493"/>
      <c r="Y42" s="493"/>
      <c r="Z42" s="493"/>
      <c r="AA42" s="493"/>
      <c r="AB42" s="493"/>
      <c r="AC42" s="493"/>
      <c r="AD42" s="493"/>
      <c r="AE42" s="493"/>
      <c r="AF42" s="493"/>
      <c r="AG42" s="493"/>
      <c r="AH42" s="493"/>
    </row>
    <row r="43" spans="1:34" ht="20.7" customHeight="1" x14ac:dyDescent="0.3">
      <c r="I43" s="221"/>
      <c r="O43" s="443"/>
      <c r="P43" s="443"/>
      <c r="Q43" s="443"/>
      <c r="R43" s="185"/>
      <c r="S43" s="186"/>
      <c r="T43" s="187"/>
      <c r="U43" s="187"/>
      <c r="V43" s="188"/>
      <c r="X43" s="493"/>
      <c r="Y43" s="493"/>
      <c r="Z43" s="493"/>
      <c r="AA43" s="493"/>
      <c r="AB43" s="493"/>
      <c r="AC43" s="493"/>
      <c r="AD43" s="493"/>
      <c r="AE43" s="493"/>
      <c r="AF43" s="493"/>
      <c r="AG43" s="493"/>
      <c r="AH43" s="493"/>
    </row>
    <row r="44" spans="1:34" ht="20.7" customHeight="1" x14ac:dyDescent="0.3">
      <c r="B44" s="431" t="s">
        <v>722</v>
      </c>
      <c r="C44" s="431"/>
      <c r="D44" s="431"/>
      <c r="E44" s="431"/>
      <c r="F44" s="431"/>
      <c r="G44" s="431"/>
      <c r="H44" s="431"/>
      <c r="I44" s="431"/>
      <c r="J44" s="431"/>
      <c r="K44" s="431"/>
      <c r="L44" s="431"/>
      <c r="M44" s="431"/>
      <c r="O44" s="443"/>
      <c r="P44" s="443"/>
      <c r="Q44" s="443"/>
      <c r="R44" s="185"/>
      <c r="S44" s="186"/>
      <c r="T44" s="187"/>
      <c r="U44" s="187"/>
      <c r="V44" s="188"/>
      <c r="X44" s="493"/>
      <c r="Y44" s="493"/>
      <c r="Z44" s="493"/>
      <c r="AA44" s="493"/>
      <c r="AB44" s="493"/>
      <c r="AC44" s="493"/>
      <c r="AD44" s="493"/>
      <c r="AE44" s="493"/>
      <c r="AF44" s="493"/>
      <c r="AG44" s="493"/>
      <c r="AH44" s="493"/>
    </row>
    <row r="45" spans="1:34" ht="20.7" customHeight="1" x14ac:dyDescent="0.3">
      <c r="O45" s="443"/>
      <c r="P45" s="427"/>
      <c r="Q45" s="427"/>
      <c r="R45" s="185"/>
      <c r="S45" s="186"/>
      <c r="T45" s="187"/>
      <c r="U45" s="187"/>
      <c r="V45" s="188"/>
      <c r="X45" s="493"/>
      <c r="Y45" s="493"/>
      <c r="Z45" s="493"/>
      <c r="AA45" s="493"/>
      <c r="AB45" s="493"/>
      <c r="AC45" s="493"/>
      <c r="AD45" s="493"/>
      <c r="AE45" s="493"/>
      <c r="AF45" s="493"/>
      <c r="AG45" s="493"/>
      <c r="AH45" s="493"/>
    </row>
    <row r="46" spans="1:34" ht="20.7" customHeight="1" x14ac:dyDescent="0.3">
      <c r="A46" s="191">
        <f>'Cuadro Control'!C17</f>
        <v>7744</v>
      </c>
      <c r="B46" s="434" t="s">
        <v>723</v>
      </c>
      <c r="C46" s="434"/>
      <c r="D46" s="434" t="s">
        <v>724</v>
      </c>
      <c r="E46" s="434"/>
      <c r="F46" s="434"/>
      <c r="G46" s="434"/>
      <c r="H46" s="434" t="s">
        <v>720</v>
      </c>
      <c r="I46" s="434"/>
      <c r="J46" s="434"/>
      <c r="K46" s="434" t="s">
        <v>704</v>
      </c>
      <c r="L46" s="434"/>
      <c r="M46" s="73" t="s">
        <v>708</v>
      </c>
      <c r="N46" s="91"/>
      <c r="O46" s="443"/>
      <c r="P46" s="427"/>
      <c r="Q46" s="427"/>
      <c r="R46" s="185"/>
      <c r="S46" s="186"/>
      <c r="T46" s="187"/>
      <c r="U46" s="187"/>
      <c r="V46" s="188"/>
      <c r="X46" s="493"/>
      <c r="Y46" s="493"/>
      <c r="Z46" s="493"/>
      <c r="AA46" s="493"/>
      <c r="AB46" s="493"/>
      <c r="AC46" s="493"/>
      <c r="AD46" s="493"/>
      <c r="AE46" s="493"/>
      <c r="AF46" s="493"/>
      <c r="AG46" s="493"/>
      <c r="AH46" s="493"/>
    </row>
    <row r="47" spans="1:34" ht="46.5" customHeight="1" x14ac:dyDescent="0.3">
      <c r="A47" s="191" t="str">
        <f>$A$46&amp;B47</f>
        <v>77444102035</v>
      </c>
      <c r="B47" s="426">
        <f>'Productos MGA'!G18</f>
        <v>4102035</v>
      </c>
      <c r="C47" s="426"/>
      <c r="D47" s="435" t="str">
        <f>VLOOKUP(A47,ESTRATÉGICO!$A$3:$AA$110,23,0)</f>
        <v>Documentos de lineamientos técnicos</v>
      </c>
      <c r="E47" s="435"/>
      <c r="F47" s="435"/>
      <c r="G47" s="435"/>
      <c r="H47" s="435">
        <f>VLOOKUP(A47,'Productos MGA'!$B$18:$P$24,15,0)</f>
        <v>1</v>
      </c>
      <c r="I47" s="435"/>
      <c r="J47" s="435"/>
      <c r="K47" s="432"/>
      <c r="L47" s="432"/>
      <c r="M47" s="87">
        <f t="shared" ref="M47:M53" si="16">IFERROR((K47/H47*100),"…")</f>
        <v>0</v>
      </c>
      <c r="O47" s="443"/>
      <c r="P47" s="427"/>
      <c r="Q47" s="427"/>
      <c r="R47" s="185"/>
      <c r="S47" s="186"/>
      <c r="T47" s="187"/>
      <c r="U47" s="187"/>
      <c r="V47" s="188"/>
      <c r="X47" s="493"/>
      <c r="Y47" s="493"/>
      <c r="Z47" s="493"/>
      <c r="AA47" s="493"/>
      <c r="AB47" s="493"/>
      <c r="AC47" s="493"/>
      <c r="AD47" s="493"/>
      <c r="AE47" s="493"/>
      <c r="AF47" s="493"/>
      <c r="AG47" s="493"/>
      <c r="AH47" s="493"/>
    </row>
    <row r="48" spans="1:34" ht="48" customHeight="1" x14ac:dyDescent="0.3">
      <c r="A48" s="191" t="str">
        <f t="shared" ref="A48:A53" si="17">$A$46&amp;B48</f>
        <v>77444102001</v>
      </c>
      <c r="B48" s="426" t="str">
        <f>'Productos MGA'!G19</f>
        <v>4102001</v>
      </c>
      <c r="C48" s="426"/>
      <c r="D48" s="435" t="str">
        <f>VLOOKUP(A48,ESTRATÉGICO!$A$3:$AA$110,23,0)</f>
        <v>Servicio de atención integral a la primera infancia</v>
      </c>
      <c r="E48" s="435"/>
      <c r="F48" s="435"/>
      <c r="G48" s="435"/>
      <c r="H48" s="435">
        <f>VLOOKUP(A48,'Productos MGA'!$B$18:$P$24,15,0)</f>
        <v>71000</v>
      </c>
      <c r="I48" s="435"/>
      <c r="J48" s="435"/>
      <c r="K48" s="432"/>
      <c r="L48" s="432"/>
      <c r="M48" s="87">
        <f t="shared" si="16"/>
        <v>0</v>
      </c>
      <c r="O48" s="443"/>
      <c r="P48" s="427"/>
      <c r="Q48" s="427"/>
      <c r="R48" s="185"/>
      <c r="S48" s="186"/>
      <c r="T48" s="187"/>
      <c r="U48" s="187"/>
      <c r="V48" s="188"/>
      <c r="X48" s="493"/>
      <c r="Y48" s="493"/>
      <c r="Z48" s="493"/>
      <c r="AA48" s="493"/>
      <c r="AB48" s="493"/>
      <c r="AC48" s="493"/>
      <c r="AD48" s="493"/>
      <c r="AE48" s="493"/>
      <c r="AF48" s="493"/>
      <c r="AG48" s="493"/>
      <c r="AH48" s="493"/>
    </row>
    <row r="49" spans="1:42" ht="87.75" customHeight="1" x14ac:dyDescent="0.3">
      <c r="A49" s="191" t="str">
        <f t="shared" si="17"/>
        <v>77444102045</v>
      </c>
      <c r="B49" s="426">
        <f>'Productos MGA'!G20</f>
        <v>4102045</v>
      </c>
      <c r="C49" s="426"/>
      <c r="D49" s="435" t="str">
        <f>VLOOKUP(A49,ESTRATÉGICO!$A$3:$AA$110,23,0)</f>
        <v>Servicios de educación informal a niños, niñas, adolescentes y jóvenes para el reconocimiento de sus derechos</v>
      </c>
      <c r="E49" s="435"/>
      <c r="F49" s="435"/>
      <c r="G49" s="435"/>
      <c r="H49" s="435">
        <f>VLOOKUP(A49,'Productos MGA'!$B$18:$P$24,15,0)</f>
        <v>21200</v>
      </c>
      <c r="I49" s="435"/>
      <c r="J49" s="435"/>
      <c r="K49" s="432"/>
      <c r="L49" s="432"/>
      <c r="M49" s="87">
        <f t="shared" si="16"/>
        <v>0</v>
      </c>
      <c r="N49" s="71"/>
      <c r="O49" s="443"/>
      <c r="P49" s="427"/>
      <c r="Q49" s="427"/>
      <c r="R49" s="185"/>
      <c r="S49" s="186"/>
      <c r="T49" s="187"/>
      <c r="U49" s="187"/>
      <c r="V49" s="188"/>
      <c r="X49" s="493"/>
      <c r="Y49" s="493"/>
      <c r="Z49" s="493"/>
      <c r="AA49" s="493"/>
      <c r="AB49" s="493"/>
      <c r="AC49" s="493"/>
      <c r="AD49" s="493"/>
      <c r="AE49" s="493"/>
      <c r="AF49" s="493"/>
      <c r="AG49" s="493"/>
      <c r="AH49" s="493"/>
    </row>
    <row r="50" spans="1:42" ht="91.5" customHeight="1" x14ac:dyDescent="0.3">
      <c r="A50" s="191" t="str">
        <f t="shared" si="17"/>
        <v>77444102038</v>
      </c>
      <c r="B50" s="426">
        <f>'Productos MGA'!G21</f>
        <v>4102038</v>
      </c>
      <c r="C50" s="426"/>
      <c r="D50" s="435" t="str">
        <f>VLOOKUP(A50,ESTRATÉGICO!$A$3:$AA$110,23,0)</f>
        <v>Servicio dirigidos a la atención de niños, niñas, adolescentes y jóvenes, con enfoque pedagógico y restaurativo encaminados a la inclusión social</v>
      </c>
      <c r="E50" s="435"/>
      <c r="F50" s="435"/>
      <c r="G50" s="435"/>
      <c r="H50" s="435">
        <f>VLOOKUP(A50,'Productos MGA'!$B$18:$P$24,15,0)</f>
        <v>825</v>
      </c>
      <c r="I50" s="435"/>
      <c r="J50" s="435"/>
      <c r="K50" s="432"/>
      <c r="L50" s="432"/>
      <c r="M50" s="87">
        <f t="shared" si="16"/>
        <v>0</v>
      </c>
      <c r="N50" s="71"/>
      <c r="O50" s="443"/>
      <c r="P50" s="427"/>
      <c r="Q50" s="427"/>
      <c r="R50" s="185"/>
      <c r="S50" s="186"/>
      <c r="T50" s="187"/>
      <c r="U50" s="187"/>
      <c r="V50" s="188"/>
      <c r="X50" s="493"/>
      <c r="Y50" s="493"/>
      <c r="Z50" s="493"/>
      <c r="AA50" s="493"/>
      <c r="AB50" s="493"/>
      <c r="AC50" s="493"/>
      <c r="AD50" s="493"/>
      <c r="AE50" s="493"/>
      <c r="AF50" s="493"/>
      <c r="AG50" s="493"/>
      <c r="AH50" s="493"/>
    </row>
    <row r="51" spans="1:42" ht="42.6" hidden="1" customHeight="1" x14ac:dyDescent="0.3">
      <c r="A51" s="191" t="str">
        <f t="shared" si="17"/>
        <v>77440</v>
      </c>
      <c r="B51" s="426">
        <f>'Productos MGA'!G22</f>
        <v>0</v>
      </c>
      <c r="C51" s="426"/>
      <c r="D51" s="435" t="e">
        <f>VLOOKUP(A51,ESTRATÉGICO!$A$3:$AA$110,23,0)</f>
        <v>#N/A</v>
      </c>
      <c r="E51" s="435"/>
      <c r="F51" s="435"/>
      <c r="G51" s="435"/>
      <c r="H51" s="435" t="e">
        <f>VLOOKUP(A51,'Productos MGA'!$B$18:$P$24,15,0)</f>
        <v>#N/A</v>
      </c>
      <c r="I51" s="435"/>
      <c r="J51" s="435"/>
      <c r="K51" s="432"/>
      <c r="L51" s="432"/>
      <c r="M51" s="87" t="str">
        <f t="shared" si="16"/>
        <v>…</v>
      </c>
      <c r="N51" s="71"/>
      <c r="O51" s="443"/>
      <c r="P51" s="427"/>
      <c r="Q51" s="427"/>
      <c r="R51" s="185"/>
      <c r="S51" s="186"/>
      <c r="T51" s="187"/>
      <c r="U51" s="187"/>
      <c r="V51" s="188"/>
      <c r="X51" s="493"/>
      <c r="Y51" s="493"/>
      <c r="Z51" s="493"/>
      <c r="AA51" s="493"/>
      <c r="AB51" s="493"/>
      <c r="AC51" s="493"/>
      <c r="AD51" s="493"/>
      <c r="AE51" s="493"/>
      <c r="AF51" s="493"/>
      <c r="AG51" s="493"/>
      <c r="AH51" s="493"/>
    </row>
    <row r="52" spans="1:42" ht="49.5" hidden="1" customHeight="1" x14ac:dyDescent="0.3">
      <c r="A52" s="191" t="str">
        <f t="shared" si="17"/>
        <v>77440</v>
      </c>
      <c r="B52" s="426">
        <f>'Productos MGA'!G23</f>
        <v>0</v>
      </c>
      <c r="C52" s="426"/>
      <c r="D52" s="435" t="e">
        <f>VLOOKUP(A52,ESTRATÉGICO!$A$3:$AA$110,23,0)</f>
        <v>#N/A</v>
      </c>
      <c r="E52" s="435"/>
      <c r="F52" s="435"/>
      <c r="G52" s="435"/>
      <c r="H52" s="435" t="e">
        <f>VLOOKUP(A52,'Productos MGA'!$B$18:$P$24,15,0)</f>
        <v>#N/A</v>
      </c>
      <c r="I52" s="435"/>
      <c r="J52" s="435"/>
      <c r="K52" s="432"/>
      <c r="L52" s="432"/>
      <c r="M52" s="87" t="str">
        <f t="shared" si="16"/>
        <v>…</v>
      </c>
      <c r="N52" s="71"/>
      <c r="O52" s="427"/>
      <c r="P52" s="427"/>
      <c r="Q52" s="427"/>
      <c r="R52" s="185"/>
      <c r="S52" s="186"/>
      <c r="T52" s="187"/>
      <c r="U52" s="187"/>
      <c r="V52" s="188"/>
    </row>
    <row r="53" spans="1:42" ht="42.6" hidden="1" customHeight="1" x14ac:dyDescent="0.3">
      <c r="A53" s="191" t="str">
        <f t="shared" si="17"/>
        <v>77440</v>
      </c>
      <c r="B53" s="426">
        <f>'Productos MGA'!G24</f>
        <v>0</v>
      </c>
      <c r="C53" s="426"/>
      <c r="D53" s="435" t="e">
        <f>VLOOKUP(A53,ESTRATÉGICO!$A$3:$AA$110,23,0)</f>
        <v>#N/A</v>
      </c>
      <c r="E53" s="435"/>
      <c r="F53" s="435"/>
      <c r="G53" s="435"/>
      <c r="H53" s="435" t="e">
        <f>VLOOKUP(A53,'Productos MGA'!$B$18:$P$24,15,0)</f>
        <v>#N/A</v>
      </c>
      <c r="I53" s="435"/>
      <c r="J53" s="435"/>
      <c r="K53" s="432"/>
      <c r="L53" s="432"/>
      <c r="M53" s="76" t="str">
        <f t="shared" si="16"/>
        <v>…</v>
      </c>
      <c r="N53" s="71"/>
      <c r="O53" s="427"/>
      <c r="P53" s="427"/>
      <c r="Q53" s="427"/>
      <c r="R53" s="185"/>
      <c r="S53" s="186"/>
      <c r="T53" s="187"/>
      <c r="U53" s="187"/>
      <c r="V53" s="188"/>
    </row>
    <row r="54" spans="1:42" ht="29.25" customHeight="1" x14ac:dyDescent="0.3">
      <c r="B54" s="70"/>
      <c r="C54" s="70"/>
      <c r="D54" s="156"/>
      <c r="E54" s="156"/>
      <c r="F54" s="156"/>
      <c r="G54" s="156"/>
      <c r="H54" s="98"/>
      <c r="I54" s="98"/>
      <c r="J54" s="98"/>
      <c r="K54" s="98"/>
      <c r="L54" s="98"/>
      <c r="M54" s="97"/>
      <c r="N54" s="71"/>
      <c r="O54" s="184"/>
      <c r="P54" s="427"/>
      <c r="Q54" s="427"/>
      <c r="R54" s="185"/>
      <c r="S54" s="186"/>
      <c r="T54" s="187"/>
      <c r="U54" s="187"/>
      <c r="V54" s="188"/>
    </row>
    <row r="55" spans="1:42" ht="28.5" customHeight="1" x14ac:dyDescent="0.3">
      <c r="B55" s="70"/>
      <c r="C55" s="70"/>
      <c r="D55" s="156"/>
      <c r="E55" s="156"/>
      <c r="F55" s="156"/>
      <c r="G55" s="156"/>
      <c r="H55" s="98"/>
      <c r="I55" s="98"/>
      <c r="J55" s="98"/>
      <c r="K55" s="98"/>
      <c r="L55" s="98"/>
      <c r="M55" s="97"/>
      <c r="N55" s="71"/>
      <c r="O55" s="443"/>
      <c r="P55" s="427"/>
      <c r="Q55" s="427"/>
      <c r="R55" s="185"/>
      <c r="S55" s="186"/>
      <c r="T55" s="187"/>
      <c r="U55" s="187"/>
      <c r="V55" s="188"/>
    </row>
    <row r="56" spans="1:42" ht="24.75" customHeight="1" x14ac:dyDescent="0.3">
      <c r="B56" s="71"/>
      <c r="C56" s="71"/>
      <c r="D56" s="98"/>
      <c r="E56" s="98"/>
      <c r="F56" s="98"/>
      <c r="G56" s="98"/>
      <c r="H56" s="98"/>
      <c r="I56" s="98"/>
      <c r="J56" s="98"/>
      <c r="K56" s="101"/>
      <c r="L56" s="101"/>
      <c r="M56" s="97"/>
      <c r="O56" s="443"/>
      <c r="P56" s="442"/>
      <c r="Q56" s="442"/>
      <c r="R56" s="185"/>
      <c r="S56" s="186"/>
      <c r="T56" s="187"/>
      <c r="U56" s="187"/>
      <c r="V56" s="188"/>
    </row>
    <row r="57" spans="1:42" ht="20.7" customHeight="1" x14ac:dyDescent="0.3">
      <c r="B57" s="71"/>
      <c r="C57" s="71"/>
      <c r="D57" s="98"/>
      <c r="E57" s="98"/>
      <c r="F57" s="98"/>
      <c r="G57" s="98"/>
      <c r="H57" s="98"/>
      <c r="I57" s="98"/>
      <c r="J57" s="98"/>
      <c r="K57" s="101"/>
      <c r="L57" s="101"/>
      <c r="M57" s="97"/>
      <c r="U57" s="190"/>
      <c r="V57" s="190"/>
    </row>
    <row r="58" spans="1:42" ht="20.7" customHeight="1" x14ac:dyDescent="0.3">
      <c r="B58" s="431" t="s">
        <v>725</v>
      </c>
      <c r="C58" s="431"/>
      <c r="D58" s="431"/>
      <c r="E58" s="431"/>
      <c r="F58" s="431"/>
      <c r="G58" s="431"/>
      <c r="H58" s="431"/>
      <c r="I58" s="431"/>
      <c r="J58" s="431"/>
      <c r="K58" s="431"/>
      <c r="L58" s="431"/>
      <c r="M58" s="431"/>
    </row>
    <row r="59" spans="1:42" ht="20.7" customHeight="1" thickBot="1" x14ac:dyDescent="0.35">
      <c r="N59" s="91"/>
    </row>
    <row r="60" spans="1:42" ht="33" customHeight="1" thickBot="1" x14ac:dyDescent="0.35">
      <c r="B60" s="469" t="s">
        <v>723</v>
      </c>
      <c r="C60" s="468"/>
      <c r="D60" s="222" t="s">
        <v>3</v>
      </c>
      <c r="E60" s="468" t="s">
        <v>726</v>
      </c>
      <c r="F60" s="468"/>
      <c r="G60" s="222" t="s">
        <v>727</v>
      </c>
      <c r="H60" s="468" t="s">
        <v>728</v>
      </c>
      <c r="I60" s="468"/>
      <c r="J60" s="470" t="s">
        <v>729</v>
      </c>
      <c r="K60" s="470"/>
      <c r="L60" s="470"/>
      <c r="M60" s="456"/>
      <c r="N60" s="453" t="s">
        <v>730</v>
      </c>
      <c r="O60" s="453"/>
      <c r="P60" s="455" t="s">
        <v>731</v>
      </c>
      <c r="Q60" s="456"/>
      <c r="R60" s="455" t="s">
        <v>732</v>
      </c>
      <c r="S60" s="456"/>
      <c r="T60" s="455" t="s">
        <v>733</v>
      </c>
      <c r="U60" s="456"/>
      <c r="V60" s="455" t="s">
        <v>734</v>
      </c>
      <c r="W60" s="456"/>
      <c r="X60" s="455" t="s">
        <v>735</v>
      </c>
      <c r="Y60" s="456"/>
      <c r="Z60" s="455" t="s">
        <v>736</v>
      </c>
      <c r="AA60" s="456"/>
      <c r="AB60" s="455" t="s">
        <v>737</v>
      </c>
      <c r="AC60" s="456"/>
      <c r="AD60" s="455" t="s">
        <v>738</v>
      </c>
      <c r="AE60" s="456"/>
      <c r="AF60" s="455" t="s">
        <v>739</v>
      </c>
      <c r="AG60" s="456"/>
      <c r="AH60" s="455" t="s">
        <v>740</v>
      </c>
      <c r="AI60" s="456"/>
      <c r="AJ60" s="453" t="s">
        <v>741</v>
      </c>
      <c r="AK60" s="453"/>
      <c r="AL60" s="453" t="s">
        <v>742</v>
      </c>
      <c r="AM60" s="453"/>
      <c r="AN60" s="453"/>
      <c r="AO60" s="453"/>
      <c r="AP60" s="454"/>
    </row>
    <row r="61" spans="1:42" ht="45" customHeight="1" x14ac:dyDescent="0.3">
      <c r="A61" s="227"/>
      <c r="B61" s="444" t="str">
        <f>Soportes!D18</f>
        <v>77441111</v>
      </c>
      <c r="C61" s="445"/>
      <c r="D61" s="225" t="str">
        <f>MID(B61,5,1)</f>
        <v>1</v>
      </c>
      <c r="E61" s="474" t="str">
        <f>MID(B61,6,1)</f>
        <v>1</v>
      </c>
      <c r="F61" s="474"/>
      <c r="G61" s="225" t="str">
        <f>MID(B61,7,1)</f>
        <v>1</v>
      </c>
      <c r="H61" s="474" t="str">
        <f>MID(B61,8,1)</f>
        <v>1</v>
      </c>
      <c r="I61" s="474"/>
      <c r="J61" s="439" t="str">
        <f>Soportes!P18</f>
        <v xml:space="preserve">Matriz con relación de actas  
Actas y soporte de asistencia al Nodo técnico CODIA, CODIA y  Mesas Técnicas adscritas </v>
      </c>
      <c r="K61" s="439"/>
      <c r="L61" s="439"/>
      <c r="M61" s="439"/>
      <c r="N61" s="150">
        <f>Soportes!T18</f>
        <v>0</v>
      </c>
      <c r="O61" s="151"/>
      <c r="P61" s="150">
        <f>Soportes!U18</f>
        <v>0</v>
      </c>
      <c r="Q61" s="151"/>
      <c r="R61" s="150">
        <f>Soportes!V18</f>
        <v>0.5</v>
      </c>
      <c r="S61" s="151"/>
      <c r="T61" s="150">
        <f>Soportes!W18</f>
        <v>0</v>
      </c>
      <c r="U61" s="151"/>
      <c r="V61" s="150">
        <f>Soportes!X18</f>
        <v>0.5</v>
      </c>
      <c r="W61" s="151"/>
      <c r="X61" s="150">
        <f>Soportes!Y18</f>
        <v>0</v>
      </c>
      <c r="Y61" s="151"/>
      <c r="Z61" s="150">
        <f>Soportes!Z18</f>
        <v>0</v>
      </c>
      <c r="AA61" s="151"/>
      <c r="AB61" s="150">
        <f>Soportes!AA18</f>
        <v>0</v>
      </c>
      <c r="AC61" s="151"/>
      <c r="AD61" s="150">
        <f>Soportes!AB18</f>
        <v>0</v>
      </c>
      <c r="AE61" s="151"/>
      <c r="AF61" s="150">
        <f>Soportes!AC18</f>
        <v>0</v>
      </c>
      <c r="AG61" s="151"/>
      <c r="AH61" s="150">
        <f>Soportes!AD18</f>
        <v>0</v>
      </c>
      <c r="AI61" s="151"/>
      <c r="AJ61" s="150">
        <f>Soportes!AE18</f>
        <v>0</v>
      </c>
      <c r="AK61" s="151"/>
      <c r="AL61" s="457"/>
      <c r="AM61" s="458"/>
      <c r="AN61" s="458"/>
      <c r="AO61" s="458"/>
      <c r="AP61" s="459"/>
    </row>
    <row r="62" spans="1:42" ht="36" customHeight="1" x14ac:dyDescent="0.3">
      <c r="B62" s="444" t="str">
        <f>Soportes!D19</f>
        <v>77441121</v>
      </c>
      <c r="C62" s="445"/>
      <c r="D62" s="226" t="str">
        <f t="shared" ref="D62:D85" si="18">MID(B62,5,1)</f>
        <v>1</v>
      </c>
      <c r="E62" s="440" t="str">
        <f>MID(B62,6,1)</f>
        <v>1</v>
      </c>
      <c r="F62" s="440"/>
      <c r="G62" s="226" t="str">
        <f t="shared" ref="G62:G85" si="19">MID(B62,7,1)</f>
        <v>2</v>
      </c>
      <c r="H62" s="440" t="str">
        <f t="shared" ref="H62:H85" si="20">MID(B62,8,1)</f>
        <v>1</v>
      </c>
      <c r="I62" s="440"/>
      <c r="J62" s="439" t="str">
        <f>Soportes!P19</f>
        <v>Matriz de reporte de seguimiento al plan de accion de Política Pública de Primera Infancia, Infancia y Adolescencia</v>
      </c>
      <c r="K62" s="439"/>
      <c r="L62" s="439"/>
      <c r="M62" s="439"/>
      <c r="N62" s="150">
        <f>Soportes!T19</f>
        <v>0</v>
      </c>
      <c r="O62" s="89"/>
      <c r="P62" s="150">
        <f>Soportes!U19</f>
        <v>0</v>
      </c>
      <c r="Q62" s="89"/>
      <c r="R62" s="150">
        <f>Soportes!V19</f>
        <v>1</v>
      </c>
      <c r="S62" s="89"/>
      <c r="T62" s="150">
        <f>Soportes!W19</f>
        <v>0</v>
      </c>
      <c r="U62" s="89"/>
      <c r="V62" s="150">
        <f>Soportes!X19</f>
        <v>0</v>
      </c>
      <c r="W62" s="89"/>
      <c r="X62" s="150">
        <f>Soportes!Y19</f>
        <v>0</v>
      </c>
      <c r="Y62" s="89"/>
      <c r="Z62" s="150">
        <f>Soportes!Z19</f>
        <v>0</v>
      </c>
      <c r="AA62" s="89"/>
      <c r="AB62" s="150">
        <f>Soportes!AA19</f>
        <v>0</v>
      </c>
      <c r="AC62" s="89"/>
      <c r="AD62" s="150">
        <f>Soportes!AB19</f>
        <v>0</v>
      </c>
      <c r="AE62" s="89"/>
      <c r="AF62" s="150">
        <f>Soportes!AC19</f>
        <v>0</v>
      </c>
      <c r="AG62" s="89"/>
      <c r="AH62" s="150">
        <f>Soportes!AD19</f>
        <v>0</v>
      </c>
      <c r="AI62" s="89"/>
      <c r="AJ62" s="150">
        <f>Soportes!AE19</f>
        <v>0</v>
      </c>
      <c r="AK62" s="89"/>
      <c r="AL62" s="436"/>
      <c r="AM62" s="437"/>
      <c r="AN62" s="437"/>
      <c r="AO62" s="437"/>
      <c r="AP62" s="438"/>
    </row>
    <row r="63" spans="1:42" ht="42" customHeight="1" x14ac:dyDescent="0.3">
      <c r="B63" s="444" t="str">
        <f>Soportes!D20</f>
        <v>77441131</v>
      </c>
      <c r="C63" s="445"/>
      <c r="D63" s="226" t="str">
        <f t="shared" si="18"/>
        <v>1</v>
      </c>
      <c r="E63" s="440" t="str">
        <f t="shared" ref="E63:E85" si="21">MID(B63,6,1)</f>
        <v>1</v>
      </c>
      <c r="F63" s="440"/>
      <c r="G63" s="226" t="str">
        <f t="shared" si="19"/>
        <v>3</v>
      </c>
      <c r="H63" s="440" t="str">
        <f t="shared" si="20"/>
        <v>1</v>
      </c>
      <c r="I63" s="440"/>
      <c r="J63" s="439" t="str">
        <f>Soportes!P20</f>
        <v>Informe de resultados del Sistema de Monitoreo de las Condiciones de Vida de la Infancia y la Adolescencia de Bogotá.</v>
      </c>
      <c r="K63" s="439"/>
      <c r="L63" s="439"/>
      <c r="M63" s="439"/>
      <c r="N63" s="150">
        <f>Soportes!T20</f>
        <v>0</v>
      </c>
      <c r="O63" s="89"/>
      <c r="P63" s="150">
        <f>Soportes!U20</f>
        <v>0</v>
      </c>
      <c r="Q63" s="89"/>
      <c r="R63" s="150">
        <f>Soportes!V20</f>
        <v>0</v>
      </c>
      <c r="S63" s="89"/>
      <c r="T63" s="150">
        <f>Soportes!W20</f>
        <v>1</v>
      </c>
      <c r="U63" s="89"/>
      <c r="V63" s="150">
        <f>Soportes!X20</f>
        <v>0</v>
      </c>
      <c r="W63" s="89"/>
      <c r="X63" s="150">
        <f>Soportes!Y20</f>
        <v>0</v>
      </c>
      <c r="Y63" s="89"/>
      <c r="Z63" s="150">
        <f>Soportes!Z20</f>
        <v>0</v>
      </c>
      <c r="AA63" s="89"/>
      <c r="AB63" s="150">
        <f>Soportes!AA20</f>
        <v>0</v>
      </c>
      <c r="AC63" s="89"/>
      <c r="AD63" s="150">
        <f>Soportes!AB20</f>
        <v>0</v>
      </c>
      <c r="AE63" s="89"/>
      <c r="AF63" s="150">
        <f>Soportes!AC20</f>
        <v>0</v>
      </c>
      <c r="AG63" s="89"/>
      <c r="AH63" s="150">
        <f>Soportes!AD20</f>
        <v>0</v>
      </c>
      <c r="AI63" s="89"/>
      <c r="AJ63" s="150">
        <f>Soportes!AE20</f>
        <v>0</v>
      </c>
      <c r="AK63" s="89"/>
      <c r="AL63" s="436"/>
      <c r="AM63" s="437"/>
      <c r="AN63" s="437"/>
      <c r="AO63" s="437"/>
      <c r="AP63" s="438"/>
    </row>
    <row r="64" spans="1:42" ht="36" customHeight="1" x14ac:dyDescent="0.3">
      <c r="B64" s="444" t="str">
        <f>Soportes!D21</f>
        <v>77441211</v>
      </c>
      <c r="C64" s="445"/>
      <c r="D64" s="226" t="str">
        <f t="shared" si="18"/>
        <v>1</v>
      </c>
      <c r="E64" s="440" t="str">
        <f t="shared" si="21"/>
        <v>2</v>
      </c>
      <c r="F64" s="440"/>
      <c r="G64" s="226" t="str">
        <f t="shared" si="19"/>
        <v>1</v>
      </c>
      <c r="H64" s="440" t="str">
        <f t="shared" si="20"/>
        <v>1</v>
      </c>
      <c r="I64" s="440"/>
      <c r="J64" s="439" t="str">
        <f>Soportes!P21</f>
        <v>Matriz con relación de  actas, actas y listados de participantes.</v>
      </c>
      <c r="K64" s="439"/>
      <c r="L64" s="439"/>
      <c r="M64" s="439"/>
      <c r="N64" s="150">
        <f>Soportes!T21</f>
        <v>0</v>
      </c>
      <c r="O64" s="89"/>
      <c r="P64" s="150">
        <f>Soportes!U21</f>
        <v>0</v>
      </c>
      <c r="Q64" s="89"/>
      <c r="R64" s="150">
        <f>Soportes!V21</f>
        <v>0.3</v>
      </c>
      <c r="S64" s="89"/>
      <c r="T64" s="150">
        <f>Soportes!W21</f>
        <v>0.3</v>
      </c>
      <c r="U64" s="89"/>
      <c r="V64" s="150">
        <f>Soportes!X21</f>
        <v>0.4</v>
      </c>
      <c r="W64" s="89"/>
      <c r="X64" s="150">
        <f>Soportes!Y21</f>
        <v>0</v>
      </c>
      <c r="Y64" s="89"/>
      <c r="Z64" s="150">
        <f>Soportes!Z21</f>
        <v>0</v>
      </c>
      <c r="AA64" s="89"/>
      <c r="AB64" s="150">
        <f>Soportes!AA21</f>
        <v>0</v>
      </c>
      <c r="AC64" s="89"/>
      <c r="AD64" s="150">
        <f>Soportes!AB21</f>
        <v>0</v>
      </c>
      <c r="AE64" s="89"/>
      <c r="AF64" s="150">
        <f>Soportes!AC21</f>
        <v>0</v>
      </c>
      <c r="AG64" s="89"/>
      <c r="AH64" s="150">
        <f>Soportes!AD21</f>
        <v>0</v>
      </c>
      <c r="AI64" s="89"/>
      <c r="AJ64" s="150">
        <f>Soportes!AE21</f>
        <v>0</v>
      </c>
      <c r="AK64" s="89"/>
      <c r="AL64" s="436"/>
      <c r="AM64" s="437"/>
      <c r="AN64" s="437"/>
      <c r="AO64" s="437"/>
      <c r="AP64" s="438"/>
    </row>
    <row r="65" spans="2:42" ht="36" customHeight="1" x14ac:dyDescent="0.3">
      <c r="B65" s="444" t="str">
        <f>Soportes!D22</f>
        <v>77441221</v>
      </c>
      <c r="C65" s="445"/>
      <c r="D65" s="226" t="str">
        <f t="shared" si="18"/>
        <v>1</v>
      </c>
      <c r="E65" s="440" t="str">
        <f t="shared" si="21"/>
        <v>2</v>
      </c>
      <c r="F65" s="440"/>
      <c r="G65" s="226" t="str">
        <f t="shared" si="19"/>
        <v>2</v>
      </c>
      <c r="H65" s="440" t="str">
        <f t="shared" si="20"/>
        <v>1</v>
      </c>
      <c r="I65" s="440"/>
      <c r="J65" s="439" t="str">
        <f>Soportes!P22</f>
        <v>Informe de gestion de los Consejos Consultivos Locales y Consejo Distrital de Niñas, niños y adolecentes, en las 20 localidades y a nivel Distrital, a fin de favorecer la incidencia de las niñas, los niños y adolescentes en las transformaciones sociales de sus territorios y de la ciudad.</v>
      </c>
      <c r="K65" s="439"/>
      <c r="L65" s="439"/>
      <c r="M65" s="439"/>
      <c r="N65" s="150">
        <f>Soportes!T22</f>
        <v>0</v>
      </c>
      <c r="O65" s="89"/>
      <c r="P65" s="150">
        <f>Soportes!U22</f>
        <v>0</v>
      </c>
      <c r="Q65" s="89"/>
      <c r="R65" s="150">
        <f>Soportes!V22</f>
        <v>0.3</v>
      </c>
      <c r="S65" s="89"/>
      <c r="T65" s="150">
        <f>Soportes!W22</f>
        <v>0</v>
      </c>
      <c r="U65" s="89"/>
      <c r="V65" s="150">
        <f>Soportes!X22</f>
        <v>0.7</v>
      </c>
      <c r="W65" s="89"/>
      <c r="X65" s="150">
        <f>Soportes!Y22</f>
        <v>0</v>
      </c>
      <c r="Y65" s="89"/>
      <c r="Z65" s="150">
        <f>Soportes!Z22</f>
        <v>0</v>
      </c>
      <c r="AA65" s="89"/>
      <c r="AB65" s="150">
        <f>Soportes!AA22</f>
        <v>0</v>
      </c>
      <c r="AC65" s="89"/>
      <c r="AD65" s="150">
        <f>Soportes!AB22</f>
        <v>0</v>
      </c>
      <c r="AE65" s="89"/>
      <c r="AF65" s="150">
        <f>Soportes!AC22</f>
        <v>0</v>
      </c>
      <c r="AG65" s="89"/>
      <c r="AH65" s="150">
        <f>Soportes!AD22</f>
        <v>0</v>
      </c>
      <c r="AI65" s="89"/>
      <c r="AJ65" s="150">
        <f>Soportes!AE22</f>
        <v>0</v>
      </c>
      <c r="AK65" s="89"/>
      <c r="AL65" s="436"/>
      <c r="AM65" s="437"/>
      <c r="AN65" s="437"/>
      <c r="AO65" s="437"/>
      <c r="AP65" s="438"/>
    </row>
    <row r="66" spans="2:42" ht="36" customHeight="1" x14ac:dyDescent="0.3">
      <c r="B66" s="444" t="str">
        <f>Soportes!D23</f>
        <v>77441231</v>
      </c>
      <c r="C66" s="445"/>
      <c r="D66" s="226" t="str">
        <f t="shared" si="18"/>
        <v>1</v>
      </c>
      <c r="E66" s="440" t="str">
        <f t="shared" si="21"/>
        <v>2</v>
      </c>
      <c r="F66" s="440"/>
      <c r="G66" s="226" t="str">
        <f t="shared" si="19"/>
        <v>3</v>
      </c>
      <c r="H66" s="440" t="str">
        <f t="shared" si="20"/>
        <v>1</v>
      </c>
      <c r="I66" s="440"/>
      <c r="J66" s="439" t="str">
        <f>Soportes!P23</f>
        <v>Matriz con relación de  actas, actas y listados de participantes.a las actividades de los Consejos Tutelares de niñas, niños y adolescentes.</v>
      </c>
      <c r="K66" s="439"/>
      <c r="L66" s="439"/>
      <c r="M66" s="439"/>
      <c r="N66" s="150">
        <f>Soportes!T23</f>
        <v>0</v>
      </c>
      <c r="O66" s="89"/>
      <c r="P66" s="150">
        <f>Soportes!U23</f>
        <v>0</v>
      </c>
      <c r="Q66" s="89"/>
      <c r="R66" s="150">
        <f>Soportes!V23</f>
        <v>0.5</v>
      </c>
      <c r="S66" s="89"/>
      <c r="T66" s="150">
        <f>Soportes!W23</f>
        <v>0</v>
      </c>
      <c r="U66" s="89"/>
      <c r="V66" s="150">
        <f>Soportes!X23</f>
        <v>0.5</v>
      </c>
      <c r="W66" s="89"/>
      <c r="X66" s="150">
        <f>Soportes!Y23</f>
        <v>0</v>
      </c>
      <c r="Y66" s="89"/>
      <c r="Z66" s="150">
        <f>Soportes!Z23</f>
        <v>0</v>
      </c>
      <c r="AA66" s="89"/>
      <c r="AB66" s="150">
        <f>Soportes!AA23</f>
        <v>0</v>
      </c>
      <c r="AC66" s="89"/>
      <c r="AD66" s="150">
        <f>Soportes!AB23</f>
        <v>0</v>
      </c>
      <c r="AE66" s="89"/>
      <c r="AF66" s="150">
        <f>Soportes!AC23</f>
        <v>0</v>
      </c>
      <c r="AG66" s="89"/>
      <c r="AH66" s="150">
        <f>Soportes!AD23</f>
        <v>0</v>
      </c>
      <c r="AI66" s="89"/>
      <c r="AJ66" s="150">
        <f>Soportes!AE23</f>
        <v>0</v>
      </c>
      <c r="AK66" s="89"/>
      <c r="AL66" s="436"/>
      <c r="AM66" s="437"/>
      <c r="AN66" s="437"/>
      <c r="AO66" s="437"/>
      <c r="AP66" s="438"/>
    </row>
    <row r="67" spans="2:42" ht="36" customHeight="1" x14ac:dyDescent="0.3">
      <c r="B67" s="444" t="str">
        <f>Soportes!D24</f>
        <v>77442211</v>
      </c>
      <c r="C67" s="445"/>
      <c r="D67" s="226" t="str">
        <f t="shared" si="18"/>
        <v>2</v>
      </c>
      <c r="E67" s="440" t="str">
        <f t="shared" si="21"/>
        <v>2</v>
      </c>
      <c r="F67" s="440"/>
      <c r="G67" s="226" t="str">
        <f t="shared" si="19"/>
        <v>1</v>
      </c>
      <c r="H67" s="440" t="str">
        <f t="shared" si="20"/>
        <v>1</v>
      </c>
      <c r="I67" s="440"/>
      <c r="J67" s="439" t="str">
        <f>Soportes!P24</f>
        <v>Desarrollar un informe de supervision.</v>
      </c>
      <c r="K67" s="439"/>
      <c r="L67" s="439"/>
      <c r="M67" s="439"/>
      <c r="N67" s="150">
        <f>Soportes!T24</f>
        <v>0</v>
      </c>
      <c r="O67" s="89"/>
      <c r="P67" s="150">
        <f>Soportes!U24</f>
        <v>0</v>
      </c>
      <c r="Q67" s="89"/>
      <c r="R67" s="150">
        <f>Soportes!V24</f>
        <v>0.25</v>
      </c>
      <c r="S67" s="89"/>
      <c r="T67" s="150">
        <f>Soportes!W24</f>
        <v>0</v>
      </c>
      <c r="U67" s="89"/>
      <c r="V67" s="150">
        <f>Soportes!X24</f>
        <v>0.75</v>
      </c>
      <c r="W67" s="89"/>
      <c r="X67" s="150">
        <f>Soportes!Y24</f>
        <v>0</v>
      </c>
      <c r="Y67" s="89"/>
      <c r="Z67" s="150">
        <f>Soportes!Z24</f>
        <v>0</v>
      </c>
      <c r="AA67" s="89"/>
      <c r="AB67" s="150">
        <f>Soportes!AA24</f>
        <v>0</v>
      </c>
      <c r="AC67" s="89"/>
      <c r="AD67" s="150">
        <f>Soportes!AB24</f>
        <v>0</v>
      </c>
      <c r="AE67" s="89"/>
      <c r="AF67" s="150">
        <f>Soportes!AC24</f>
        <v>0</v>
      </c>
      <c r="AG67" s="89"/>
      <c r="AH67" s="150">
        <f>Soportes!AD24</f>
        <v>0</v>
      </c>
      <c r="AI67" s="89"/>
      <c r="AJ67" s="150">
        <f>Soportes!AE24</f>
        <v>0</v>
      </c>
      <c r="AK67" s="89"/>
      <c r="AL67" s="436"/>
      <c r="AM67" s="437"/>
      <c r="AN67" s="437"/>
      <c r="AO67" s="437"/>
      <c r="AP67" s="438"/>
    </row>
    <row r="68" spans="2:42" ht="36" customHeight="1" x14ac:dyDescent="0.3">
      <c r="B68" s="444" t="str">
        <f>Soportes!D25</f>
        <v>77442311</v>
      </c>
      <c r="C68" s="445"/>
      <c r="D68" s="226" t="str">
        <f t="shared" si="18"/>
        <v>2</v>
      </c>
      <c r="E68" s="440" t="str">
        <f t="shared" si="21"/>
        <v>3</v>
      </c>
      <c r="F68" s="440"/>
      <c r="G68" s="226" t="str">
        <f t="shared" si="19"/>
        <v>1</v>
      </c>
      <c r="H68" s="440" t="str">
        <f t="shared" si="20"/>
        <v>1</v>
      </c>
      <c r="I68" s="440"/>
      <c r="J68" s="439" t="str">
        <f>Soportes!P25</f>
        <v xml:space="preserve">Informe de avance de los planes de acompañamiento técnico  a  jardines infantiles </v>
      </c>
      <c r="K68" s="439"/>
      <c r="L68" s="439"/>
      <c r="M68" s="439"/>
      <c r="N68" s="150">
        <f>Soportes!T25</f>
        <v>0</v>
      </c>
      <c r="O68" s="89"/>
      <c r="P68" s="150">
        <f>Soportes!U25</f>
        <v>0.5</v>
      </c>
      <c r="Q68" s="89"/>
      <c r="R68" s="150">
        <f>Soportes!V25</f>
        <v>0.5</v>
      </c>
      <c r="S68" s="89"/>
      <c r="T68" s="150">
        <f>Soportes!W25</f>
        <v>0</v>
      </c>
      <c r="U68" s="89"/>
      <c r="V68" s="150">
        <f>Soportes!X25</f>
        <v>0</v>
      </c>
      <c r="W68" s="89"/>
      <c r="X68" s="150">
        <f>Soportes!Y25</f>
        <v>0</v>
      </c>
      <c r="Y68" s="89"/>
      <c r="Z68" s="150">
        <f>Soportes!Z25</f>
        <v>0</v>
      </c>
      <c r="AA68" s="89"/>
      <c r="AB68" s="150">
        <f>Soportes!AA25</f>
        <v>0</v>
      </c>
      <c r="AC68" s="89"/>
      <c r="AD68" s="150">
        <f>Soportes!AB25</f>
        <v>0</v>
      </c>
      <c r="AE68" s="89"/>
      <c r="AF68" s="150">
        <f>Soportes!AC25</f>
        <v>0</v>
      </c>
      <c r="AG68" s="89"/>
      <c r="AH68" s="150">
        <f>Soportes!AD25</f>
        <v>0</v>
      </c>
      <c r="AI68" s="89"/>
      <c r="AJ68" s="150">
        <f>Soportes!AE25</f>
        <v>0</v>
      </c>
      <c r="AK68" s="89"/>
      <c r="AL68" s="436"/>
      <c r="AM68" s="437"/>
      <c r="AN68" s="437"/>
      <c r="AO68" s="437"/>
      <c r="AP68" s="438"/>
    </row>
    <row r="69" spans="2:42" ht="36" customHeight="1" x14ac:dyDescent="0.3">
      <c r="B69" s="444" t="str">
        <f>Soportes!D26</f>
        <v>77442611</v>
      </c>
      <c r="C69" s="445"/>
      <c r="D69" s="226" t="str">
        <f t="shared" si="18"/>
        <v>2</v>
      </c>
      <c r="E69" s="440" t="str">
        <f t="shared" si="21"/>
        <v>6</v>
      </c>
      <c r="F69" s="440"/>
      <c r="G69" s="226" t="str">
        <f t="shared" si="19"/>
        <v>1</v>
      </c>
      <c r="H69" s="440" t="str">
        <f t="shared" si="20"/>
        <v>1</v>
      </c>
      <c r="I69" s="440"/>
      <c r="J69" s="439" t="str">
        <f>Soportes!P26</f>
        <v>Reporte generado por la DADE- SIRBE
Informe del proceso de  supervisión de la modalidad Creciendo Juntos</v>
      </c>
      <c r="K69" s="439"/>
      <c r="L69" s="439"/>
      <c r="M69" s="439"/>
      <c r="N69" s="150">
        <f>Soportes!T26</f>
        <v>0</v>
      </c>
      <c r="O69" s="89"/>
      <c r="P69" s="150">
        <f>Soportes!U26</f>
        <v>0</v>
      </c>
      <c r="Q69" s="89"/>
      <c r="R69" s="150">
        <f>Soportes!V26</f>
        <v>0.1</v>
      </c>
      <c r="S69" s="89"/>
      <c r="T69" s="150">
        <f>Soportes!W26</f>
        <v>0.1</v>
      </c>
      <c r="U69" s="89"/>
      <c r="V69" s="150">
        <f>Soportes!X26</f>
        <v>0.2</v>
      </c>
      <c r="W69" s="89"/>
      <c r="X69" s="150">
        <f>Soportes!Y26</f>
        <v>0</v>
      </c>
      <c r="Y69" s="89"/>
      <c r="Z69" s="150">
        <f>Soportes!Z26</f>
        <v>0</v>
      </c>
      <c r="AA69" s="89"/>
      <c r="AB69" s="150">
        <f>Soportes!AA26</f>
        <v>0</v>
      </c>
      <c r="AC69" s="89"/>
      <c r="AD69" s="150">
        <f>Soportes!AB26</f>
        <v>0</v>
      </c>
      <c r="AE69" s="89"/>
      <c r="AF69" s="150">
        <f>Soportes!AC26</f>
        <v>0</v>
      </c>
      <c r="AG69" s="89"/>
      <c r="AH69" s="150">
        <f>Soportes!AD26</f>
        <v>0</v>
      </c>
      <c r="AI69" s="89"/>
      <c r="AJ69" s="150">
        <f>Soportes!AE26</f>
        <v>0</v>
      </c>
      <c r="AK69" s="89"/>
      <c r="AL69" s="436"/>
      <c r="AM69" s="437"/>
      <c r="AN69" s="437"/>
      <c r="AO69" s="437"/>
      <c r="AP69" s="438"/>
    </row>
    <row r="70" spans="2:42" ht="36" customHeight="1" x14ac:dyDescent="0.3">
      <c r="B70" s="444" t="str">
        <f>Soportes!D27</f>
        <v>77442612</v>
      </c>
      <c r="C70" s="445"/>
      <c r="D70" s="226" t="str">
        <f t="shared" si="18"/>
        <v>2</v>
      </c>
      <c r="E70" s="440" t="str">
        <f t="shared" si="21"/>
        <v>6</v>
      </c>
      <c r="F70" s="440"/>
      <c r="G70" s="226" t="str">
        <f t="shared" si="19"/>
        <v>1</v>
      </c>
      <c r="H70" s="440" t="str">
        <f t="shared" si="20"/>
        <v>2</v>
      </c>
      <c r="I70" s="440"/>
      <c r="J70" s="439" t="str">
        <f>Soportes!P27</f>
        <v xml:space="preserve">Reporte aspectos por fortalecer -Jardines infantiles cofinanciados </v>
      </c>
      <c r="K70" s="439"/>
      <c r="L70" s="439"/>
      <c r="M70" s="439"/>
      <c r="N70" s="150">
        <f>Soportes!T27</f>
        <v>0</v>
      </c>
      <c r="O70" s="89"/>
      <c r="P70" s="150">
        <f>Soportes!U27</f>
        <v>0</v>
      </c>
      <c r="Q70" s="89"/>
      <c r="R70" s="150">
        <f>Soportes!V27</f>
        <v>0.1</v>
      </c>
      <c r="S70" s="89"/>
      <c r="T70" s="150">
        <f>Soportes!W27</f>
        <v>0.1</v>
      </c>
      <c r="U70" s="89"/>
      <c r="V70" s="150">
        <f>Soportes!X27</f>
        <v>0.1</v>
      </c>
      <c r="W70" s="89"/>
      <c r="X70" s="150">
        <f>Soportes!Y27</f>
        <v>0</v>
      </c>
      <c r="Y70" s="89"/>
      <c r="Z70" s="150">
        <f>Soportes!Z27</f>
        <v>0</v>
      </c>
      <c r="AA70" s="89"/>
      <c r="AB70" s="150">
        <f>Soportes!AA27</f>
        <v>0</v>
      </c>
      <c r="AC70" s="89"/>
      <c r="AD70" s="150">
        <f>Soportes!AB27</f>
        <v>0</v>
      </c>
      <c r="AE70" s="89"/>
      <c r="AF70" s="150">
        <f>Soportes!AC27</f>
        <v>0</v>
      </c>
      <c r="AG70" s="89"/>
      <c r="AH70" s="150">
        <f>Soportes!AD27</f>
        <v>0</v>
      </c>
      <c r="AI70" s="89"/>
      <c r="AJ70" s="150">
        <f>Soportes!AE27</f>
        <v>0</v>
      </c>
      <c r="AK70" s="89"/>
      <c r="AL70" s="436"/>
      <c r="AM70" s="437"/>
      <c r="AN70" s="437"/>
      <c r="AO70" s="437"/>
      <c r="AP70" s="438"/>
    </row>
    <row r="71" spans="2:42" ht="36" customHeight="1" x14ac:dyDescent="0.3">
      <c r="B71" s="444" t="str">
        <f>Soportes!D28</f>
        <v>77442613</v>
      </c>
      <c r="C71" s="445"/>
      <c r="D71" s="226" t="str">
        <f t="shared" si="18"/>
        <v>2</v>
      </c>
      <c r="E71" s="440" t="str">
        <f t="shared" si="21"/>
        <v>6</v>
      </c>
      <c r="F71" s="440"/>
      <c r="G71" s="226" t="str">
        <f t="shared" si="19"/>
        <v>1</v>
      </c>
      <c r="H71" s="440" t="str">
        <f t="shared" si="20"/>
        <v>3</v>
      </c>
      <c r="I71" s="440"/>
      <c r="J71" s="439" t="str">
        <f>Soportes!P28</f>
        <v xml:space="preserve">Reporte aspectos por fortalecer -Jardines infantiles sociales </v>
      </c>
      <c r="K71" s="439"/>
      <c r="L71" s="439"/>
      <c r="M71" s="439"/>
      <c r="N71" s="150">
        <f>Soportes!T28</f>
        <v>0</v>
      </c>
      <c r="O71" s="89"/>
      <c r="P71" s="150">
        <f>Soportes!U28</f>
        <v>0</v>
      </c>
      <c r="Q71" s="89"/>
      <c r="R71" s="150">
        <f>Soportes!V28</f>
        <v>0.1</v>
      </c>
      <c r="S71" s="89"/>
      <c r="T71" s="150">
        <f>Soportes!W28</f>
        <v>0.1</v>
      </c>
      <c r="U71" s="89"/>
      <c r="V71" s="150">
        <f>Soportes!X28</f>
        <v>0.1</v>
      </c>
      <c r="W71" s="89"/>
      <c r="X71" s="150">
        <f>Soportes!Y28</f>
        <v>0</v>
      </c>
      <c r="Y71" s="89"/>
      <c r="Z71" s="150">
        <f>Soportes!Z28</f>
        <v>0</v>
      </c>
      <c r="AA71" s="89"/>
      <c r="AB71" s="150">
        <f>Soportes!AA28</f>
        <v>0</v>
      </c>
      <c r="AC71" s="89"/>
      <c r="AD71" s="150">
        <f>Soportes!AB28</f>
        <v>0</v>
      </c>
      <c r="AE71" s="89"/>
      <c r="AF71" s="150">
        <f>Soportes!AC28</f>
        <v>0</v>
      </c>
      <c r="AG71" s="89"/>
      <c r="AH71" s="150">
        <f>Soportes!AD28</f>
        <v>0</v>
      </c>
      <c r="AI71" s="89"/>
      <c r="AJ71" s="150">
        <f>Soportes!AE28</f>
        <v>0</v>
      </c>
      <c r="AK71" s="89"/>
      <c r="AL71" s="436"/>
      <c r="AM71" s="437"/>
      <c r="AN71" s="437"/>
      <c r="AO71" s="437"/>
      <c r="AP71" s="438"/>
    </row>
    <row r="72" spans="2:42" ht="36" customHeight="1" x14ac:dyDescent="0.3">
      <c r="B72" s="444" t="str">
        <f>Soportes!D29</f>
        <v>77442411</v>
      </c>
      <c r="C72" s="445"/>
      <c r="D72" s="226" t="str">
        <f t="shared" si="18"/>
        <v>2</v>
      </c>
      <c r="E72" s="440" t="str">
        <f t="shared" si="21"/>
        <v>4</v>
      </c>
      <c r="F72" s="440"/>
      <c r="G72" s="226" t="str">
        <f t="shared" si="19"/>
        <v>1</v>
      </c>
      <c r="H72" s="440" t="str">
        <f t="shared" si="20"/>
        <v>1</v>
      </c>
      <c r="I72" s="440"/>
      <c r="J72" s="439" t="str">
        <f>Soportes!P29</f>
        <v>Desarrollar un informe de supervision.</v>
      </c>
      <c r="K72" s="439"/>
      <c r="L72" s="439"/>
      <c r="M72" s="439"/>
      <c r="N72" s="150">
        <f>Soportes!T29</f>
        <v>0</v>
      </c>
      <c r="O72" s="89"/>
      <c r="P72" s="150">
        <f>Soportes!U29</f>
        <v>0</v>
      </c>
      <c r="Q72" s="89"/>
      <c r="R72" s="150">
        <f>Soportes!V29</f>
        <v>0.25</v>
      </c>
      <c r="S72" s="89"/>
      <c r="T72" s="150">
        <f>Soportes!W29</f>
        <v>0</v>
      </c>
      <c r="U72" s="89"/>
      <c r="V72" s="150">
        <f>Soportes!X29</f>
        <v>0.75</v>
      </c>
      <c r="W72" s="89"/>
      <c r="X72" s="150">
        <f>Soportes!Y29</f>
        <v>0</v>
      </c>
      <c r="Y72" s="89"/>
      <c r="Z72" s="150">
        <f>Soportes!Z29</f>
        <v>0</v>
      </c>
      <c r="AA72" s="89"/>
      <c r="AB72" s="150">
        <f>Soportes!AA29</f>
        <v>0</v>
      </c>
      <c r="AC72" s="89"/>
      <c r="AD72" s="150">
        <f>Soportes!AB29</f>
        <v>0</v>
      </c>
      <c r="AE72" s="89"/>
      <c r="AF72" s="150">
        <f>Soportes!AC29</f>
        <v>0</v>
      </c>
      <c r="AG72" s="89"/>
      <c r="AH72" s="150">
        <f>Soportes!AD29</f>
        <v>0</v>
      </c>
      <c r="AI72" s="89"/>
      <c r="AJ72" s="150">
        <f>Soportes!AE29</f>
        <v>0</v>
      </c>
      <c r="AK72" s="89"/>
      <c r="AL72" s="436"/>
      <c r="AM72" s="437"/>
      <c r="AN72" s="437"/>
      <c r="AO72" s="437"/>
      <c r="AP72" s="438"/>
    </row>
    <row r="73" spans="2:42" ht="36" customHeight="1" x14ac:dyDescent="0.3">
      <c r="B73" s="444" t="str">
        <f>Soportes!D30</f>
        <v>77442511</v>
      </c>
      <c r="C73" s="445"/>
      <c r="D73" s="226" t="str">
        <f t="shared" si="18"/>
        <v>2</v>
      </c>
      <c r="E73" s="440" t="str">
        <f t="shared" si="21"/>
        <v>5</v>
      </c>
      <c r="F73" s="440"/>
      <c r="G73" s="226" t="str">
        <f t="shared" si="19"/>
        <v>1</v>
      </c>
      <c r="H73" s="440" t="str">
        <f t="shared" si="20"/>
        <v>1</v>
      </c>
      <c r="I73" s="440"/>
      <c r="J73" s="439" t="str">
        <f>Soportes!P30</f>
        <v>Desarrollar un informe de supervision.</v>
      </c>
      <c r="K73" s="439"/>
      <c r="L73" s="439"/>
      <c r="M73" s="439"/>
      <c r="N73" s="150">
        <f>Soportes!T30</f>
        <v>0</v>
      </c>
      <c r="O73" s="89"/>
      <c r="P73" s="150">
        <f>Soportes!U30</f>
        <v>0</v>
      </c>
      <c r="Q73" s="89"/>
      <c r="R73" s="150">
        <f>Soportes!V30</f>
        <v>0.25</v>
      </c>
      <c r="S73" s="89"/>
      <c r="T73" s="150">
        <f>Soportes!W30</f>
        <v>0</v>
      </c>
      <c r="U73" s="89"/>
      <c r="V73" s="150">
        <f>Soportes!X30</f>
        <v>0.75</v>
      </c>
      <c r="W73" s="89"/>
      <c r="X73" s="150">
        <f>Soportes!Y30</f>
        <v>0</v>
      </c>
      <c r="Y73" s="89"/>
      <c r="Z73" s="150">
        <f>Soportes!Z30</f>
        <v>0</v>
      </c>
      <c r="AA73" s="89"/>
      <c r="AB73" s="150">
        <f>Soportes!AA30</f>
        <v>0</v>
      </c>
      <c r="AC73" s="127"/>
      <c r="AD73" s="150">
        <f>Soportes!AB30</f>
        <v>0</v>
      </c>
      <c r="AE73" s="89"/>
      <c r="AF73" s="150">
        <f>Soportes!AC30</f>
        <v>0</v>
      </c>
      <c r="AG73" s="89"/>
      <c r="AH73" s="150">
        <f>Soportes!AD30</f>
        <v>0</v>
      </c>
      <c r="AI73" s="89"/>
      <c r="AJ73" s="150">
        <f>Soportes!AE30</f>
        <v>0</v>
      </c>
      <c r="AK73" s="89"/>
      <c r="AL73" s="436"/>
      <c r="AM73" s="437"/>
      <c r="AN73" s="437"/>
      <c r="AO73" s="437"/>
      <c r="AP73" s="438"/>
    </row>
    <row r="74" spans="2:42" ht="36" customHeight="1" x14ac:dyDescent="0.3">
      <c r="B74" s="444" t="str">
        <f>Soportes!D31</f>
        <v>77442711</v>
      </c>
      <c r="C74" s="445"/>
      <c r="D74" s="226" t="str">
        <f t="shared" si="18"/>
        <v>2</v>
      </c>
      <c r="E74" s="440" t="str">
        <f t="shared" si="21"/>
        <v>7</v>
      </c>
      <c r="F74" s="440"/>
      <c r="G74" s="226" t="str">
        <f t="shared" si="19"/>
        <v>1</v>
      </c>
      <c r="H74" s="440" t="str">
        <f t="shared" si="20"/>
        <v>1</v>
      </c>
      <c r="I74" s="440"/>
      <c r="J74" s="439" t="str">
        <f>Soportes!P31</f>
        <v>Fichas SIRBE de las cualificaciones
Informe de implementacion a los PEC</v>
      </c>
      <c r="K74" s="439"/>
      <c r="L74" s="439"/>
      <c r="M74" s="439"/>
      <c r="N74" s="150">
        <f>Soportes!T31</f>
        <v>0</v>
      </c>
      <c r="O74" s="89"/>
      <c r="P74" s="150">
        <f>Soportes!U31</f>
        <v>0</v>
      </c>
      <c r="Q74" s="89"/>
      <c r="R74" s="150">
        <f>Soportes!V31</f>
        <v>0</v>
      </c>
      <c r="S74" s="89"/>
      <c r="T74" s="150">
        <f>Soportes!W31</f>
        <v>0</v>
      </c>
      <c r="U74" s="89"/>
      <c r="V74" s="150">
        <f>Soportes!X31</f>
        <v>1</v>
      </c>
      <c r="W74" s="89"/>
      <c r="X74" s="150">
        <f>Soportes!Y31</f>
        <v>0</v>
      </c>
      <c r="Y74" s="89"/>
      <c r="Z74" s="150">
        <f>Soportes!Z31</f>
        <v>0</v>
      </c>
      <c r="AA74" s="89"/>
      <c r="AB74" s="150">
        <f>Soportes!AA31</f>
        <v>0</v>
      </c>
      <c r="AC74" s="89"/>
      <c r="AD74" s="150">
        <f>Soportes!AB31</f>
        <v>0</v>
      </c>
      <c r="AE74" s="89"/>
      <c r="AF74" s="150">
        <f>Soportes!AC31</f>
        <v>0</v>
      </c>
      <c r="AG74" s="89"/>
      <c r="AH74" s="150">
        <f>Soportes!AD31</f>
        <v>0</v>
      </c>
      <c r="AI74" s="89"/>
      <c r="AJ74" s="150">
        <f>Soportes!AE31</f>
        <v>0</v>
      </c>
      <c r="AK74" s="89"/>
      <c r="AL74" s="436"/>
      <c r="AM74" s="437"/>
      <c r="AN74" s="437"/>
      <c r="AO74" s="437"/>
      <c r="AP74" s="438"/>
    </row>
    <row r="75" spans="2:42" ht="45" customHeight="1" x14ac:dyDescent="0.3">
      <c r="B75" s="444" t="str">
        <f>Soportes!D34</f>
        <v>77442821</v>
      </c>
      <c r="C75" s="445"/>
      <c r="D75" s="226" t="str">
        <f t="shared" si="18"/>
        <v>2</v>
      </c>
      <c r="E75" s="440" t="str">
        <f t="shared" si="21"/>
        <v>8</v>
      </c>
      <c r="F75" s="440"/>
      <c r="G75" s="226" t="str">
        <f t="shared" si="19"/>
        <v>2</v>
      </c>
      <c r="H75" s="440" t="str">
        <f t="shared" si="20"/>
        <v>1</v>
      </c>
      <c r="I75" s="440"/>
      <c r="J75" s="446" t="str">
        <f>Soportes!P34</f>
        <v xml:space="preserve">Informe que consolide las acciones realizadas al mes de mayo </v>
      </c>
      <c r="K75" s="446"/>
      <c r="L75" s="446"/>
      <c r="M75" s="446"/>
      <c r="N75" s="150">
        <f>Soportes!T34</f>
        <v>0</v>
      </c>
      <c r="O75" s="89"/>
      <c r="P75" s="150">
        <f>Soportes!U34</f>
        <v>0.2</v>
      </c>
      <c r="Q75" s="155"/>
      <c r="R75" s="150">
        <f>Soportes!V34</f>
        <v>0.3</v>
      </c>
      <c r="S75" s="89"/>
      <c r="T75" s="150">
        <f>Soportes!W34</f>
        <v>0.5</v>
      </c>
      <c r="U75" s="89"/>
      <c r="V75" s="150">
        <f>Soportes!X34</f>
        <v>0</v>
      </c>
      <c r="W75" s="89"/>
      <c r="X75" s="150">
        <f>Soportes!Y34</f>
        <v>0</v>
      </c>
      <c r="Y75" s="89"/>
      <c r="Z75" s="150">
        <f>Soportes!Z34</f>
        <v>0</v>
      </c>
      <c r="AA75" s="89"/>
      <c r="AB75" s="150">
        <f>Soportes!AA34</f>
        <v>0</v>
      </c>
      <c r="AC75" s="89"/>
      <c r="AD75" s="150">
        <f>Soportes!AB34</f>
        <v>0</v>
      </c>
      <c r="AE75" s="89"/>
      <c r="AF75" s="150">
        <f>Soportes!AC34</f>
        <v>0</v>
      </c>
      <c r="AG75" s="89"/>
      <c r="AH75" s="150">
        <f>Soportes!AD34</f>
        <v>0</v>
      </c>
      <c r="AI75" s="89"/>
      <c r="AJ75" s="150">
        <f>Soportes!AE34</f>
        <v>0</v>
      </c>
      <c r="AK75" s="89"/>
      <c r="AL75" s="436"/>
      <c r="AM75" s="437"/>
      <c r="AN75" s="437"/>
      <c r="AO75" s="437"/>
      <c r="AP75" s="438"/>
    </row>
    <row r="76" spans="2:42" ht="35.25" customHeight="1" x14ac:dyDescent="0.3">
      <c r="B76" s="444" t="str">
        <f>Soportes!D35</f>
        <v>77443111</v>
      </c>
      <c r="C76" s="445"/>
      <c r="D76" s="226" t="str">
        <f t="shared" si="18"/>
        <v>3</v>
      </c>
      <c r="E76" s="440" t="str">
        <f t="shared" si="21"/>
        <v>1</v>
      </c>
      <c r="F76" s="440"/>
      <c r="G76" s="226" t="str">
        <f t="shared" si="19"/>
        <v>1</v>
      </c>
      <c r="H76" s="440" t="str">
        <f t="shared" si="20"/>
        <v>1</v>
      </c>
      <c r="I76" s="440"/>
      <c r="J76" s="439" t="str">
        <f>Soportes!P35</f>
        <v xml:space="preserve">Formato de Planeación y Planilla de Asistencia 
Matriz con relación de encuentros </v>
      </c>
      <c r="K76" s="439"/>
      <c r="L76" s="439"/>
      <c r="M76" s="439"/>
      <c r="N76" s="150">
        <f>Soportes!T35</f>
        <v>0</v>
      </c>
      <c r="O76" s="89"/>
      <c r="P76" s="150">
        <f>Soportes!U35</f>
        <v>0.2</v>
      </c>
      <c r="Q76" s="155"/>
      <c r="R76" s="150">
        <f>Soportes!V35</f>
        <v>0.3</v>
      </c>
      <c r="S76" s="89"/>
      <c r="T76" s="150">
        <f>Soportes!W35</f>
        <v>0.2</v>
      </c>
      <c r="U76" s="89"/>
      <c r="V76" s="150">
        <f>Soportes!X35</f>
        <v>0.3</v>
      </c>
      <c r="W76" s="89"/>
      <c r="X76" s="150">
        <f>Soportes!Y35</f>
        <v>0</v>
      </c>
      <c r="Y76" s="89"/>
      <c r="Z76" s="150">
        <f>Soportes!Z35</f>
        <v>0</v>
      </c>
      <c r="AA76" s="89"/>
      <c r="AB76" s="150">
        <f>Soportes!AA35</f>
        <v>0</v>
      </c>
      <c r="AC76" s="89"/>
      <c r="AD76" s="150">
        <f>Soportes!AB35</f>
        <v>0</v>
      </c>
      <c r="AE76" s="89"/>
      <c r="AF76" s="150">
        <f>Soportes!AC35</f>
        <v>0</v>
      </c>
      <c r="AG76" s="89"/>
      <c r="AH76" s="150">
        <f>Soportes!AD35</f>
        <v>0</v>
      </c>
      <c r="AI76" s="89"/>
      <c r="AJ76" s="150">
        <f>Soportes!AE35</f>
        <v>0</v>
      </c>
      <c r="AK76" s="89"/>
      <c r="AL76" s="436"/>
      <c r="AM76" s="437"/>
      <c r="AN76" s="437"/>
      <c r="AO76" s="437"/>
      <c r="AP76" s="438"/>
    </row>
    <row r="77" spans="2:42" ht="36" customHeight="1" x14ac:dyDescent="0.3">
      <c r="B77" s="444" t="str">
        <f>Soportes!D36</f>
        <v>77443121</v>
      </c>
      <c r="C77" s="445"/>
      <c r="D77" s="226" t="str">
        <f t="shared" si="18"/>
        <v>3</v>
      </c>
      <c r="E77" s="440" t="str">
        <f t="shared" si="21"/>
        <v>1</v>
      </c>
      <c r="F77" s="440"/>
      <c r="G77" s="226" t="str">
        <f t="shared" si="19"/>
        <v>2</v>
      </c>
      <c r="H77" s="440" t="str">
        <f t="shared" si="20"/>
        <v>1</v>
      </c>
      <c r="I77" s="440"/>
      <c r="J77" s="439" t="str">
        <f>Soportes!P36</f>
        <v xml:space="preserve">Formato de Planeación y Planilla de Asistencia 
Matriz con relación de encuentros </v>
      </c>
      <c r="K77" s="439"/>
      <c r="L77" s="439"/>
      <c r="M77" s="439"/>
      <c r="N77" s="150">
        <f>Soportes!T36</f>
        <v>0</v>
      </c>
      <c r="O77" s="89"/>
      <c r="P77" s="150">
        <f>Soportes!U36</f>
        <v>0.2</v>
      </c>
      <c r="Q77" s="155"/>
      <c r="R77" s="150">
        <f>Soportes!V36</f>
        <v>0.3</v>
      </c>
      <c r="S77" s="89"/>
      <c r="T77" s="150">
        <f>Soportes!W36</f>
        <v>0.2</v>
      </c>
      <c r="U77" s="89"/>
      <c r="V77" s="150">
        <f>Soportes!X36</f>
        <v>0.3</v>
      </c>
      <c r="W77" s="89"/>
      <c r="X77" s="150">
        <f>Soportes!Y36</f>
        <v>0</v>
      </c>
      <c r="Y77" s="89"/>
      <c r="Z77" s="150">
        <f>Soportes!Z36</f>
        <v>0</v>
      </c>
      <c r="AA77" s="89"/>
      <c r="AB77" s="150">
        <f>Soportes!AA36</f>
        <v>0</v>
      </c>
      <c r="AC77" s="89"/>
      <c r="AD77" s="150">
        <f>Soportes!AB36</f>
        <v>0</v>
      </c>
      <c r="AE77" s="89"/>
      <c r="AF77" s="150">
        <f>Soportes!AC36</f>
        <v>0</v>
      </c>
      <c r="AG77" s="89"/>
      <c r="AH77" s="150">
        <f>Soportes!AD36</f>
        <v>0</v>
      </c>
      <c r="AI77" s="89"/>
      <c r="AJ77" s="150">
        <f>Soportes!AE36</f>
        <v>0</v>
      </c>
      <c r="AK77" s="89"/>
      <c r="AL77" s="436"/>
      <c r="AM77" s="437"/>
      <c r="AN77" s="437"/>
      <c r="AO77" s="437"/>
      <c r="AP77" s="438"/>
    </row>
    <row r="78" spans="2:42" ht="36" customHeight="1" x14ac:dyDescent="0.3">
      <c r="B78" s="444" t="str">
        <f>Soportes!D37</f>
        <v>77443131</v>
      </c>
      <c r="C78" s="445"/>
      <c r="D78" s="226" t="str">
        <f t="shared" si="18"/>
        <v>3</v>
      </c>
      <c r="E78" s="440" t="str">
        <f t="shared" si="21"/>
        <v>1</v>
      </c>
      <c r="F78" s="440"/>
      <c r="G78" s="226" t="str">
        <f t="shared" si="19"/>
        <v>3</v>
      </c>
      <c r="H78" s="440" t="str">
        <f t="shared" si="20"/>
        <v>1</v>
      </c>
      <c r="I78" s="440"/>
      <c r="J78" s="439" t="str">
        <f>Soportes!P37</f>
        <v>Informe de avances</v>
      </c>
      <c r="K78" s="439"/>
      <c r="L78" s="439"/>
      <c r="M78" s="439"/>
      <c r="N78" s="150">
        <f>Soportes!T37</f>
        <v>0</v>
      </c>
      <c r="O78" s="89"/>
      <c r="P78" s="150">
        <f>Soportes!U37</f>
        <v>0.2</v>
      </c>
      <c r="Q78" s="155"/>
      <c r="R78" s="150">
        <f>Soportes!V37</f>
        <v>0.3</v>
      </c>
      <c r="S78" s="89"/>
      <c r="T78" s="150">
        <f>Soportes!W37</f>
        <v>0.2</v>
      </c>
      <c r="U78" s="89"/>
      <c r="V78" s="150">
        <f>Soportes!X37</f>
        <v>0.3</v>
      </c>
      <c r="W78" s="89"/>
      <c r="X78" s="150">
        <f>Soportes!Y37</f>
        <v>0</v>
      </c>
      <c r="Y78" s="89"/>
      <c r="Z78" s="150">
        <f>Soportes!Z37</f>
        <v>0</v>
      </c>
      <c r="AA78" s="89"/>
      <c r="AB78" s="150">
        <f>Soportes!AA37</f>
        <v>0</v>
      </c>
      <c r="AC78" s="89"/>
      <c r="AD78" s="150">
        <f>Soportes!AB37</f>
        <v>0</v>
      </c>
      <c r="AE78" s="89"/>
      <c r="AF78" s="150">
        <f>Soportes!AC37</f>
        <v>0</v>
      </c>
      <c r="AG78" s="89"/>
      <c r="AH78" s="150">
        <f>Soportes!AD37</f>
        <v>0</v>
      </c>
      <c r="AI78" s="89"/>
      <c r="AJ78" s="150">
        <f>Soportes!AE37</f>
        <v>0</v>
      </c>
      <c r="AK78" s="89"/>
      <c r="AL78" s="436"/>
      <c r="AM78" s="437"/>
      <c r="AN78" s="437"/>
      <c r="AO78" s="437"/>
      <c r="AP78" s="438"/>
    </row>
    <row r="79" spans="2:42" ht="36" customHeight="1" x14ac:dyDescent="0.3">
      <c r="B79" s="444" t="str">
        <f>Soportes!D38</f>
        <v>77443211</v>
      </c>
      <c r="C79" s="445"/>
      <c r="D79" s="226" t="str">
        <f t="shared" si="18"/>
        <v>3</v>
      </c>
      <c r="E79" s="440" t="str">
        <f t="shared" si="21"/>
        <v>2</v>
      </c>
      <c r="F79" s="440"/>
      <c r="G79" s="226" t="str">
        <f t="shared" si="19"/>
        <v>1</v>
      </c>
      <c r="H79" s="440" t="str">
        <f t="shared" si="20"/>
        <v>1</v>
      </c>
      <c r="I79" s="440"/>
      <c r="J79" s="439" t="str">
        <f>Soportes!P38</f>
        <v xml:space="preserve">Reporte de atención generado por la DADE-SIRBE 
Matriz cuantitativa con los componentes de la Estrategia Entre Pares </v>
      </c>
      <c r="K79" s="439"/>
      <c r="L79" s="439"/>
      <c r="M79" s="439"/>
      <c r="N79" s="150">
        <f>Soportes!T38</f>
        <v>0</v>
      </c>
      <c r="O79" s="89"/>
      <c r="P79" s="150">
        <f>Soportes!U38</f>
        <v>0.2</v>
      </c>
      <c r="Q79" s="155"/>
      <c r="R79" s="150">
        <f>Soportes!V38</f>
        <v>0.3</v>
      </c>
      <c r="S79" s="89"/>
      <c r="T79" s="150">
        <f>Soportes!W38</f>
        <v>0.2</v>
      </c>
      <c r="U79" s="89"/>
      <c r="V79" s="150">
        <f>Soportes!X38</f>
        <v>0.3</v>
      </c>
      <c r="W79" s="89"/>
      <c r="X79" s="150">
        <f>Soportes!Y38</f>
        <v>0</v>
      </c>
      <c r="Y79" s="89"/>
      <c r="Z79" s="150">
        <f>Soportes!Z38</f>
        <v>0</v>
      </c>
      <c r="AA79" s="89"/>
      <c r="AB79" s="150">
        <f>Soportes!AA38</f>
        <v>0</v>
      </c>
      <c r="AC79" s="89"/>
      <c r="AD79" s="150">
        <f>Soportes!AB38</f>
        <v>0</v>
      </c>
      <c r="AE79" s="89"/>
      <c r="AF79" s="150">
        <f>Soportes!AC38</f>
        <v>0</v>
      </c>
      <c r="AG79" s="89"/>
      <c r="AH79" s="150">
        <f>Soportes!AD38</f>
        <v>0</v>
      </c>
      <c r="AI79" s="89"/>
      <c r="AJ79" s="150">
        <f>Soportes!AE38</f>
        <v>0</v>
      </c>
      <c r="AK79" s="89"/>
      <c r="AL79" s="436"/>
      <c r="AM79" s="437"/>
      <c r="AN79" s="437"/>
      <c r="AO79" s="437"/>
      <c r="AP79" s="438"/>
    </row>
    <row r="80" spans="2:42" ht="36" customHeight="1" x14ac:dyDescent="0.3">
      <c r="B80" s="444" t="str">
        <f>Soportes!D39</f>
        <v>77443221</v>
      </c>
      <c r="C80" s="445"/>
      <c r="D80" s="226" t="str">
        <f t="shared" si="18"/>
        <v>3</v>
      </c>
      <c r="E80" s="440" t="str">
        <f t="shared" si="21"/>
        <v>2</v>
      </c>
      <c r="F80" s="440"/>
      <c r="G80" s="226" t="str">
        <f t="shared" si="19"/>
        <v>2</v>
      </c>
      <c r="H80" s="440" t="str">
        <f t="shared" si="20"/>
        <v>1</v>
      </c>
      <c r="I80" s="440"/>
      <c r="J80" s="439" t="str">
        <f>Soportes!P39</f>
        <v xml:space="preserve">Formato de planeación y planilla de asistencia o captura de pantalla en caso de ser virtual
Matriz con relación de encuentros </v>
      </c>
      <c r="K80" s="439"/>
      <c r="L80" s="439"/>
      <c r="M80" s="439"/>
      <c r="N80" s="150">
        <f>Soportes!T39</f>
        <v>0</v>
      </c>
      <c r="O80" s="89"/>
      <c r="P80" s="150">
        <f>Soportes!U39</f>
        <v>0.2</v>
      </c>
      <c r="Q80" s="155"/>
      <c r="R80" s="150">
        <f>Soportes!V39</f>
        <v>0.3</v>
      </c>
      <c r="S80" s="89"/>
      <c r="T80" s="150">
        <f>Soportes!W39</f>
        <v>0.2</v>
      </c>
      <c r="U80" s="89"/>
      <c r="V80" s="150">
        <f>Soportes!X39</f>
        <v>0.3</v>
      </c>
      <c r="W80" s="89"/>
      <c r="X80" s="150">
        <f>Soportes!Y39</f>
        <v>0</v>
      </c>
      <c r="Y80" s="89"/>
      <c r="Z80" s="150">
        <f>Soportes!Z39</f>
        <v>0</v>
      </c>
      <c r="AA80" s="89"/>
      <c r="AB80" s="150">
        <f>Soportes!AA39</f>
        <v>0</v>
      </c>
      <c r="AC80" s="89"/>
      <c r="AD80" s="150">
        <f>Soportes!AB39</f>
        <v>0</v>
      </c>
      <c r="AE80" s="89"/>
      <c r="AF80" s="150">
        <f>Soportes!AC39</f>
        <v>0</v>
      </c>
      <c r="AG80" s="89"/>
      <c r="AH80" s="150">
        <f>Soportes!AD39</f>
        <v>0</v>
      </c>
      <c r="AI80" s="89"/>
      <c r="AJ80" s="150">
        <f>Soportes!AE39</f>
        <v>0</v>
      </c>
      <c r="AK80" s="89"/>
      <c r="AL80" s="436"/>
      <c r="AM80" s="437"/>
      <c r="AN80" s="437"/>
      <c r="AO80" s="437"/>
      <c r="AP80" s="438"/>
    </row>
    <row r="81" spans="2:42" ht="36" customHeight="1" x14ac:dyDescent="0.3">
      <c r="B81" s="444" t="str">
        <f>Soportes!D40</f>
        <v>77443231</v>
      </c>
      <c r="C81" s="445"/>
      <c r="D81" s="226" t="str">
        <f t="shared" si="18"/>
        <v>3</v>
      </c>
      <c r="E81" s="440" t="str">
        <f t="shared" si="21"/>
        <v>2</v>
      </c>
      <c r="F81" s="440"/>
      <c r="G81" s="226" t="str">
        <f t="shared" si="19"/>
        <v>3</v>
      </c>
      <c r="H81" s="440" t="str">
        <f t="shared" si="20"/>
        <v>1</v>
      </c>
      <c r="I81" s="440"/>
      <c r="J81" s="439" t="str">
        <f>Soportes!P40</f>
        <v xml:space="preserve">Formato de Planeación y ejecución que incluye soporte de la Ficha Sirbe Curso o planilla de Asistencia (ya sea presencial o virtual)
Matriz con relación de encuentros </v>
      </c>
      <c r="K81" s="439"/>
      <c r="L81" s="439"/>
      <c r="M81" s="439"/>
      <c r="N81" s="150">
        <f>Soportes!T40</f>
        <v>0</v>
      </c>
      <c r="O81" s="89"/>
      <c r="P81" s="150">
        <f>Soportes!U40</f>
        <v>0.2</v>
      </c>
      <c r="Q81" s="155"/>
      <c r="R81" s="150">
        <f>Soportes!V40</f>
        <v>0.3</v>
      </c>
      <c r="S81" s="89"/>
      <c r="T81" s="150">
        <f>Soportes!W40</f>
        <v>0.2</v>
      </c>
      <c r="U81" s="89"/>
      <c r="V81" s="150">
        <f>Soportes!X40</f>
        <v>0.3</v>
      </c>
      <c r="W81" s="89"/>
      <c r="X81" s="150">
        <f>Soportes!Y40</f>
        <v>0</v>
      </c>
      <c r="Y81" s="89"/>
      <c r="Z81" s="150">
        <f>Soportes!Z40</f>
        <v>0</v>
      </c>
      <c r="AA81" s="89"/>
      <c r="AB81" s="150">
        <f>Soportes!AA40</f>
        <v>0</v>
      </c>
      <c r="AC81" s="89"/>
      <c r="AD81" s="150">
        <f>Soportes!AB40</f>
        <v>0</v>
      </c>
      <c r="AE81" s="89"/>
      <c r="AF81" s="150">
        <f>Soportes!AC40</f>
        <v>0</v>
      </c>
      <c r="AG81" s="89"/>
      <c r="AH81" s="150">
        <f>Soportes!AD40</f>
        <v>0</v>
      </c>
      <c r="AI81" s="89"/>
      <c r="AJ81" s="150">
        <f>Soportes!AE40</f>
        <v>0</v>
      </c>
      <c r="AK81" s="89"/>
      <c r="AL81" s="436"/>
      <c r="AM81" s="437"/>
      <c r="AN81" s="437"/>
      <c r="AO81" s="437"/>
      <c r="AP81" s="438"/>
    </row>
    <row r="82" spans="2:42" ht="36" customHeight="1" x14ac:dyDescent="0.3">
      <c r="B82" s="444" t="str">
        <f>Soportes!D41</f>
        <v>77443311</v>
      </c>
      <c r="C82" s="445"/>
      <c r="D82" s="226" t="str">
        <f t="shared" si="18"/>
        <v>3</v>
      </c>
      <c r="E82" s="440" t="str">
        <f t="shared" si="21"/>
        <v>3</v>
      </c>
      <c r="F82" s="440"/>
      <c r="G82" s="226" t="str">
        <f t="shared" si="19"/>
        <v>1</v>
      </c>
      <c r="H82" s="440" t="str">
        <f t="shared" si="20"/>
        <v>1</v>
      </c>
      <c r="I82" s="440"/>
      <c r="J82" s="439" t="str">
        <f>Soportes!P41</f>
        <v>Reporte de atención generado por la DADE-SIRBE
Matriz de acompañamiento de las Estrategias:  Sawabona, raizal aidentity, Rrom-Gitano</v>
      </c>
      <c r="K82" s="439"/>
      <c r="L82" s="439"/>
      <c r="M82" s="439"/>
      <c r="N82" s="150">
        <f>Soportes!T41</f>
        <v>0</v>
      </c>
      <c r="O82" s="89"/>
      <c r="P82" s="150">
        <f>Soportes!U41</f>
        <v>0.2</v>
      </c>
      <c r="Q82" s="155"/>
      <c r="R82" s="150">
        <f>Soportes!V41</f>
        <v>0.3</v>
      </c>
      <c r="S82" s="89"/>
      <c r="T82" s="150">
        <f>Soportes!W41</f>
        <v>0.2</v>
      </c>
      <c r="U82" s="89"/>
      <c r="V82" s="150">
        <f>Soportes!X41</f>
        <v>0.3</v>
      </c>
      <c r="W82" s="89"/>
      <c r="X82" s="150">
        <f>Soportes!Y41</f>
        <v>0</v>
      </c>
      <c r="Y82" s="89"/>
      <c r="Z82" s="150">
        <f>Soportes!Z41</f>
        <v>0</v>
      </c>
      <c r="AA82" s="89"/>
      <c r="AB82" s="150">
        <f>Soportes!AA41</f>
        <v>0</v>
      </c>
      <c r="AC82" s="89"/>
      <c r="AD82" s="150">
        <f>Soportes!AB41</f>
        <v>0</v>
      </c>
      <c r="AE82" s="89"/>
      <c r="AF82" s="150">
        <f>Soportes!AC41</f>
        <v>0</v>
      </c>
      <c r="AG82" s="89"/>
      <c r="AH82" s="150">
        <f>Soportes!AD41</f>
        <v>0</v>
      </c>
      <c r="AI82" s="89"/>
      <c r="AJ82" s="150">
        <f>Soportes!AE41</f>
        <v>0</v>
      </c>
      <c r="AK82" s="89"/>
      <c r="AL82" s="436"/>
      <c r="AM82" s="437"/>
      <c r="AN82" s="437"/>
      <c r="AO82" s="437"/>
      <c r="AP82" s="438"/>
    </row>
    <row r="83" spans="2:42" ht="36" customHeight="1" x14ac:dyDescent="0.3">
      <c r="B83" s="444" t="str">
        <f>Soportes!D42</f>
        <v>77443321</v>
      </c>
      <c r="C83" s="445"/>
      <c r="D83" s="226" t="str">
        <f t="shared" si="18"/>
        <v>3</v>
      </c>
      <c r="E83" s="440" t="str">
        <f t="shared" si="21"/>
        <v>3</v>
      </c>
      <c r="F83" s="440"/>
      <c r="G83" s="226" t="str">
        <f t="shared" si="19"/>
        <v>2</v>
      </c>
      <c r="H83" s="440" t="str">
        <f t="shared" si="20"/>
        <v>1</v>
      </c>
      <c r="I83" s="440"/>
      <c r="J83" s="439" t="str">
        <f>Soportes!P42</f>
        <v xml:space="preserve">Formato de Acta de trabajo
Matriz con relación de actas
</v>
      </c>
      <c r="K83" s="439"/>
      <c r="L83" s="439"/>
      <c r="M83" s="439"/>
      <c r="N83" s="150">
        <f>Soportes!T42</f>
        <v>0</v>
      </c>
      <c r="O83" s="89"/>
      <c r="P83" s="150">
        <f>Soportes!U42</f>
        <v>0.2</v>
      </c>
      <c r="Q83" s="155"/>
      <c r="R83" s="150">
        <f>Soportes!V42</f>
        <v>0.3</v>
      </c>
      <c r="S83" s="89"/>
      <c r="T83" s="150">
        <f>Soportes!W42</f>
        <v>0.2</v>
      </c>
      <c r="U83" s="89"/>
      <c r="V83" s="150">
        <f>Soportes!X42</f>
        <v>0.3</v>
      </c>
      <c r="W83" s="89"/>
      <c r="X83" s="150">
        <f>Soportes!Y42</f>
        <v>0</v>
      </c>
      <c r="Y83" s="89"/>
      <c r="Z83" s="150">
        <f>Soportes!Z42</f>
        <v>0</v>
      </c>
      <c r="AA83" s="89"/>
      <c r="AB83" s="150">
        <f>Soportes!AA42</f>
        <v>0</v>
      </c>
      <c r="AC83" s="89"/>
      <c r="AD83" s="150">
        <f>Soportes!AB42</f>
        <v>0</v>
      </c>
      <c r="AE83" s="89"/>
      <c r="AF83" s="150">
        <f>Soportes!AC42</f>
        <v>0</v>
      </c>
      <c r="AG83" s="89"/>
      <c r="AH83" s="150">
        <f>Soportes!AD42</f>
        <v>0</v>
      </c>
      <c r="AI83" s="89"/>
      <c r="AJ83" s="150">
        <f>Soportes!AE42</f>
        <v>0</v>
      </c>
      <c r="AK83" s="89"/>
      <c r="AL83" s="436"/>
      <c r="AM83" s="437"/>
      <c r="AN83" s="437"/>
      <c r="AO83" s="437"/>
      <c r="AP83" s="438"/>
    </row>
    <row r="84" spans="2:42" ht="36" customHeight="1" x14ac:dyDescent="0.3">
      <c r="B84" s="444" t="str">
        <f>Soportes!D43</f>
        <v>77443331</v>
      </c>
      <c r="C84" s="445"/>
      <c r="D84" s="226" t="str">
        <f t="shared" si="18"/>
        <v>3</v>
      </c>
      <c r="E84" s="440" t="str">
        <f t="shared" si="21"/>
        <v>3</v>
      </c>
      <c r="F84" s="440"/>
      <c r="G84" s="226" t="str">
        <f t="shared" si="19"/>
        <v>3</v>
      </c>
      <c r="H84" s="440" t="str">
        <f t="shared" si="20"/>
        <v>1</v>
      </c>
      <c r="I84" s="440"/>
      <c r="J84" s="439" t="str">
        <f>Soportes!P43</f>
        <v>Formato de Planeación y soporte de asistencia presencial o virtual (Captura de pantalla)
Matriz con relación de encuentros</v>
      </c>
      <c r="K84" s="439"/>
      <c r="L84" s="439"/>
      <c r="M84" s="439"/>
      <c r="N84" s="150">
        <f>Soportes!T43</f>
        <v>0</v>
      </c>
      <c r="O84" s="89"/>
      <c r="P84" s="150">
        <f>Soportes!U43</f>
        <v>0.2</v>
      </c>
      <c r="Q84" s="155"/>
      <c r="R84" s="150">
        <f>Soportes!V43</f>
        <v>0.3</v>
      </c>
      <c r="S84" s="89"/>
      <c r="T84" s="150">
        <f>Soportes!W43</f>
        <v>0.2</v>
      </c>
      <c r="U84" s="89"/>
      <c r="V84" s="150">
        <f>Soportes!X43</f>
        <v>0.3</v>
      </c>
      <c r="W84" s="89"/>
      <c r="X84" s="150">
        <f>Soportes!Y43</f>
        <v>0</v>
      </c>
      <c r="Y84" s="89"/>
      <c r="Z84" s="150">
        <f>Soportes!Z43</f>
        <v>0</v>
      </c>
      <c r="AA84" s="89"/>
      <c r="AB84" s="150">
        <f>Soportes!AA43</f>
        <v>0</v>
      </c>
      <c r="AC84" s="89"/>
      <c r="AD84" s="150">
        <f>Soportes!AB43</f>
        <v>0</v>
      </c>
      <c r="AE84" s="89"/>
      <c r="AF84" s="150">
        <f>Soportes!AC43</f>
        <v>0</v>
      </c>
      <c r="AG84" s="89"/>
      <c r="AH84" s="150">
        <f>Soportes!AD43</f>
        <v>0</v>
      </c>
      <c r="AI84" s="89"/>
      <c r="AJ84" s="150">
        <f>Soportes!AE43</f>
        <v>0</v>
      </c>
      <c r="AK84" s="89"/>
      <c r="AL84" s="436"/>
      <c r="AM84" s="437"/>
      <c r="AN84" s="437"/>
      <c r="AO84" s="437"/>
      <c r="AP84" s="438"/>
    </row>
    <row r="85" spans="2:42" ht="36" customHeight="1" x14ac:dyDescent="0.3">
      <c r="B85" s="444" t="str">
        <f>Soportes!D44</f>
        <v>77443341</v>
      </c>
      <c r="C85" s="445"/>
      <c r="D85" s="226" t="str">
        <f t="shared" si="18"/>
        <v>3</v>
      </c>
      <c r="E85" s="440" t="str">
        <f t="shared" si="21"/>
        <v>3</v>
      </c>
      <c r="F85" s="440"/>
      <c r="G85" s="226" t="str">
        <f t="shared" si="19"/>
        <v>4</v>
      </c>
      <c r="H85" s="440" t="str">
        <f t="shared" si="20"/>
        <v>1</v>
      </c>
      <c r="I85" s="440"/>
      <c r="J85" s="439" t="str">
        <f>Soportes!P44</f>
        <v xml:space="preserve">Formato de Planeación y Planilla de Asistencia 
Matriz con relación de encuentros </v>
      </c>
      <c r="K85" s="439"/>
      <c r="L85" s="439"/>
      <c r="M85" s="439"/>
      <c r="N85" s="150">
        <f>Soportes!T44</f>
        <v>0</v>
      </c>
      <c r="O85" s="89"/>
      <c r="P85" s="150">
        <f>Soportes!U44</f>
        <v>0.2</v>
      </c>
      <c r="Q85" s="155"/>
      <c r="R85" s="150">
        <f>Soportes!V44</f>
        <v>0.3</v>
      </c>
      <c r="S85" s="89"/>
      <c r="T85" s="150">
        <f>Soportes!W44</f>
        <v>0.2</v>
      </c>
      <c r="U85" s="89"/>
      <c r="V85" s="150">
        <f>Soportes!X44</f>
        <v>0.3</v>
      </c>
      <c r="W85" s="89"/>
      <c r="X85" s="150">
        <f>Soportes!Y44</f>
        <v>0</v>
      </c>
      <c r="Y85" s="89"/>
      <c r="Z85" s="150">
        <f>Soportes!Z44</f>
        <v>0</v>
      </c>
      <c r="AA85" s="89"/>
      <c r="AB85" s="150">
        <f>Soportes!AA44</f>
        <v>0</v>
      </c>
      <c r="AC85" s="89"/>
      <c r="AD85" s="150">
        <f>Soportes!AB44</f>
        <v>0</v>
      </c>
      <c r="AE85" s="89"/>
      <c r="AF85" s="150">
        <f>Soportes!AC44</f>
        <v>0</v>
      </c>
      <c r="AG85" s="89"/>
      <c r="AH85" s="150">
        <f>Soportes!AD44</f>
        <v>0</v>
      </c>
      <c r="AI85" s="89"/>
      <c r="AJ85" s="150">
        <f>Soportes!AE44</f>
        <v>0</v>
      </c>
      <c r="AK85" s="89"/>
      <c r="AL85" s="436"/>
      <c r="AM85" s="437"/>
      <c r="AN85" s="437"/>
      <c r="AO85" s="437"/>
      <c r="AP85" s="438"/>
    </row>
    <row r="86" spans="2:42" ht="36" customHeight="1" x14ac:dyDescent="0.3">
      <c r="B86" s="444" t="str">
        <f>Soportes!D45</f>
        <v>77443351</v>
      </c>
      <c r="C86" s="445"/>
      <c r="D86" s="226" t="str">
        <f t="shared" ref="D86:D96" si="22">MID(B86,5,1)</f>
        <v>3</v>
      </c>
      <c r="E86" s="440" t="str">
        <f t="shared" ref="E86:E96" si="23">MID(B86,6,1)</f>
        <v>3</v>
      </c>
      <c r="F86" s="440"/>
      <c r="G86" s="226" t="str">
        <f t="shared" ref="G86:G96" si="24">MID(B86,7,1)</f>
        <v>5</v>
      </c>
      <c r="H86" s="440" t="str">
        <f t="shared" ref="H86:H96" si="25">MID(B86,8,1)</f>
        <v>1</v>
      </c>
      <c r="I86" s="440"/>
      <c r="J86" s="439" t="str">
        <f>Soportes!P45</f>
        <v>Formato de Planeación y soporte de asistencia presencial o virtual (Captura de pantalla)
Matriz con relación de encuentros</v>
      </c>
      <c r="K86" s="439"/>
      <c r="L86" s="439"/>
      <c r="M86" s="439"/>
      <c r="N86" s="150">
        <f>Soportes!T45</f>
        <v>0</v>
      </c>
      <c r="O86" s="89"/>
      <c r="P86" s="150">
        <f>Soportes!U45</f>
        <v>0.2</v>
      </c>
      <c r="Q86" s="155"/>
      <c r="R86" s="150">
        <f>Soportes!V45</f>
        <v>0.3</v>
      </c>
      <c r="S86" s="89"/>
      <c r="T86" s="150">
        <f>Soportes!W45</f>
        <v>0.2</v>
      </c>
      <c r="U86" s="89"/>
      <c r="V86" s="150">
        <f>Soportes!X45</f>
        <v>0.3</v>
      </c>
      <c r="W86" s="89"/>
      <c r="X86" s="150">
        <f>Soportes!Y45</f>
        <v>0</v>
      </c>
      <c r="Y86" s="89"/>
      <c r="Z86" s="150">
        <f>Soportes!Z45</f>
        <v>0</v>
      </c>
      <c r="AA86" s="89"/>
      <c r="AB86" s="150">
        <f>Soportes!AA45</f>
        <v>0</v>
      </c>
      <c r="AC86" s="89"/>
      <c r="AD86" s="150">
        <f>Soportes!AB45</f>
        <v>0</v>
      </c>
      <c r="AE86" s="89"/>
      <c r="AF86" s="150">
        <f>Soportes!AC45</f>
        <v>0</v>
      </c>
      <c r="AG86" s="89"/>
      <c r="AH86" s="150">
        <f>Soportes!AD45</f>
        <v>0</v>
      </c>
      <c r="AI86" s="89"/>
      <c r="AJ86" s="150">
        <f>Soportes!AE45</f>
        <v>0</v>
      </c>
      <c r="AK86" s="89"/>
      <c r="AL86" s="471"/>
      <c r="AM86" s="472"/>
      <c r="AN86" s="472"/>
      <c r="AO86" s="472"/>
      <c r="AP86" s="473"/>
    </row>
    <row r="87" spans="2:42" ht="36" customHeight="1" x14ac:dyDescent="0.3">
      <c r="B87" s="444" t="str">
        <f>Soportes!D46</f>
        <v>77443411</v>
      </c>
      <c r="C87" s="445"/>
      <c r="D87" s="226" t="str">
        <f t="shared" si="22"/>
        <v>3</v>
      </c>
      <c r="E87" s="440" t="str">
        <f t="shared" si="23"/>
        <v>4</v>
      </c>
      <c r="F87" s="440"/>
      <c r="G87" s="226" t="str">
        <f t="shared" si="24"/>
        <v>1</v>
      </c>
      <c r="H87" s="440" t="str">
        <f t="shared" si="25"/>
        <v>1</v>
      </c>
      <c r="I87" s="440"/>
      <c r="J87" s="439" t="str">
        <f>Soportes!P46</f>
        <v xml:space="preserve">Formato de Planeación y Planilla de Asistencia 
Matriz con relación de encuentros </v>
      </c>
      <c r="K87" s="439"/>
      <c r="L87" s="439"/>
      <c r="M87" s="439"/>
      <c r="N87" s="150">
        <f>Soportes!T46</f>
        <v>0</v>
      </c>
      <c r="O87" s="89"/>
      <c r="P87" s="150">
        <f>Soportes!U46</f>
        <v>0.2</v>
      </c>
      <c r="Q87" s="155"/>
      <c r="R87" s="150">
        <f>Soportes!V46</f>
        <v>0.3</v>
      </c>
      <c r="S87" s="89"/>
      <c r="T87" s="150">
        <f>Soportes!W46</f>
        <v>0.2</v>
      </c>
      <c r="U87" s="89"/>
      <c r="V87" s="150">
        <f>Soportes!X46</f>
        <v>0.3</v>
      </c>
      <c r="W87" s="89"/>
      <c r="X87" s="150">
        <f>Soportes!Y46</f>
        <v>0</v>
      </c>
      <c r="Y87" s="89"/>
      <c r="Z87" s="150">
        <f>Soportes!Z46</f>
        <v>0</v>
      </c>
      <c r="AA87" s="89"/>
      <c r="AB87" s="150">
        <f>Soportes!AA46</f>
        <v>0</v>
      </c>
      <c r="AC87" s="89"/>
      <c r="AD87" s="150">
        <f>Soportes!AB46</f>
        <v>0</v>
      </c>
      <c r="AE87" s="89"/>
      <c r="AF87" s="150">
        <f>Soportes!AC46</f>
        <v>0</v>
      </c>
      <c r="AG87" s="89"/>
      <c r="AH87" s="150">
        <f>Soportes!AD46</f>
        <v>0</v>
      </c>
      <c r="AI87" s="89"/>
      <c r="AJ87" s="150">
        <f>Soportes!AE46</f>
        <v>0</v>
      </c>
      <c r="AK87" s="89"/>
      <c r="AL87" s="471"/>
      <c r="AM87" s="472"/>
      <c r="AN87" s="472"/>
      <c r="AO87" s="472"/>
      <c r="AP87" s="473"/>
    </row>
    <row r="88" spans="2:42" ht="36" customHeight="1" x14ac:dyDescent="0.3">
      <c r="B88" s="444" t="str">
        <f>Soportes!D47</f>
        <v>77443421</v>
      </c>
      <c r="C88" s="445"/>
      <c r="D88" s="226" t="str">
        <f t="shared" si="22"/>
        <v>3</v>
      </c>
      <c r="E88" s="440" t="str">
        <f t="shared" si="23"/>
        <v>4</v>
      </c>
      <c r="F88" s="440"/>
      <c r="G88" s="226" t="str">
        <f t="shared" si="24"/>
        <v>2</v>
      </c>
      <c r="H88" s="440" t="str">
        <f t="shared" si="25"/>
        <v>1</v>
      </c>
      <c r="I88" s="440"/>
      <c r="J88" s="439" t="str">
        <f>Soportes!P47</f>
        <v xml:space="preserve">Formato de Planeación y Planilla de Asistencia 
Matriz con relación de encuentros </v>
      </c>
      <c r="K88" s="439"/>
      <c r="L88" s="439"/>
      <c r="M88" s="439"/>
      <c r="N88" s="150">
        <f>Soportes!T47</f>
        <v>0</v>
      </c>
      <c r="O88" s="89"/>
      <c r="P88" s="150">
        <f>Soportes!U47</f>
        <v>0.2</v>
      </c>
      <c r="Q88" s="155"/>
      <c r="R88" s="150">
        <f>Soportes!V47</f>
        <v>0.3</v>
      </c>
      <c r="S88" s="89"/>
      <c r="T88" s="150">
        <f>Soportes!W47</f>
        <v>0.2</v>
      </c>
      <c r="U88" s="89"/>
      <c r="V88" s="150">
        <f>Soportes!X47</f>
        <v>0.3</v>
      </c>
      <c r="W88" s="89"/>
      <c r="X88" s="150">
        <f>Soportes!Y47</f>
        <v>0</v>
      </c>
      <c r="Y88" s="89"/>
      <c r="Z88" s="150">
        <f>Soportes!Z47</f>
        <v>0</v>
      </c>
      <c r="AA88" s="89"/>
      <c r="AB88" s="150">
        <f>Soportes!AA47</f>
        <v>0</v>
      </c>
      <c r="AC88" s="89"/>
      <c r="AD88" s="150">
        <f>Soportes!AB47</f>
        <v>0</v>
      </c>
      <c r="AE88" s="89"/>
      <c r="AF88" s="150">
        <f>Soportes!AC47</f>
        <v>0</v>
      </c>
      <c r="AG88" s="89"/>
      <c r="AH88" s="150">
        <f>Soportes!AD47</f>
        <v>0</v>
      </c>
      <c r="AI88" s="89"/>
      <c r="AJ88" s="150">
        <f>Soportes!AE47</f>
        <v>0</v>
      </c>
      <c r="AK88" s="89"/>
      <c r="AL88" s="436"/>
      <c r="AM88" s="437"/>
      <c r="AN88" s="437"/>
      <c r="AO88" s="437"/>
      <c r="AP88" s="438"/>
    </row>
    <row r="89" spans="2:42" ht="36" customHeight="1" x14ac:dyDescent="0.3">
      <c r="B89" s="444" t="str">
        <f>Soportes!D48</f>
        <v>77443431</v>
      </c>
      <c r="C89" s="445"/>
      <c r="D89" s="226" t="str">
        <f t="shared" si="22"/>
        <v>3</v>
      </c>
      <c r="E89" s="440" t="str">
        <f t="shared" si="23"/>
        <v>4</v>
      </c>
      <c r="F89" s="440"/>
      <c r="G89" s="226" t="str">
        <f t="shared" si="24"/>
        <v>3</v>
      </c>
      <c r="H89" s="440" t="str">
        <f t="shared" si="25"/>
        <v>1</v>
      </c>
      <c r="I89" s="440"/>
      <c r="J89" s="439" t="str">
        <f>Soportes!P48</f>
        <v xml:space="preserve">Formato de Planeación y Planilla de Asistencia 
Matriz con relación de encuentros </v>
      </c>
      <c r="K89" s="439"/>
      <c r="L89" s="439"/>
      <c r="M89" s="439"/>
      <c r="N89" s="150">
        <f>Soportes!T48</f>
        <v>0</v>
      </c>
      <c r="O89" s="89"/>
      <c r="P89" s="150">
        <f>Soportes!U48</f>
        <v>0.2</v>
      </c>
      <c r="Q89" s="89"/>
      <c r="R89" s="150">
        <f>Soportes!V48</f>
        <v>0.3</v>
      </c>
      <c r="S89" s="89"/>
      <c r="T89" s="150">
        <f>Soportes!W48</f>
        <v>0.2</v>
      </c>
      <c r="U89" s="89"/>
      <c r="V89" s="150">
        <f>Soportes!X48</f>
        <v>0.3</v>
      </c>
      <c r="W89" s="89"/>
      <c r="X89" s="150">
        <f>Soportes!Y48</f>
        <v>0</v>
      </c>
      <c r="Y89" s="89"/>
      <c r="Z89" s="150">
        <f>Soportes!Z48</f>
        <v>0</v>
      </c>
      <c r="AA89" s="89"/>
      <c r="AB89" s="150">
        <f>Soportes!AA48</f>
        <v>0</v>
      </c>
      <c r="AC89" s="89"/>
      <c r="AD89" s="150">
        <f>Soportes!AB48</f>
        <v>0</v>
      </c>
      <c r="AE89" s="89"/>
      <c r="AF89" s="150">
        <f>Soportes!AC48</f>
        <v>0</v>
      </c>
      <c r="AG89" s="89"/>
      <c r="AH89" s="150">
        <f>Soportes!AD48</f>
        <v>0</v>
      </c>
      <c r="AI89" s="89"/>
      <c r="AJ89" s="150">
        <f>Soportes!AE48</f>
        <v>0</v>
      </c>
      <c r="AK89" s="89"/>
      <c r="AL89" s="436"/>
      <c r="AM89" s="437"/>
      <c r="AN89" s="437"/>
      <c r="AO89" s="437"/>
      <c r="AP89" s="438"/>
    </row>
    <row r="90" spans="2:42" ht="36" customHeight="1" x14ac:dyDescent="0.3">
      <c r="B90" s="444" t="str">
        <f>Soportes!D49</f>
        <v>77444111</v>
      </c>
      <c r="C90" s="445"/>
      <c r="D90" s="226" t="str">
        <f t="shared" si="22"/>
        <v>4</v>
      </c>
      <c r="E90" s="440" t="str">
        <f t="shared" si="23"/>
        <v>1</v>
      </c>
      <c r="F90" s="440"/>
      <c r="G90" s="226" t="str">
        <f t="shared" si="24"/>
        <v>1</v>
      </c>
      <c r="H90" s="440" t="str">
        <f t="shared" si="25"/>
        <v>1</v>
      </c>
      <c r="I90" s="440"/>
      <c r="J90" s="439" t="str">
        <f>Soportes!P49</f>
        <v>Matriz con relación de actas de distritales de RIAPI, Y RIAIA, ACTAS FIRMADAS Y MATIZ</v>
      </c>
      <c r="K90" s="439"/>
      <c r="L90" s="439"/>
      <c r="M90" s="439"/>
      <c r="N90" s="150">
        <f>Soportes!T49</f>
        <v>0</v>
      </c>
      <c r="O90" s="89"/>
      <c r="P90" s="150">
        <f>Soportes!U49</f>
        <v>0</v>
      </c>
      <c r="Q90" s="89"/>
      <c r="R90" s="150">
        <f>Soportes!V49</f>
        <v>0.3</v>
      </c>
      <c r="S90" s="89"/>
      <c r="T90" s="150">
        <f>Soportes!W49</f>
        <v>0.3</v>
      </c>
      <c r="U90" s="89"/>
      <c r="V90" s="150">
        <f>Soportes!X49</f>
        <v>0.4</v>
      </c>
      <c r="W90" s="89"/>
      <c r="X90" s="150">
        <f>Soportes!Y49</f>
        <v>0</v>
      </c>
      <c r="Y90" s="89"/>
      <c r="Z90" s="150">
        <f>Soportes!Z49</f>
        <v>0</v>
      </c>
      <c r="AA90" s="89"/>
      <c r="AB90" s="150">
        <f>Soportes!AA49</f>
        <v>0</v>
      </c>
      <c r="AC90" s="89"/>
      <c r="AD90" s="150">
        <f>Soportes!AB49</f>
        <v>0</v>
      </c>
      <c r="AE90" s="89"/>
      <c r="AF90" s="150">
        <f>Soportes!AC49</f>
        <v>0</v>
      </c>
      <c r="AG90" s="89"/>
      <c r="AH90" s="150">
        <f>Soportes!AD49</f>
        <v>0</v>
      </c>
      <c r="AI90" s="89"/>
      <c r="AJ90" s="150">
        <f>Soportes!AE49</f>
        <v>0</v>
      </c>
      <c r="AK90" s="89"/>
      <c r="AL90" s="436"/>
      <c r="AM90" s="437"/>
      <c r="AN90" s="437"/>
      <c r="AO90" s="437"/>
      <c r="AP90" s="438"/>
    </row>
    <row r="91" spans="2:42" ht="36" customHeight="1" x14ac:dyDescent="0.3">
      <c r="B91" s="444" t="str">
        <f>Soportes!D50</f>
        <v>77444121</v>
      </c>
      <c r="C91" s="445"/>
      <c r="D91" s="226" t="str">
        <f t="shared" si="22"/>
        <v>4</v>
      </c>
      <c r="E91" s="440" t="str">
        <f t="shared" si="23"/>
        <v>1</v>
      </c>
      <c r="F91" s="440"/>
      <c r="G91" s="226" t="str">
        <f t="shared" si="24"/>
        <v>2</v>
      </c>
      <c r="H91" s="440" t="str">
        <f t="shared" si="25"/>
        <v>1</v>
      </c>
      <c r="I91" s="440"/>
      <c r="J91" s="439" t="str">
        <f>Soportes!P50</f>
        <v>Informe seguimiento a la implemantacion de la estrategia.</v>
      </c>
      <c r="K91" s="439"/>
      <c r="L91" s="439"/>
      <c r="M91" s="439"/>
      <c r="N91" s="150">
        <f>Soportes!T50</f>
        <v>0</v>
      </c>
      <c r="O91" s="89"/>
      <c r="P91" s="150">
        <f>Soportes!U50</f>
        <v>0</v>
      </c>
      <c r="Q91" s="89"/>
      <c r="R91" s="150">
        <f>Soportes!V50</f>
        <v>0</v>
      </c>
      <c r="S91" s="89"/>
      <c r="T91" s="150">
        <f>Soportes!W50</f>
        <v>0</v>
      </c>
      <c r="U91" s="89"/>
      <c r="V91" s="150">
        <f>Soportes!X50</f>
        <v>1</v>
      </c>
      <c r="W91" s="89"/>
      <c r="X91" s="150">
        <f>Soportes!Y50</f>
        <v>0</v>
      </c>
      <c r="Y91" s="89"/>
      <c r="Z91" s="150">
        <f>Soportes!Z50</f>
        <v>0</v>
      </c>
      <c r="AA91" s="89"/>
      <c r="AB91" s="150">
        <f>Soportes!AA50</f>
        <v>0</v>
      </c>
      <c r="AC91" s="89"/>
      <c r="AD91" s="150">
        <f>Soportes!AB50</f>
        <v>0</v>
      </c>
      <c r="AE91" s="89"/>
      <c r="AF91" s="150">
        <f>Soportes!AC50</f>
        <v>0</v>
      </c>
      <c r="AG91" s="89"/>
      <c r="AH91" s="150">
        <f>Soportes!AD50</f>
        <v>0</v>
      </c>
      <c r="AI91" s="89"/>
      <c r="AJ91" s="150">
        <f>Soportes!AE50</f>
        <v>0</v>
      </c>
      <c r="AK91" s="89"/>
      <c r="AL91" s="436"/>
      <c r="AM91" s="437"/>
      <c r="AN91" s="437"/>
      <c r="AO91" s="437"/>
      <c r="AP91" s="438"/>
    </row>
    <row r="92" spans="2:42" ht="36" customHeight="1" x14ac:dyDescent="0.3">
      <c r="B92" s="444" t="str">
        <f>Soportes!D51</f>
        <v>77444131</v>
      </c>
      <c r="C92" s="445"/>
      <c r="D92" s="226" t="str">
        <f t="shared" si="22"/>
        <v>4</v>
      </c>
      <c r="E92" s="440" t="str">
        <f t="shared" si="23"/>
        <v>1</v>
      </c>
      <c r="F92" s="440"/>
      <c r="G92" s="226" t="str">
        <f t="shared" si="24"/>
        <v>3</v>
      </c>
      <c r="H92" s="440" t="str">
        <f t="shared" si="25"/>
        <v>1</v>
      </c>
      <c r="I92" s="440"/>
      <c r="J92" s="439" t="str">
        <f>Soportes!P51</f>
        <v>Reporte de gestión intra e institucional para la implementación del SSN</v>
      </c>
      <c r="K92" s="439"/>
      <c r="L92" s="439"/>
      <c r="M92" s="439"/>
      <c r="N92" s="150">
        <f>Soportes!T51</f>
        <v>0</v>
      </c>
      <c r="O92" s="89"/>
      <c r="P92" s="150">
        <f>Soportes!U51</f>
        <v>0</v>
      </c>
      <c r="Q92" s="89"/>
      <c r="R92" s="150">
        <f>Soportes!V51</f>
        <v>0.5</v>
      </c>
      <c r="S92" s="89"/>
      <c r="T92" s="150">
        <f>Soportes!W51</f>
        <v>0</v>
      </c>
      <c r="U92" s="89"/>
      <c r="V92" s="150">
        <f>Soportes!X51</f>
        <v>0.5</v>
      </c>
      <c r="W92" s="89"/>
      <c r="X92" s="150">
        <f>Soportes!Y51</f>
        <v>0</v>
      </c>
      <c r="Y92" s="89"/>
      <c r="Z92" s="150">
        <f>Soportes!Z51</f>
        <v>0</v>
      </c>
      <c r="AA92" s="89"/>
      <c r="AB92" s="150">
        <f>Soportes!AA51</f>
        <v>0</v>
      </c>
      <c r="AC92" s="89"/>
      <c r="AD92" s="150">
        <f>Soportes!AB51</f>
        <v>0</v>
      </c>
      <c r="AE92" s="89"/>
      <c r="AF92" s="150">
        <f>Soportes!AC51</f>
        <v>0</v>
      </c>
      <c r="AG92" s="89"/>
      <c r="AH92" s="150">
        <f>Soportes!AD51</f>
        <v>0</v>
      </c>
      <c r="AI92" s="89"/>
      <c r="AJ92" s="150">
        <f>Soportes!AE51</f>
        <v>0</v>
      </c>
      <c r="AK92" s="89"/>
      <c r="AL92" s="436"/>
      <c r="AM92" s="437"/>
      <c r="AN92" s="437"/>
      <c r="AO92" s="437"/>
      <c r="AP92" s="438"/>
    </row>
    <row r="93" spans="2:42" ht="36" customHeight="1" x14ac:dyDescent="0.3">
      <c r="B93" s="444" t="str">
        <f>Soportes!D52</f>
        <v>77445111</v>
      </c>
      <c r="C93" s="445"/>
      <c r="D93" s="226" t="str">
        <f t="shared" si="22"/>
        <v>5</v>
      </c>
      <c r="E93" s="440" t="str">
        <f t="shared" si="23"/>
        <v>1</v>
      </c>
      <c r="F93" s="440"/>
      <c r="G93" s="226" t="str">
        <f t="shared" si="24"/>
        <v>1</v>
      </c>
      <c r="H93" s="440" t="str">
        <f t="shared" si="25"/>
        <v>1</v>
      </c>
      <c r="I93" s="440"/>
      <c r="J93" s="439" t="str">
        <f>Soportes!P52</f>
        <v>Reporte de meta generado por DADE-SIRBE
Informe de implementación de acciones de prevención y erradicación de trabajo infantil</v>
      </c>
      <c r="K93" s="439"/>
      <c r="L93" s="439"/>
      <c r="M93" s="439"/>
      <c r="N93" s="150">
        <f>Soportes!T52</f>
        <v>0</v>
      </c>
      <c r="O93" s="89"/>
      <c r="P93" s="150">
        <f>Soportes!U52</f>
        <v>0.25</v>
      </c>
      <c r="Q93" s="89"/>
      <c r="R93" s="150">
        <f>Soportes!V52</f>
        <v>0.25</v>
      </c>
      <c r="S93" s="89"/>
      <c r="T93" s="150">
        <f>Soportes!W52</f>
        <v>0.25</v>
      </c>
      <c r="U93" s="89"/>
      <c r="V93" s="150">
        <f>Soportes!X52</f>
        <v>0.25</v>
      </c>
      <c r="W93" s="89"/>
      <c r="X93" s="150">
        <f>Soportes!Y52</f>
        <v>0</v>
      </c>
      <c r="Y93" s="89"/>
      <c r="Z93" s="150">
        <f>Soportes!Z52</f>
        <v>0</v>
      </c>
      <c r="AA93" s="89"/>
      <c r="AB93" s="150">
        <f>Soportes!AA52</f>
        <v>0</v>
      </c>
      <c r="AC93" s="89"/>
      <c r="AD93" s="150">
        <f>Soportes!AB52</f>
        <v>0</v>
      </c>
      <c r="AE93" s="89"/>
      <c r="AF93" s="150">
        <f>Soportes!AC52</f>
        <v>0</v>
      </c>
      <c r="AG93" s="89"/>
      <c r="AH93" s="150">
        <f>Soportes!AD52</f>
        <v>0</v>
      </c>
      <c r="AI93" s="89"/>
      <c r="AJ93" s="150">
        <f>Soportes!AE52</f>
        <v>0</v>
      </c>
      <c r="AK93" s="89"/>
      <c r="AL93" s="436"/>
      <c r="AM93" s="437"/>
      <c r="AN93" s="437"/>
      <c r="AO93" s="437"/>
      <c r="AP93" s="438"/>
    </row>
    <row r="94" spans="2:42" ht="36" customHeight="1" x14ac:dyDescent="0.3">
      <c r="B94" s="444" t="str">
        <f>Soportes!D53</f>
        <v>77445121</v>
      </c>
      <c r="C94" s="445"/>
      <c r="D94" s="226" t="str">
        <f t="shared" si="22"/>
        <v>5</v>
      </c>
      <c r="E94" s="440" t="str">
        <f t="shared" si="23"/>
        <v>1</v>
      </c>
      <c r="F94" s="440"/>
      <c r="G94" s="226" t="str">
        <f t="shared" si="24"/>
        <v>2</v>
      </c>
      <c r="H94" s="440" t="str">
        <f t="shared" si="25"/>
        <v>1</v>
      </c>
      <c r="I94" s="440"/>
      <c r="J94" s="439" t="str">
        <f>Soportes!P53</f>
        <v xml:space="preserve">(1) Presentación en power point  de la actualización de los Estándares de Calidad Centros Amar.
(2) Anexo técnico Estándares Calidad Centro Amar
(3)Acta (s) del Consejo GIS  con ajustes y aprobación  Estándares de calidad de Centros Amar </v>
      </c>
      <c r="K94" s="439"/>
      <c r="L94" s="439"/>
      <c r="M94" s="439"/>
      <c r="N94" s="150">
        <f>Soportes!T53</f>
        <v>0</v>
      </c>
      <c r="O94" s="89"/>
      <c r="P94" s="150">
        <f>Soportes!U53</f>
        <v>0.05</v>
      </c>
      <c r="Q94" s="89"/>
      <c r="R94" s="150">
        <f>Soportes!V53</f>
        <v>0.3</v>
      </c>
      <c r="S94" s="89"/>
      <c r="T94" s="150">
        <f>Soportes!W53</f>
        <v>0.35</v>
      </c>
      <c r="U94" s="89"/>
      <c r="V94" s="150">
        <f>Soportes!X53</f>
        <v>0.3</v>
      </c>
      <c r="W94" s="89"/>
      <c r="X94" s="150">
        <f>Soportes!Y53</f>
        <v>0</v>
      </c>
      <c r="Y94" s="89"/>
      <c r="Z94" s="150">
        <f>Soportes!Z53</f>
        <v>0</v>
      </c>
      <c r="AA94" s="89"/>
      <c r="AB94" s="150">
        <f>Soportes!AA53</f>
        <v>0</v>
      </c>
      <c r="AC94" s="89"/>
      <c r="AD94" s="150">
        <f>Soportes!AB53</f>
        <v>0</v>
      </c>
      <c r="AE94" s="89"/>
      <c r="AF94" s="150">
        <f>Soportes!AC53</f>
        <v>0</v>
      </c>
      <c r="AG94" s="89"/>
      <c r="AH94" s="150">
        <f>Soportes!AD53</f>
        <v>0</v>
      </c>
      <c r="AI94" s="89"/>
      <c r="AJ94" s="150">
        <f>Soportes!AE53</f>
        <v>0</v>
      </c>
      <c r="AK94" s="89"/>
      <c r="AL94" s="436"/>
      <c r="AM94" s="437"/>
      <c r="AN94" s="437"/>
      <c r="AO94" s="437"/>
      <c r="AP94" s="438"/>
    </row>
    <row r="95" spans="2:42" ht="36" customHeight="1" x14ac:dyDescent="0.3">
      <c r="B95" s="444" t="str">
        <f>Soportes!D54</f>
        <v>77445131</v>
      </c>
      <c r="C95" s="445"/>
      <c r="D95" s="226" t="str">
        <f t="shared" si="22"/>
        <v>5</v>
      </c>
      <c r="E95" s="440" t="str">
        <f t="shared" si="23"/>
        <v>1</v>
      </c>
      <c r="F95" s="440"/>
      <c r="G95" s="226" t="str">
        <f t="shared" si="24"/>
        <v>3</v>
      </c>
      <c r="H95" s="440" t="str">
        <f t="shared" si="25"/>
        <v>1</v>
      </c>
      <c r="I95" s="440"/>
      <c r="J95" s="439" t="str">
        <f>Soportes!P54</f>
        <v>Avance de la versión del protocolo 
      Protocolo atención a la denuncia ciudadana oficializado</v>
      </c>
      <c r="K95" s="439"/>
      <c r="L95" s="439"/>
      <c r="M95" s="439"/>
      <c r="N95" s="150">
        <f>Soportes!T54</f>
        <v>0</v>
      </c>
      <c r="O95" s="89"/>
      <c r="P95" s="150">
        <f>Soportes!U54</f>
        <v>0.1</v>
      </c>
      <c r="Q95" s="155"/>
      <c r="R95" s="150">
        <f>Soportes!V54</f>
        <v>0.3</v>
      </c>
      <c r="S95" s="89"/>
      <c r="T95" s="150">
        <f>Soportes!W54</f>
        <v>0.3</v>
      </c>
      <c r="U95" s="89"/>
      <c r="V95" s="150">
        <f>Soportes!X54</f>
        <v>0.3</v>
      </c>
      <c r="W95" s="89"/>
      <c r="X95" s="150">
        <f>Soportes!Y54</f>
        <v>0</v>
      </c>
      <c r="Y95" s="89"/>
      <c r="Z95" s="150">
        <f>Soportes!Z54</f>
        <v>0</v>
      </c>
      <c r="AA95" s="89"/>
      <c r="AB95" s="150">
        <f>Soportes!AA54</f>
        <v>0</v>
      </c>
      <c r="AC95" s="89"/>
      <c r="AD95" s="150">
        <f>Soportes!AB54</f>
        <v>0</v>
      </c>
      <c r="AE95" s="89"/>
      <c r="AF95" s="150">
        <f>Soportes!AC54</f>
        <v>0</v>
      </c>
      <c r="AG95" s="89"/>
      <c r="AH95" s="150">
        <f>Soportes!AD54</f>
        <v>0</v>
      </c>
      <c r="AI95" s="89"/>
      <c r="AJ95" s="150">
        <f>Soportes!AE54</f>
        <v>0</v>
      </c>
      <c r="AK95" s="89"/>
      <c r="AL95" s="436"/>
      <c r="AM95" s="437"/>
      <c r="AN95" s="437"/>
      <c r="AO95" s="437"/>
      <c r="AP95" s="438"/>
    </row>
    <row r="96" spans="2:42" ht="36" customHeight="1" x14ac:dyDescent="0.3">
      <c r="B96" s="444" t="str">
        <f>Soportes!D55</f>
        <v>77445211</v>
      </c>
      <c r="C96" s="445"/>
      <c r="D96" s="226" t="str">
        <f t="shared" si="22"/>
        <v>5</v>
      </c>
      <c r="E96" s="440" t="str">
        <f t="shared" si="23"/>
        <v>2</v>
      </c>
      <c r="F96" s="440"/>
      <c r="G96" s="226" t="str">
        <f t="shared" si="24"/>
        <v>1</v>
      </c>
      <c r="H96" s="440" t="str">
        <f t="shared" si="25"/>
        <v>1</v>
      </c>
      <c r="I96" s="440"/>
      <c r="J96" s="439" t="str">
        <f>Soportes!P55</f>
        <v>Reporte de meta generado por DADE-SIRBE
Informe de Gestión y  resultados atención transitoria a niñas y niños migrantes</v>
      </c>
      <c r="K96" s="439"/>
      <c r="L96" s="439"/>
      <c r="M96" s="439"/>
      <c r="N96" s="150">
        <f>Soportes!T55</f>
        <v>0</v>
      </c>
      <c r="O96" s="89"/>
      <c r="P96" s="150">
        <f>Soportes!U55</f>
        <v>0.25</v>
      </c>
      <c r="Q96" s="89"/>
      <c r="R96" s="150">
        <f>Soportes!V55</f>
        <v>0.25</v>
      </c>
      <c r="S96" s="89"/>
      <c r="T96" s="150">
        <f>Soportes!W55</f>
        <v>0.25</v>
      </c>
      <c r="U96" s="89"/>
      <c r="V96" s="150">
        <f>Soportes!X55</f>
        <v>0.25</v>
      </c>
      <c r="W96" s="89"/>
      <c r="X96" s="150">
        <f>Soportes!Y55</f>
        <v>0</v>
      </c>
      <c r="Y96" s="89"/>
      <c r="Z96" s="150">
        <f>Soportes!Z55</f>
        <v>0</v>
      </c>
      <c r="AA96" s="89"/>
      <c r="AB96" s="150">
        <f>Soportes!AA55</f>
        <v>0</v>
      </c>
      <c r="AC96" s="89"/>
      <c r="AD96" s="150">
        <f>Soportes!AB55</f>
        <v>0</v>
      </c>
      <c r="AE96" s="89"/>
      <c r="AF96" s="150">
        <f>Soportes!AC55</f>
        <v>0</v>
      </c>
      <c r="AG96" s="89"/>
      <c r="AH96" s="150">
        <f>Soportes!AD55</f>
        <v>0</v>
      </c>
      <c r="AI96" s="89"/>
      <c r="AJ96" s="150">
        <f>Soportes!AE55</f>
        <v>0</v>
      </c>
      <c r="AK96" s="89"/>
      <c r="AL96" s="436"/>
      <c r="AM96" s="437"/>
      <c r="AN96" s="437"/>
      <c r="AO96" s="437"/>
      <c r="AP96" s="438"/>
    </row>
    <row r="97" spans="2:42" ht="36" customHeight="1" x14ac:dyDescent="0.3">
      <c r="B97" s="444" t="str">
        <f>Soportes!D56</f>
        <v>77445411</v>
      </c>
      <c r="C97" s="445"/>
      <c r="D97" s="226" t="str">
        <f>MID(B97,5,2)</f>
        <v>54</v>
      </c>
      <c r="E97" s="440" t="str">
        <f>MID(B97,7,1)</f>
        <v>1</v>
      </c>
      <c r="F97" s="440"/>
      <c r="G97" s="226" t="str">
        <f>MID(B97,8,1)</f>
        <v>1</v>
      </c>
      <c r="H97" s="440" t="str">
        <f>MID(B97,9,1)</f>
        <v/>
      </c>
      <c r="I97" s="440"/>
      <c r="J97" s="439" t="str">
        <f>Soportes!P56</f>
        <v>Instructivo de abordaje territorial del servicio de atención transitoria Centro Abrazar</v>
      </c>
      <c r="K97" s="439"/>
      <c r="L97" s="439"/>
      <c r="M97" s="439"/>
      <c r="N97" s="150">
        <f>Soportes!T56</f>
        <v>0</v>
      </c>
      <c r="O97" s="89"/>
      <c r="P97" s="150">
        <f>Soportes!U56</f>
        <v>0.1</v>
      </c>
      <c r="Q97" s="89"/>
      <c r="R97" s="150">
        <f>Soportes!V56</f>
        <v>0.1</v>
      </c>
      <c r="S97" s="89"/>
      <c r="T97" s="150">
        <f>Soportes!W56</f>
        <v>0.2</v>
      </c>
      <c r="U97" s="89"/>
      <c r="V97" s="150">
        <f>Soportes!X56</f>
        <v>0.6</v>
      </c>
      <c r="W97" s="89"/>
      <c r="X97" s="150">
        <f>Soportes!Y56</f>
        <v>0</v>
      </c>
      <c r="Y97" s="89"/>
      <c r="Z97" s="150">
        <f>Soportes!Z56</f>
        <v>0</v>
      </c>
      <c r="AA97" s="89"/>
      <c r="AB97" s="150">
        <f>Soportes!AA56</f>
        <v>0</v>
      </c>
      <c r="AC97" s="89"/>
      <c r="AD97" s="150">
        <f>Soportes!AB56</f>
        <v>0</v>
      </c>
      <c r="AE97" s="89"/>
      <c r="AF97" s="150">
        <f>Soportes!AC56</f>
        <v>0</v>
      </c>
      <c r="AG97" s="89"/>
      <c r="AH97" s="150">
        <f>Soportes!AD56</f>
        <v>0</v>
      </c>
      <c r="AI97" s="89"/>
      <c r="AJ97" s="150">
        <f>Soportes!AE56</f>
        <v>0</v>
      </c>
      <c r="AK97" s="89"/>
      <c r="AL97" s="436"/>
      <c r="AM97" s="437"/>
      <c r="AN97" s="437"/>
      <c r="AO97" s="437"/>
      <c r="AP97" s="438"/>
    </row>
    <row r="98" spans="2:42" ht="36" customHeight="1" x14ac:dyDescent="0.3">
      <c r="B98" s="444" t="str">
        <f>Soportes!D57</f>
        <v>77445421</v>
      </c>
      <c r="C98" s="445"/>
      <c r="D98" s="226" t="str">
        <f>MID(B98,5,2)</f>
        <v>54</v>
      </c>
      <c r="E98" s="440" t="str">
        <f>MID(B98,7,1)</f>
        <v>2</v>
      </c>
      <c r="F98" s="440"/>
      <c r="G98" s="226" t="str">
        <f>MID(B98,8,1)</f>
        <v>1</v>
      </c>
      <c r="H98" s="440" t="str">
        <f>MID(B98,9,1)</f>
        <v/>
      </c>
      <c r="I98" s="440"/>
      <c r="J98" s="439" t="str">
        <f>Soportes!P57</f>
        <v xml:space="preserve">Reporte de meta generado por DADE-SIRBE
Informe de Implementación de  la estrategia el Arte de Cuidarte </v>
      </c>
      <c r="K98" s="439"/>
      <c r="L98" s="439"/>
      <c r="M98" s="439"/>
      <c r="N98" s="150">
        <f>Soportes!T57</f>
        <v>0</v>
      </c>
      <c r="O98" s="89"/>
      <c r="P98" s="150">
        <f>Soportes!U57</f>
        <v>0.25</v>
      </c>
      <c r="Q98" s="89"/>
      <c r="R98" s="150">
        <f>Soportes!V57</f>
        <v>0.25</v>
      </c>
      <c r="S98" s="89"/>
      <c r="T98" s="150">
        <f>Soportes!W57</f>
        <v>0.25</v>
      </c>
      <c r="U98" s="89"/>
      <c r="V98" s="150">
        <f>Soportes!X57</f>
        <v>0.25</v>
      </c>
      <c r="W98" s="89"/>
      <c r="X98" s="150">
        <f>Soportes!Y57</f>
        <v>0</v>
      </c>
      <c r="Y98" s="89"/>
      <c r="Z98" s="150">
        <f>Soportes!Z57</f>
        <v>0</v>
      </c>
      <c r="AA98" s="89"/>
      <c r="AB98" s="150">
        <f>Soportes!AA57</f>
        <v>0</v>
      </c>
      <c r="AC98" s="89"/>
      <c r="AD98" s="150">
        <f>Soportes!AB57</f>
        <v>0</v>
      </c>
      <c r="AE98" s="89"/>
      <c r="AF98" s="150">
        <f>Soportes!AC57</f>
        <v>0</v>
      </c>
      <c r="AG98" s="89"/>
      <c r="AH98" s="150">
        <f>Soportes!AD57</f>
        <v>0</v>
      </c>
      <c r="AI98" s="89"/>
      <c r="AJ98" s="150">
        <f>Soportes!AE57</f>
        <v>0</v>
      </c>
      <c r="AK98" s="89"/>
      <c r="AL98" s="436"/>
      <c r="AM98" s="437"/>
      <c r="AN98" s="437"/>
      <c r="AO98" s="437"/>
      <c r="AP98" s="438"/>
    </row>
    <row r="99" spans="2:42" ht="36" customHeight="1" x14ac:dyDescent="0.3">
      <c r="B99" s="444" t="str">
        <f>Soportes!D58</f>
        <v>77446111</v>
      </c>
      <c r="C99" s="445"/>
      <c r="D99" s="226" t="str">
        <f t="shared" ref="D99:D105" si="26">MID(B99,5,2)</f>
        <v>61</v>
      </c>
      <c r="E99" s="440" t="str">
        <f t="shared" ref="E99:E105" si="27">MID(B99,7,1)</f>
        <v>1</v>
      </c>
      <c r="F99" s="440"/>
      <c r="G99" s="226" t="str">
        <f t="shared" ref="G99:G105" si="28">MID(B99,8,1)</f>
        <v>1</v>
      </c>
      <c r="H99" s="440" t="str">
        <f t="shared" ref="H99:H105" si="29">MID(B99,9,1)</f>
        <v/>
      </c>
      <c r="I99" s="440"/>
      <c r="J99" s="439" t="str">
        <f>Soportes!P58</f>
        <v>Reporte de atención generado por la DADE - SIRBE
Informe del proceso de implementación de la Estrategia Atrapasueños.
En diciembre se entrega el informe de gestión de la Implementación de la Estrategia</v>
      </c>
      <c r="K99" s="439"/>
      <c r="L99" s="439"/>
      <c r="M99" s="439"/>
      <c r="N99" s="150">
        <f>Soportes!T58</f>
        <v>0</v>
      </c>
      <c r="O99" s="89"/>
      <c r="P99" s="150">
        <f>Soportes!U58</f>
        <v>0.25</v>
      </c>
      <c r="Q99" s="89"/>
      <c r="R99" s="150">
        <f>Soportes!V58</f>
        <v>0.25</v>
      </c>
      <c r="S99" s="89"/>
      <c r="T99" s="150">
        <f>Soportes!W58</f>
        <v>0.25</v>
      </c>
      <c r="U99" s="89"/>
      <c r="V99" s="150">
        <f>Soportes!X58</f>
        <v>0.25</v>
      </c>
      <c r="W99" s="89"/>
      <c r="X99" s="150">
        <f>Soportes!Y58</f>
        <v>0</v>
      </c>
      <c r="Y99" s="89"/>
      <c r="Z99" s="150">
        <f>Soportes!Z58</f>
        <v>0</v>
      </c>
      <c r="AA99" s="89"/>
      <c r="AB99" s="150">
        <f>Soportes!AA58</f>
        <v>0</v>
      </c>
      <c r="AC99" s="89"/>
      <c r="AD99" s="150">
        <f>Soportes!AB58</f>
        <v>0</v>
      </c>
      <c r="AE99" s="89"/>
      <c r="AF99" s="150">
        <f>Soportes!AC58</f>
        <v>0</v>
      </c>
      <c r="AG99" s="89"/>
      <c r="AH99" s="150">
        <f>Soportes!AD58</f>
        <v>0</v>
      </c>
      <c r="AI99" s="89"/>
      <c r="AJ99" s="150">
        <f>Soportes!AE58</f>
        <v>0</v>
      </c>
      <c r="AK99" s="89"/>
      <c r="AL99" s="436"/>
      <c r="AM99" s="437"/>
      <c r="AN99" s="437"/>
      <c r="AO99" s="437"/>
      <c r="AP99" s="438"/>
    </row>
    <row r="100" spans="2:42" ht="72.75" customHeight="1" x14ac:dyDescent="0.3">
      <c r="B100" s="444" t="str">
        <f>Soportes!D59</f>
        <v>77446121</v>
      </c>
      <c r="C100" s="445"/>
      <c r="D100" s="226" t="str">
        <f t="shared" si="26"/>
        <v>61</v>
      </c>
      <c r="E100" s="440" t="str">
        <f t="shared" si="27"/>
        <v>2</v>
      </c>
      <c r="F100" s="440"/>
      <c r="G100" s="226" t="str">
        <f t="shared" si="28"/>
        <v>1</v>
      </c>
      <c r="H100" s="440" t="str">
        <f t="shared" si="29"/>
        <v/>
      </c>
      <c r="I100" s="440"/>
      <c r="J100" s="439" t="str">
        <f>Soportes!P59</f>
        <v>Ficha técnica de participación y movilización y planilla de asistencia.
Matriz con relación de los procesos de participación y movilización</v>
      </c>
      <c r="K100" s="439"/>
      <c r="L100" s="439"/>
      <c r="M100" s="439"/>
      <c r="N100" s="150">
        <f>Soportes!T59</f>
        <v>0</v>
      </c>
      <c r="O100" s="89"/>
      <c r="P100" s="150">
        <f>Soportes!U59</f>
        <v>0.25</v>
      </c>
      <c r="Q100" s="155"/>
      <c r="R100" s="150">
        <f>Soportes!V59</f>
        <v>0.25</v>
      </c>
      <c r="S100" s="89"/>
      <c r="T100" s="150">
        <f>Soportes!W59</f>
        <v>0.25</v>
      </c>
      <c r="U100" s="89"/>
      <c r="V100" s="150">
        <f>Soportes!X59</f>
        <v>0.25</v>
      </c>
      <c r="W100" s="89"/>
      <c r="X100" s="150">
        <f>Soportes!Y59</f>
        <v>0</v>
      </c>
      <c r="Y100" s="89"/>
      <c r="Z100" s="150">
        <f>Soportes!Z59</f>
        <v>0</v>
      </c>
      <c r="AA100" s="89"/>
      <c r="AB100" s="150">
        <f>Soportes!AA59</f>
        <v>0</v>
      </c>
      <c r="AC100" s="89"/>
      <c r="AD100" s="150">
        <f>Soportes!AB59</f>
        <v>0</v>
      </c>
      <c r="AE100" s="89"/>
      <c r="AF100" s="150">
        <f>Soportes!AC59</f>
        <v>0</v>
      </c>
      <c r="AG100" s="89"/>
      <c r="AH100" s="150">
        <f>Soportes!AD59</f>
        <v>0</v>
      </c>
      <c r="AI100" s="89"/>
      <c r="AJ100" s="150">
        <f>Soportes!AE59</f>
        <v>0</v>
      </c>
      <c r="AK100" s="89"/>
      <c r="AL100" s="436"/>
      <c r="AM100" s="437"/>
      <c r="AN100" s="437"/>
      <c r="AO100" s="437"/>
      <c r="AP100" s="438"/>
    </row>
    <row r="101" spans="2:42" ht="36" customHeight="1" x14ac:dyDescent="0.3">
      <c r="B101" s="444" t="str">
        <f>Soportes!D60</f>
        <v>77446131</v>
      </c>
      <c r="C101" s="445"/>
      <c r="D101" s="226" t="str">
        <f t="shared" si="26"/>
        <v>61</v>
      </c>
      <c r="E101" s="440" t="str">
        <f t="shared" si="27"/>
        <v>3</v>
      </c>
      <c r="F101" s="440"/>
      <c r="G101" s="226" t="str">
        <f t="shared" si="28"/>
        <v>1</v>
      </c>
      <c r="H101" s="440" t="str">
        <f t="shared" si="29"/>
        <v/>
      </c>
      <c r="I101" s="440"/>
      <c r="J101" s="439" t="str">
        <f>Soportes!P60</f>
        <v>Formatos de planeación, ejecución y planillas de asistencia.
Matriz con relación de jornadas de acciones</v>
      </c>
      <c r="K101" s="439"/>
      <c r="L101" s="439"/>
      <c r="M101" s="439"/>
      <c r="N101" s="150">
        <f>Soportes!T60</f>
        <v>0</v>
      </c>
      <c r="O101" s="89"/>
      <c r="P101" s="150">
        <f>Soportes!U60</f>
        <v>0.25</v>
      </c>
      <c r="Q101" s="89"/>
      <c r="R101" s="150">
        <f>Soportes!V60</f>
        <v>0.25</v>
      </c>
      <c r="S101" s="89"/>
      <c r="T101" s="150">
        <f>Soportes!W60</f>
        <v>0.25</v>
      </c>
      <c r="U101" s="89"/>
      <c r="V101" s="150">
        <f>Soportes!X60</f>
        <v>0.25</v>
      </c>
      <c r="W101" s="89"/>
      <c r="X101" s="150">
        <f>Soportes!Y60</f>
        <v>0</v>
      </c>
      <c r="Y101" s="89"/>
      <c r="Z101" s="150">
        <f>Soportes!Z60</f>
        <v>0</v>
      </c>
      <c r="AA101" s="89"/>
      <c r="AB101" s="150">
        <f>Soportes!AA60</f>
        <v>0</v>
      </c>
      <c r="AC101" s="89"/>
      <c r="AD101" s="150">
        <f>Soportes!AB60</f>
        <v>0</v>
      </c>
      <c r="AE101" s="89"/>
      <c r="AF101" s="150">
        <f>Soportes!AC60</f>
        <v>0</v>
      </c>
      <c r="AG101" s="89"/>
      <c r="AH101" s="150">
        <f>Soportes!AD60</f>
        <v>0</v>
      </c>
      <c r="AI101" s="89"/>
      <c r="AJ101" s="150">
        <f>Soportes!AE60</f>
        <v>0</v>
      </c>
      <c r="AK101" s="89"/>
      <c r="AL101" s="436"/>
      <c r="AM101" s="437"/>
      <c r="AN101" s="437"/>
      <c r="AO101" s="437"/>
      <c r="AP101" s="438"/>
    </row>
    <row r="102" spans="2:42" ht="36" customHeight="1" x14ac:dyDescent="0.3">
      <c r="B102" s="444" t="e">
        <f>Soportes!#REF!</f>
        <v>#REF!</v>
      </c>
      <c r="C102" s="445"/>
      <c r="D102" s="226" t="e">
        <f t="shared" si="26"/>
        <v>#REF!</v>
      </c>
      <c r="E102" s="440" t="e">
        <f t="shared" si="27"/>
        <v>#REF!</v>
      </c>
      <c r="F102" s="440"/>
      <c r="G102" s="226" t="e">
        <f t="shared" si="28"/>
        <v>#REF!</v>
      </c>
      <c r="H102" s="440" t="e">
        <f t="shared" si="29"/>
        <v>#REF!</v>
      </c>
      <c r="I102" s="440"/>
      <c r="J102" s="439" t="e">
        <f>Soportes!#REF!</f>
        <v>#REF!</v>
      </c>
      <c r="K102" s="439"/>
      <c r="L102" s="439"/>
      <c r="M102" s="439"/>
      <c r="N102" s="150" t="e">
        <f>Soportes!#REF!</f>
        <v>#REF!</v>
      </c>
      <c r="O102" s="89"/>
      <c r="P102" s="150" t="e">
        <f>Soportes!#REF!</f>
        <v>#REF!</v>
      </c>
      <c r="Q102" s="89"/>
      <c r="R102" s="150" t="e">
        <f>Soportes!#REF!</f>
        <v>#REF!</v>
      </c>
      <c r="S102" s="89"/>
      <c r="T102" s="150" t="e">
        <f>Soportes!#REF!</f>
        <v>#REF!</v>
      </c>
      <c r="U102" s="89"/>
      <c r="V102" s="150" t="e">
        <f>Soportes!#REF!</f>
        <v>#REF!</v>
      </c>
      <c r="W102" s="89"/>
      <c r="X102" s="150" t="e">
        <f>Soportes!#REF!</f>
        <v>#REF!</v>
      </c>
      <c r="Y102" s="89"/>
      <c r="Z102" s="150" t="e">
        <f>Soportes!#REF!</f>
        <v>#REF!</v>
      </c>
      <c r="AA102" s="89"/>
      <c r="AB102" s="150" t="e">
        <f>Soportes!#REF!</f>
        <v>#REF!</v>
      </c>
      <c r="AC102" s="89"/>
      <c r="AD102" s="150" t="e">
        <f>Soportes!#REF!</f>
        <v>#REF!</v>
      </c>
      <c r="AE102" s="89"/>
      <c r="AF102" s="150" t="e">
        <f>Soportes!#REF!</f>
        <v>#REF!</v>
      </c>
      <c r="AG102" s="89"/>
      <c r="AH102" s="150" t="e">
        <f>Soportes!#REF!</f>
        <v>#REF!</v>
      </c>
      <c r="AI102" s="89"/>
      <c r="AJ102" s="150" t="e">
        <f>Soportes!#REF!</f>
        <v>#REF!</v>
      </c>
      <c r="AK102" s="89"/>
      <c r="AL102" s="436"/>
      <c r="AM102" s="437"/>
      <c r="AN102" s="437"/>
      <c r="AO102" s="437"/>
      <c r="AP102" s="438"/>
    </row>
    <row r="103" spans="2:42" ht="36" customHeight="1" x14ac:dyDescent="0.3">
      <c r="B103" s="444" t="e">
        <f>Soportes!#REF!</f>
        <v>#REF!</v>
      </c>
      <c r="C103" s="445"/>
      <c r="D103" s="226" t="e">
        <f t="shared" si="26"/>
        <v>#REF!</v>
      </c>
      <c r="E103" s="440" t="e">
        <f t="shared" si="27"/>
        <v>#REF!</v>
      </c>
      <c r="F103" s="440"/>
      <c r="G103" s="226" t="e">
        <f t="shared" si="28"/>
        <v>#REF!</v>
      </c>
      <c r="H103" s="440" t="e">
        <f t="shared" si="29"/>
        <v>#REF!</v>
      </c>
      <c r="I103" s="440"/>
      <c r="J103" s="439" t="e">
        <f>Soportes!#REF!</f>
        <v>#REF!</v>
      </c>
      <c r="K103" s="439"/>
      <c r="L103" s="439"/>
      <c r="M103" s="439"/>
      <c r="N103" s="150" t="e">
        <f>Soportes!#REF!</f>
        <v>#REF!</v>
      </c>
      <c r="O103" s="89"/>
      <c r="P103" s="150" t="e">
        <f>Soportes!#REF!</f>
        <v>#REF!</v>
      </c>
      <c r="Q103" s="89"/>
      <c r="R103" s="150" t="e">
        <f>Soportes!#REF!</f>
        <v>#REF!</v>
      </c>
      <c r="S103" s="89"/>
      <c r="T103" s="150" t="e">
        <f>Soportes!#REF!</f>
        <v>#REF!</v>
      </c>
      <c r="U103" s="89"/>
      <c r="V103" s="150" t="e">
        <f>Soportes!#REF!</f>
        <v>#REF!</v>
      </c>
      <c r="W103" s="89"/>
      <c r="X103" s="150" t="e">
        <f>Soportes!#REF!</f>
        <v>#REF!</v>
      </c>
      <c r="Y103" s="89"/>
      <c r="Z103" s="150" t="e">
        <f>Soportes!#REF!</f>
        <v>#REF!</v>
      </c>
      <c r="AA103" s="89"/>
      <c r="AB103" s="150" t="e">
        <f>Soportes!#REF!</f>
        <v>#REF!</v>
      </c>
      <c r="AC103" s="89"/>
      <c r="AD103" s="150" t="e">
        <f>Soportes!#REF!</f>
        <v>#REF!</v>
      </c>
      <c r="AE103" s="89"/>
      <c r="AF103" s="150" t="e">
        <f>Soportes!#REF!</f>
        <v>#REF!</v>
      </c>
      <c r="AG103" s="89"/>
      <c r="AH103" s="150" t="e">
        <f>Soportes!#REF!</f>
        <v>#REF!</v>
      </c>
      <c r="AI103" s="89"/>
      <c r="AJ103" s="150" t="e">
        <f>Soportes!#REF!</f>
        <v>#REF!</v>
      </c>
      <c r="AK103" s="89"/>
      <c r="AL103" s="436"/>
      <c r="AM103" s="437"/>
      <c r="AN103" s="437"/>
      <c r="AO103" s="437"/>
      <c r="AP103" s="438"/>
    </row>
    <row r="104" spans="2:42" ht="36" customHeight="1" x14ac:dyDescent="0.3">
      <c r="B104" s="444" t="e">
        <f>Soportes!#REF!</f>
        <v>#REF!</v>
      </c>
      <c r="C104" s="445"/>
      <c r="D104" s="226" t="e">
        <f t="shared" si="26"/>
        <v>#REF!</v>
      </c>
      <c r="E104" s="440" t="e">
        <f t="shared" si="27"/>
        <v>#REF!</v>
      </c>
      <c r="F104" s="440"/>
      <c r="G104" s="226" t="e">
        <f t="shared" si="28"/>
        <v>#REF!</v>
      </c>
      <c r="H104" s="440" t="e">
        <f t="shared" si="29"/>
        <v>#REF!</v>
      </c>
      <c r="I104" s="440"/>
      <c r="J104" s="439" t="e">
        <f>Soportes!#REF!</f>
        <v>#REF!</v>
      </c>
      <c r="K104" s="439"/>
      <c r="L104" s="439"/>
      <c r="M104" s="439"/>
      <c r="N104" s="150" t="e">
        <f>Soportes!#REF!</f>
        <v>#REF!</v>
      </c>
      <c r="O104" s="89"/>
      <c r="P104" s="150" t="e">
        <f>Soportes!#REF!</f>
        <v>#REF!</v>
      </c>
      <c r="Q104" s="89"/>
      <c r="R104" s="150" t="e">
        <f>Soportes!#REF!</f>
        <v>#REF!</v>
      </c>
      <c r="S104" s="89"/>
      <c r="T104" s="150" t="e">
        <f>Soportes!#REF!</f>
        <v>#REF!</v>
      </c>
      <c r="U104" s="89"/>
      <c r="V104" s="150" t="e">
        <f>Soportes!#REF!</f>
        <v>#REF!</v>
      </c>
      <c r="W104" s="89"/>
      <c r="X104" s="150" t="e">
        <f>Soportes!#REF!</f>
        <v>#REF!</v>
      </c>
      <c r="Y104" s="89"/>
      <c r="Z104" s="150" t="e">
        <f>Soportes!#REF!</f>
        <v>#REF!</v>
      </c>
      <c r="AA104" s="89"/>
      <c r="AB104" s="150" t="e">
        <f>Soportes!#REF!</f>
        <v>#REF!</v>
      </c>
      <c r="AC104" s="89"/>
      <c r="AD104" s="150" t="e">
        <f>Soportes!#REF!</f>
        <v>#REF!</v>
      </c>
      <c r="AE104" s="89"/>
      <c r="AF104" s="150" t="e">
        <f>Soportes!#REF!</f>
        <v>#REF!</v>
      </c>
      <c r="AG104" s="89"/>
      <c r="AH104" s="150" t="e">
        <f>Soportes!#REF!</f>
        <v>#REF!</v>
      </c>
      <c r="AI104" s="89"/>
      <c r="AJ104" s="150" t="e">
        <f>Soportes!#REF!</f>
        <v>#REF!</v>
      </c>
      <c r="AK104" s="89"/>
      <c r="AL104" s="436"/>
      <c r="AM104" s="437"/>
      <c r="AN104" s="437"/>
      <c r="AO104" s="437"/>
      <c r="AP104" s="438"/>
    </row>
    <row r="105" spans="2:42" ht="36" customHeight="1" x14ac:dyDescent="0.3">
      <c r="B105" s="444" t="e">
        <f>Soportes!#REF!</f>
        <v>#REF!</v>
      </c>
      <c r="C105" s="445"/>
      <c r="D105" s="226" t="e">
        <f t="shared" si="26"/>
        <v>#REF!</v>
      </c>
      <c r="E105" s="440" t="e">
        <f t="shared" si="27"/>
        <v>#REF!</v>
      </c>
      <c r="F105" s="440"/>
      <c r="G105" s="226" t="e">
        <f t="shared" si="28"/>
        <v>#REF!</v>
      </c>
      <c r="H105" s="440" t="e">
        <f t="shared" si="29"/>
        <v>#REF!</v>
      </c>
      <c r="I105" s="440"/>
      <c r="J105" s="439" t="e">
        <f>Soportes!#REF!</f>
        <v>#REF!</v>
      </c>
      <c r="K105" s="439"/>
      <c r="L105" s="439"/>
      <c r="M105" s="439"/>
      <c r="N105" s="150" t="e">
        <f>Soportes!#REF!</f>
        <v>#REF!</v>
      </c>
      <c r="O105" s="89"/>
      <c r="P105" s="150" t="e">
        <f>Soportes!#REF!</f>
        <v>#REF!</v>
      </c>
      <c r="Q105" s="155"/>
      <c r="R105" s="150" t="e">
        <f>Soportes!#REF!</f>
        <v>#REF!</v>
      </c>
      <c r="S105" s="89"/>
      <c r="T105" s="150" t="e">
        <f>Soportes!#REF!</f>
        <v>#REF!</v>
      </c>
      <c r="U105" s="89"/>
      <c r="V105" s="150" t="e">
        <f>Soportes!#REF!</f>
        <v>#REF!</v>
      </c>
      <c r="W105" s="89"/>
      <c r="X105" s="150" t="e">
        <f>Soportes!#REF!</f>
        <v>#REF!</v>
      </c>
      <c r="Y105" s="89"/>
      <c r="Z105" s="150" t="e">
        <f>Soportes!#REF!</f>
        <v>#REF!</v>
      </c>
      <c r="AA105" s="89"/>
      <c r="AB105" s="150" t="e">
        <f>Soportes!#REF!</f>
        <v>#REF!</v>
      </c>
      <c r="AC105" s="89"/>
      <c r="AD105" s="150" t="e">
        <f>Soportes!#REF!</f>
        <v>#REF!</v>
      </c>
      <c r="AE105" s="89"/>
      <c r="AF105" s="150" t="e">
        <f>Soportes!#REF!</f>
        <v>#REF!</v>
      </c>
      <c r="AG105" s="89"/>
      <c r="AH105" s="150" t="e">
        <f>Soportes!#REF!</f>
        <v>#REF!</v>
      </c>
      <c r="AI105" s="89"/>
      <c r="AJ105" s="150" t="e">
        <f>Soportes!#REF!</f>
        <v>#REF!</v>
      </c>
      <c r="AK105" s="89"/>
      <c r="AL105" s="436"/>
      <c r="AM105" s="437"/>
      <c r="AN105" s="437"/>
      <c r="AO105" s="437"/>
      <c r="AP105" s="438"/>
    </row>
  </sheetData>
  <autoFilter ref="B60:AP105" xr:uid="{00000000-0009-0000-0000-000006000000}">
    <filterColumn colId="0" showButton="0"/>
    <filterColumn colId="3" showButton="0"/>
    <filterColumn colId="6" showButton="0"/>
    <filterColumn colId="8" showButton="0"/>
    <filterColumn colId="9"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7" showButton="0"/>
    <filterColumn colId="38" showButton="0"/>
    <filterColumn colId="39" showButton="0"/>
  </autoFilter>
  <mergeCells count="512">
    <mergeCell ref="AH14:AJ14"/>
    <mergeCell ref="AH18:AJ18"/>
    <mergeCell ref="AH17:AJ17"/>
    <mergeCell ref="AH16:AJ16"/>
    <mergeCell ref="AK15:AM15"/>
    <mergeCell ref="O31:P31"/>
    <mergeCell ref="O32:P32"/>
    <mergeCell ref="O33:P33"/>
    <mergeCell ref="U15:W15"/>
    <mergeCell ref="U16:W16"/>
    <mergeCell ref="R17:T17"/>
    <mergeCell ref="R15:T15"/>
    <mergeCell ref="X15:Z15"/>
    <mergeCell ref="X16:Z16"/>
    <mergeCell ref="P15:Q15"/>
    <mergeCell ref="P16:Q16"/>
    <mergeCell ref="P17:Q17"/>
    <mergeCell ref="X17:Z17"/>
    <mergeCell ref="AK18:AM18"/>
    <mergeCell ref="AK17:AM17"/>
    <mergeCell ref="AK16:AM16"/>
    <mergeCell ref="AH15:AJ15"/>
    <mergeCell ref="AA15:AC15"/>
    <mergeCell ref="AA16:AC16"/>
    <mergeCell ref="AA17:AC17"/>
    <mergeCell ref="AF17:AG17"/>
    <mergeCell ref="AA18:AC18"/>
    <mergeCell ref="P43:Q43"/>
    <mergeCell ref="P44:Q44"/>
    <mergeCell ref="P42:Q42"/>
    <mergeCell ref="P41:Q41"/>
    <mergeCell ref="O39:V39"/>
    <mergeCell ref="X28:AH51"/>
    <mergeCell ref="P49:Q49"/>
    <mergeCell ref="P50:Q50"/>
    <mergeCell ref="P51:Q51"/>
    <mergeCell ref="X24:Z24"/>
    <mergeCell ref="Q31:R31"/>
    <mergeCell ref="Q32:R32"/>
    <mergeCell ref="Q37:R37"/>
    <mergeCell ref="Q33:R33"/>
    <mergeCell ref="Q34:R34"/>
    <mergeCell ref="Q35:R35"/>
    <mergeCell ref="AA24:AC24"/>
    <mergeCell ref="AF18:AG18"/>
    <mergeCell ref="P18:Q18"/>
    <mergeCell ref="X18:Z18"/>
    <mergeCell ref="X23:Z23"/>
    <mergeCell ref="R16:T16"/>
    <mergeCell ref="R18:T18"/>
    <mergeCell ref="R13:T13"/>
    <mergeCell ref="R20:T20"/>
    <mergeCell ref="U20:W20"/>
    <mergeCell ref="U24:W24"/>
    <mergeCell ref="U19:W19"/>
    <mergeCell ref="U21:W21"/>
    <mergeCell ref="U17:W17"/>
    <mergeCell ref="K17:M17"/>
    <mergeCell ref="P24:Q24"/>
    <mergeCell ref="R24:T24"/>
    <mergeCell ref="K15:M15"/>
    <mergeCell ref="O2:R2"/>
    <mergeCell ref="O3:R3"/>
    <mergeCell ref="O4:R4"/>
    <mergeCell ref="O5:R5"/>
    <mergeCell ref="E2:N5"/>
    <mergeCell ref="G18:I18"/>
    <mergeCell ref="D15:F15"/>
    <mergeCell ref="D21:F21"/>
    <mergeCell ref="G21:I21"/>
    <mergeCell ref="C2:D5"/>
    <mergeCell ref="A8:AP8"/>
    <mergeCell ref="U12:W12"/>
    <mergeCell ref="D14:F14"/>
    <mergeCell ref="X14:Z14"/>
    <mergeCell ref="P14:Q14"/>
    <mergeCell ref="U14:W14"/>
    <mergeCell ref="AA13:AC13"/>
    <mergeCell ref="R14:T14"/>
    <mergeCell ref="U13:W13"/>
    <mergeCell ref="U18:W18"/>
    <mergeCell ref="B10:AN10"/>
    <mergeCell ref="X12:Z12"/>
    <mergeCell ref="X13:Z13"/>
    <mergeCell ref="B12:C12"/>
    <mergeCell ref="P13:Q13"/>
    <mergeCell ref="AA12:AC12"/>
    <mergeCell ref="P12:Q12"/>
    <mergeCell ref="R12:T12"/>
    <mergeCell ref="AF14:AG14"/>
    <mergeCell ref="K12:M12"/>
    <mergeCell ref="B14:C14"/>
    <mergeCell ref="G14:I14"/>
    <mergeCell ref="G13:I13"/>
    <mergeCell ref="D12:F12"/>
    <mergeCell ref="AF12:AG12"/>
    <mergeCell ref="AH12:AJ12"/>
    <mergeCell ref="AK12:AM12"/>
    <mergeCell ref="AF13:AG13"/>
    <mergeCell ref="AA14:AC14"/>
    <mergeCell ref="K13:M13"/>
    <mergeCell ref="K14:M14"/>
    <mergeCell ref="AK14:AM14"/>
    <mergeCell ref="AK13:AM13"/>
    <mergeCell ref="AH13:AJ13"/>
    <mergeCell ref="B105:C105"/>
    <mergeCell ref="E105:F105"/>
    <mergeCell ref="H105:I105"/>
    <mergeCell ref="J105:M105"/>
    <mergeCell ref="AL105:AP105"/>
    <mergeCell ref="B103:C103"/>
    <mergeCell ref="E103:F103"/>
    <mergeCell ref="H103:I103"/>
    <mergeCell ref="J103:M103"/>
    <mergeCell ref="AL103:AP103"/>
    <mergeCell ref="B104:C104"/>
    <mergeCell ref="E104:F104"/>
    <mergeCell ref="H104:I104"/>
    <mergeCell ref="J104:M104"/>
    <mergeCell ref="AL104:AP104"/>
    <mergeCell ref="B101:C101"/>
    <mergeCell ref="E101:F101"/>
    <mergeCell ref="H101:I101"/>
    <mergeCell ref="J101:M101"/>
    <mergeCell ref="AL101:AP101"/>
    <mergeCell ref="B102:C102"/>
    <mergeCell ref="E102:F102"/>
    <mergeCell ref="H102:I102"/>
    <mergeCell ref="J102:M102"/>
    <mergeCell ref="AL102:AP102"/>
    <mergeCell ref="B99:C99"/>
    <mergeCell ref="E99:F99"/>
    <mergeCell ref="H99:I99"/>
    <mergeCell ref="J99:M99"/>
    <mergeCell ref="AL99:AP99"/>
    <mergeCell ref="B100:C100"/>
    <mergeCell ref="E100:F100"/>
    <mergeCell ref="H100:I100"/>
    <mergeCell ref="J100:M100"/>
    <mergeCell ref="AL100:AP100"/>
    <mergeCell ref="B97:C97"/>
    <mergeCell ref="E97:F97"/>
    <mergeCell ref="H97:I97"/>
    <mergeCell ref="J97:M97"/>
    <mergeCell ref="AL97:AP97"/>
    <mergeCell ref="B98:C98"/>
    <mergeCell ref="E98:F98"/>
    <mergeCell ref="H98:I98"/>
    <mergeCell ref="J98:M98"/>
    <mergeCell ref="AL98:AP98"/>
    <mergeCell ref="B95:C95"/>
    <mergeCell ref="E95:F95"/>
    <mergeCell ref="H95:I95"/>
    <mergeCell ref="J95:M95"/>
    <mergeCell ref="AL95:AP95"/>
    <mergeCell ref="B96:C96"/>
    <mergeCell ref="E96:F96"/>
    <mergeCell ref="H96:I96"/>
    <mergeCell ref="J96:M96"/>
    <mergeCell ref="AL96:AP96"/>
    <mergeCell ref="B93:C93"/>
    <mergeCell ref="E93:F93"/>
    <mergeCell ref="H93:I93"/>
    <mergeCell ref="J93:M93"/>
    <mergeCell ref="AL93:AP93"/>
    <mergeCell ref="B94:C94"/>
    <mergeCell ref="E94:F94"/>
    <mergeCell ref="H94:I94"/>
    <mergeCell ref="J94:M94"/>
    <mergeCell ref="AL94:AP94"/>
    <mergeCell ref="B91:C91"/>
    <mergeCell ref="E91:F91"/>
    <mergeCell ref="H91:I91"/>
    <mergeCell ref="J91:M91"/>
    <mergeCell ref="AL91:AP91"/>
    <mergeCell ref="B92:C92"/>
    <mergeCell ref="E92:F92"/>
    <mergeCell ref="H92:I92"/>
    <mergeCell ref="J92:M92"/>
    <mergeCell ref="AL92:AP92"/>
    <mergeCell ref="B89:C89"/>
    <mergeCell ref="E89:F89"/>
    <mergeCell ref="H89:I89"/>
    <mergeCell ref="J89:M89"/>
    <mergeCell ref="AL89:AP89"/>
    <mergeCell ref="B90:C90"/>
    <mergeCell ref="E90:F90"/>
    <mergeCell ref="H90:I90"/>
    <mergeCell ref="J90:M90"/>
    <mergeCell ref="AL90:AP90"/>
    <mergeCell ref="B87:C87"/>
    <mergeCell ref="E87:F87"/>
    <mergeCell ref="H87:I87"/>
    <mergeCell ref="J87:M87"/>
    <mergeCell ref="AL87:AP87"/>
    <mergeCell ref="B88:C88"/>
    <mergeCell ref="E88:F88"/>
    <mergeCell ref="H88:I88"/>
    <mergeCell ref="J88:M88"/>
    <mergeCell ref="AL88:AP88"/>
    <mergeCell ref="AL86:AP86"/>
    <mergeCell ref="X21:Z21"/>
    <mergeCell ref="X22:Z22"/>
    <mergeCell ref="B37:C37"/>
    <mergeCell ref="B38:C38"/>
    <mergeCell ref="B39:C39"/>
    <mergeCell ref="B40:C40"/>
    <mergeCell ref="D37:F37"/>
    <mergeCell ref="D38:F38"/>
    <mergeCell ref="D39:F39"/>
    <mergeCell ref="D40:F40"/>
    <mergeCell ref="B61:C61"/>
    <mergeCell ref="E61:F61"/>
    <mergeCell ref="H61:I61"/>
    <mergeCell ref="J61:M61"/>
    <mergeCell ref="E62:F62"/>
    <mergeCell ref="J79:M79"/>
    <mergeCell ref="E85:F85"/>
    <mergeCell ref="E63:F63"/>
    <mergeCell ref="P23:Q23"/>
    <mergeCell ref="R21:T21"/>
    <mergeCell ref="R22:T22"/>
    <mergeCell ref="P21:Q21"/>
    <mergeCell ref="P22:Q22"/>
    <mergeCell ref="J86:M86"/>
    <mergeCell ref="B86:C86"/>
    <mergeCell ref="E86:F86"/>
    <mergeCell ref="H86:I86"/>
    <mergeCell ref="B15:C15"/>
    <mergeCell ref="D16:F16"/>
    <mergeCell ref="D17:F17"/>
    <mergeCell ref="K18:M18"/>
    <mergeCell ref="E84:F84"/>
    <mergeCell ref="E80:F80"/>
    <mergeCell ref="E81:F81"/>
    <mergeCell ref="E82:F82"/>
    <mergeCell ref="E83:F83"/>
    <mergeCell ref="H85:I85"/>
    <mergeCell ref="E70:F70"/>
    <mergeCell ref="E73:F73"/>
    <mergeCell ref="E74:F74"/>
    <mergeCell ref="E71:F71"/>
    <mergeCell ref="E72:F72"/>
    <mergeCell ref="E75:F75"/>
    <mergeCell ref="G15:I15"/>
    <mergeCell ref="G16:I16"/>
    <mergeCell ref="L29:S29"/>
    <mergeCell ref="R23:T23"/>
    <mergeCell ref="E78:F78"/>
    <mergeCell ref="E79:F79"/>
    <mergeCell ref="H62:I62"/>
    <mergeCell ref="H63:I63"/>
    <mergeCell ref="H64:I64"/>
    <mergeCell ref="H65:I65"/>
    <mergeCell ref="B58:M58"/>
    <mergeCell ref="E64:F64"/>
    <mergeCell ref="E65:F65"/>
    <mergeCell ref="E60:F60"/>
    <mergeCell ref="H60:I60"/>
    <mergeCell ref="B60:C60"/>
    <mergeCell ref="J60:M60"/>
    <mergeCell ref="E66:F66"/>
    <mergeCell ref="E67:F67"/>
    <mergeCell ref="E68:F68"/>
    <mergeCell ref="E69:F69"/>
    <mergeCell ref="E76:F76"/>
    <mergeCell ref="E77:F77"/>
    <mergeCell ref="H66:I66"/>
    <mergeCell ref="H67:I67"/>
    <mergeCell ref="H68:I68"/>
    <mergeCell ref="H75:I75"/>
    <mergeCell ref="H76:I76"/>
    <mergeCell ref="D49:G49"/>
    <mergeCell ref="D50:G50"/>
    <mergeCell ref="G12:I12"/>
    <mergeCell ref="D31:F31"/>
    <mergeCell ref="D32:F32"/>
    <mergeCell ref="G38:H38"/>
    <mergeCell ref="G40:H40"/>
    <mergeCell ref="G37:H37"/>
    <mergeCell ref="H49:J49"/>
    <mergeCell ref="H47:J47"/>
    <mergeCell ref="G39:H39"/>
    <mergeCell ref="B29:I29"/>
    <mergeCell ref="H48:J48"/>
    <mergeCell ref="D19:F19"/>
    <mergeCell ref="D20:F20"/>
    <mergeCell ref="B31:C31"/>
    <mergeCell ref="D33:F33"/>
    <mergeCell ref="D34:F34"/>
    <mergeCell ref="D35:F35"/>
    <mergeCell ref="D36:F36"/>
    <mergeCell ref="D22:F22"/>
    <mergeCell ref="H46:J46"/>
    <mergeCell ref="B16:C16"/>
    <mergeCell ref="F26:G26"/>
    <mergeCell ref="N60:O60"/>
    <mergeCell ref="B13:C13"/>
    <mergeCell ref="B18:C18"/>
    <mergeCell ref="B19:C19"/>
    <mergeCell ref="B20:C20"/>
    <mergeCell ref="B24:C24"/>
    <mergeCell ref="K24:M24"/>
    <mergeCell ref="B32:C32"/>
    <mergeCell ref="D24:F24"/>
    <mergeCell ref="D13:F13"/>
    <mergeCell ref="D18:F18"/>
    <mergeCell ref="G24:I24"/>
    <mergeCell ref="K20:M20"/>
    <mergeCell ref="K47:L47"/>
    <mergeCell ref="G41:H41"/>
    <mergeCell ref="B46:C46"/>
    <mergeCell ref="B47:C47"/>
    <mergeCell ref="B49:C49"/>
    <mergeCell ref="B50:C50"/>
    <mergeCell ref="B41:C41"/>
    <mergeCell ref="B34:C34"/>
    <mergeCell ref="B17:C17"/>
    <mergeCell ref="G17:I17"/>
    <mergeCell ref="K16:M16"/>
    <mergeCell ref="AL85:AP85"/>
    <mergeCell ref="AL60:AP60"/>
    <mergeCell ref="P60:Q60"/>
    <mergeCell ref="R60:S60"/>
    <mergeCell ref="T60:U60"/>
    <mergeCell ref="V60:W60"/>
    <mergeCell ref="X60:Y60"/>
    <mergeCell ref="Z60:AA60"/>
    <mergeCell ref="AB60:AC60"/>
    <mergeCell ref="AJ60:AK60"/>
    <mergeCell ref="AD60:AE60"/>
    <mergeCell ref="AF60:AG60"/>
    <mergeCell ref="AH60:AI60"/>
    <mergeCell ref="AL78:AP78"/>
    <mergeCell ref="AL79:AP79"/>
    <mergeCell ref="AL80:AP80"/>
    <mergeCell ref="AL81:AP81"/>
    <mergeCell ref="AL82:AP82"/>
    <mergeCell ref="AL83:AP83"/>
    <mergeCell ref="AL84:AP84"/>
    <mergeCell ref="AL61:AP61"/>
    <mergeCell ref="AL62:AP62"/>
    <mergeCell ref="AL63:AP63"/>
    <mergeCell ref="AL64:AP64"/>
    <mergeCell ref="AF16:AG16"/>
    <mergeCell ref="AF15:AG15"/>
    <mergeCell ref="AA23:AC23"/>
    <mergeCell ref="G31:H31"/>
    <mergeCell ref="AK19:AM19"/>
    <mergeCell ref="AF20:AG20"/>
    <mergeCell ref="AH20:AJ20"/>
    <mergeCell ref="AK20:AM20"/>
    <mergeCell ref="R19:T19"/>
    <mergeCell ref="P19:Q19"/>
    <mergeCell ref="AF19:AG19"/>
    <mergeCell ref="AH19:AJ19"/>
    <mergeCell ref="K19:M19"/>
    <mergeCell ref="AA19:AC19"/>
    <mergeCell ref="AA20:AC20"/>
    <mergeCell ref="G19:I19"/>
    <mergeCell ref="G20:I20"/>
    <mergeCell ref="L31:M31"/>
    <mergeCell ref="X19:Z19"/>
    <mergeCell ref="AA22:AC22"/>
    <mergeCell ref="AA21:AC21"/>
    <mergeCell ref="U22:W22"/>
    <mergeCell ref="K22:M22"/>
    <mergeCell ref="K23:M23"/>
    <mergeCell ref="H77:I77"/>
    <mergeCell ref="H78:I78"/>
    <mergeCell ref="H79:I79"/>
    <mergeCell ref="H80:I80"/>
    <mergeCell ref="H81:I81"/>
    <mergeCell ref="B27:S27"/>
    <mergeCell ref="L35:M35"/>
    <mergeCell ref="B53:C53"/>
    <mergeCell ref="D53:G53"/>
    <mergeCell ref="H53:J53"/>
    <mergeCell ref="H69:I69"/>
    <mergeCell ref="H70:I70"/>
    <mergeCell ref="H71:I71"/>
    <mergeCell ref="H72:I72"/>
    <mergeCell ref="K53:L53"/>
    <mergeCell ref="K51:L51"/>
    <mergeCell ref="B51:C51"/>
    <mergeCell ref="D51:G51"/>
    <mergeCell ref="H51:J51"/>
    <mergeCell ref="B52:C52"/>
    <mergeCell ref="D52:G52"/>
    <mergeCell ref="H52:J52"/>
    <mergeCell ref="P55:Q55"/>
    <mergeCell ref="Q36:R36"/>
    <mergeCell ref="H84:I84"/>
    <mergeCell ref="J85:M85"/>
    <mergeCell ref="J62:M62"/>
    <mergeCell ref="J63:M63"/>
    <mergeCell ref="J64:M64"/>
    <mergeCell ref="J65:M65"/>
    <mergeCell ref="J66:M66"/>
    <mergeCell ref="J67:M67"/>
    <mergeCell ref="J68:M68"/>
    <mergeCell ref="J69:M69"/>
    <mergeCell ref="J70:M70"/>
    <mergeCell ref="J71:M71"/>
    <mergeCell ref="J72:M72"/>
    <mergeCell ref="J73:M73"/>
    <mergeCell ref="J74:M74"/>
    <mergeCell ref="J75:M75"/>
    <mergeCell ref="J76:M76"/>
    <mergeCell ref="J77:M77"/>
    <mergeCell ref="J78:M78"/>
    <mergeCell ref="J83:M83"/>
    <mergeCell ref="J84:M84"/>
    <mergeCell ref="J80:M80"/>
    <mergeCell ref="H73:I73"/>
    <mergeCell ref="H74:I74"/>
    <mergeCell ref="B85:C85"/>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AL65:AP65"/>
    <mergeCell ref="AL66:AP66"/>
    <mergeCell ref="AL67:AP67"/>
    <mergeCell ref="AL68:AP68"/>
    <mergeCell ref="AL69:AP69"/>
    <mergeCell ref="AL70:AP70"/>
    <mergeCell ref="AL71:AP71"/>
    <mergeCell ref="AL72:AP72"/>
    <mergeCell ref="AL73:AP73"/>
    <mergeCell ref="AL74:AP74"/>
    <mergeCell ref="AL75:AP75"/>
    <mergeCell ref="AL76:AP76"/>
    <mergeCell ref="AL77:AP77"/>
    <mergeCell ref="J81:M81"/>
    <mergeCell ref="J82:M82"/>
    <mergeCell ref="H82:I82"/>
    <mergeCell ref="H83:I83"/>
    <mergeCell ref="X20:Z20"/>
    <mergeCell ref="P20:Q20"/>
    <mergeCell ref="P56:Q56"/>
    <mergeCell ref="O47:O51"/>
    <mergeCell ref="G42:H42"/>
    <mergeCell ref="O43:O46"/>
    <mergeCell ref="K49:L49"/>
    <mergeCell ref="K46:L46"/>
    <mergeCell ref="H50:J50"/>
    <mergeCell ref="K50:L50"/>
    <mergeCell ref="K52:L52"/>
    <mergeCell ref="O55:O56"/>
    <mergeCell ref="P53:Q53"/>
    <mergeCell ref="P52:Q52"/>
    <mergeCell ref="O52:O53"/>
    <mergeCell ref="P54:Q54"/>
    <mergeCell ref="K21:M21"/>
    <mergeCell ref="U23:W23"/>
    <mergeCell ref="G23:I23"/>
    <mergeCell ref="G22:I22"/>
    <mergeCell ref="P48:Q48"/>
    <mergeCell ref="B48:C48"/>
    <mergeCell ref="B44:M44"/>
    <mergeCell ref="K48:L48"/>
    <mergeCell ref="B23:C23"/>
    <mergeCell ref="L37:M37"/>
    <mergeCell ref="L36:M36"/>
    <mergeCell ref="G32:H32"/>
    <mergeCell ref="B35:C35"/>
    <mergeCell ref="B36:C36"/>
    <mergeCell ref="G33:H33"/>
    <mergeCell ref="G34:H34"/>
    <mergeCell ref="G35:H35"/>
    <mergeCell ref="B33:C33"/>
    <mergeCell ref="B21:C21"/>
    <mergeCell ref="B22:C22"/>
    <mergeCell ref="D23:F23"/>
    <mergeCell ref="D46:G46"/>
    <mergeCell ref="D47:G47"/>
    <mergeCell ref="D48:G48"/>
    <mergeCell ref="X27:AH27"/>
    <mergeCell ref="D41:F41"/>
    <mergeCell ref="D42:F42"/>
    <mergeCell ref="G36:H36"/>
    <mergeCell ref="B42:C42"/>
    <mergeCell ref="P47:Q47"/>
    <mergeCell ref="O34:P34"/>
    <mergeCell ref="O35:P35"/>
    <mergeCell ref="O36:P36"/>
    <mergeCell ref="O37:P37"/>
    <mergeCell ref="P45:Q45"/>
    <mergeCell ref="P46:Q46"/>
    <mergeCell ref="L33:M33"/>
    <mergeCell ref="L34:M34"/>
    <mergeCell ref="L32:M32"/>
  </mergeCells>
  <phoneticPr fontId="14" type="noConversion"/>
  <conditionalFormatting sqref="AN20">
    <cfRule type="dataBar" priority="139">
      <dataBar>
        <cfvo type="min"/>
        <cfvo type="max"/>
        <color rgb="FF63C384"/>
      </dataBar>
      <extLst>
        <ext xmlns:x14="http://schemas.microsoft.com/office/spreadsheetml/2009/9/main" uri="{B025F937-C7B1-47D3-B67F-A62EFF666E3E}">
          <x14:id>{76B8E179-EF25-4D3C-8D9F-3C073F04432B}</x14:id>
        </ext>
      </extLst>
    </cfRule>
  </conditionalFormatting>
  <conditionalFormatting sqref="AN20">
    <cfRule type="dataBar" priority="97">
      <dataBar>
        <cfvo type="min"/>
        <cfvo type="max"/>
        <color rgb="FF63C384"/>
      </dataBar>
      <extLst>
        <ext xmlns:x14="http://schemas.microsoft.com/office/spreadsheetml/2009/9/main" uri="{B025F937-C7B1-47D3-B67F-A62EFF666E3E}">
          <x14:id>{AAF118D1-59E4-4431-8CB6-452F7E170F7C}</x14:id>
        </ext>
      </extLst>
    </cfRule>
  </conditionalFormatting>
  <conditionalFormatting sqref="AN20">
    <cfRule type="dataBar" priority="137">
      <dataBar>
        <cfvo type="min"/>
        <cfvo type="max"/>
        <color rgb="FFFFB628"/>
      </dataBar>
      <extLst>
        <ext xmlns:x14="http://schemas.microsoft.com/office/spreadsheetml/2009/9/main" uri="{B025F937-C7B1-47D3-B67F-A62EFF666E3E}">
          <x14:id>{A92A92A1-D976-4D50-8450-440E6F6436B4}</x14:id>
        </ext>
      </extLst>
    </cfRule>
  </conditionalFormatting>
  <conditionalFormatting sqref="AN20">
    <cfRule type="dataBar" priority="136">
      <dataBar>
        <cfvo type="min"/>
        <cfvo type="max"/>
        <color rgb="FFFFB628"/>
      </dataBar>
      <extLst>
        <ext xmlns:x14="http://schemas.microsoft.com/office/spreadsheetml/2009/9/main" uri="{B025F937-C7B1-47D3-B67F-A62EFF666E3E}">
          <x14:id>{80DBEC62-4BA3-41D6-9BFC-74F92361EAD2}</x14:id>
        </ext>
      </extLst>
    </cfRule>
  </conditionalFormatting>
  <conditionalFormatting sqref="AN20">
    <cfRule type="dataBar" priority="31">
      <dataBar>
        <cfvo type="min"/>
        <cfvo type="max"/>
        <color rgb="FFFFB628"/>
      </dataBar>
      <extLst>
        <ext xmlns:x14="http://schemas.microsoft.com/office/spreadsheetml/2009/9/main" uri="{B025F937-C7B1-47D3-B67F-A62EFF666E3E}">
          <x14:id>{42CFBA2D-34BD-4D32-883B-19098457F315}</x14:id>
        </ext>
      </extLst>
    </cfRule>
  </conditionalFormatting>
  <conditionalFormatting sqref="AN20">
    <cfRule type="dataBar" priority="37">
      <dataBar>
        <cfvo type="min"/>
        <cfvo type="max"/>
        <color rgb="FFFFB628"/>
      </dataBar>
      <extLst>
        <ext xmlns:x14="http://schemas.microsoft.com/office/spreadsheetml/2009/9/main" uri="{B025F937-C7B1-47D3-B67F-A62EFF666E3E}">
          <x14:id>{B99C64EB-CCF4-4914-9FF8-CA0381F8C5A5}</x14:id>
        </ext>
      </extLst>
    </cfRule>
  </conditionalFormatting>
  <conditionalFormatting sqref="M54:M55">
    <cfRule type="dataBar" priority="107">
      <dataBar>
        <cfvo type="min"/>
        <cfvo type="max"/>
        <color rgb="FFFFB628"/>
      </dataBar>
      <extLst>
        <ext xmlns:x14="http://schemas.microsoft.com/office/spreadsheetml/2009/9/main" uri="{B025F937-C7B1-47D3-B67F-A62EFF666E3E}">
          <x14:id>{6123D883-FA49-41ED-BED7-BBC105A3C069}</x14:id>
        </ext>
      </extLst>
    </cfRule>
  </conditionalFormatting>
  <conditionalFormatting sqref="AN20">
    <cfRule type="dataBar" priority="99">
      <dataBar>
        <cfvo type="min"/>
        <cfvo type="max"/>
        <color rgb="FFFFB628"/>
      </dataBar>
      <extLst>
        <ext xmlns:x14="http://schemas.microsoft.com/office/spreadsheetml/2009/9/main" uri="{B025F937-C7B1-47D3-B67F-A62EFF666E3E}">
          <x14:id>{83AEC36B-6CA6-46BC-980F-C7BB5C5F80EF}</x14:id>
        </ext>
      </extLst>
    </cfRule>
  </conditionalFormatting>
  <conditionalFormatting sqref="AN20">
    <cfRule type="dataBar" priority="80">
      <dataBar>
        <cfvo type="min"/>
        <cfvo type="max"/>
        <color rgb="FFFFB628"/>
      </dataBar>
      <extLst>
        <ext xmlns:x14="http://schemas.microsoft.com/office/spreadsheetml/2009/9/main" uri="{B025F937-C7B1-47D3-B67F-A62EFF666E3E}">
          <x14:id>{10A1FB97-896E-4D23-AE3C-10A225517B9B}</x14:id>
        </ext>
      </extLst>
    </cfRule>
  </conditionalFormatting>
  <conditionalFormatting sqref="AN20">
    <cfRule type="dataBar" priority="32">
      <dataBar>
        <cfvo type="min"/>
        <cfvo type="max"/>
        <color rgb="FFFFB628"/>
      </dataBar>
      <extLst>
        <ext xmlns:x14="http://schemas.microsoft.com/office/spreadsheetml/2009/9/main" uri="{B025F937-C7B1-47D3-B67F-A62EFF666E3E}">
          <x14:id>{B1D5169B-CA61-48B1-93EF-51991BED1C7C}</x14:id>
        </ext>
      </extLst>
    </cfRule>
  </conditionalFormatting>
  <conditionalFormatting sqref="M54:M55">
    <cfRule type="dataBar" priority="78">
      <dataBar>
        <cfvo type="min"/>
        <cfvo type="max"/>
        <color rgb="FF63C384"/>
      </dataBar>
      <extLst>
        <ext xmlns:x14="http://schemas.microsoft.com/office/spreadsheetml/2009/9/main" uri="{B025F937-C7B1-47D3-B67F-A62EFF666E3E}">
          <x14:id>{24E06DD7-B8BF-4387-B7CD-6E4563E6E9A9}</x14:id>
        </ext>
      </extLst>
    </cfRule>
  </conditionalFormatting>
  <conditionalFormatting sqref="AN20">
    <cfRule type="dataBar" priority="61">
      <dataBar>
        <cfvo type="min"/>
        <cfvo type="max"/>
        <color rgb="FF63C384"/>
      </dataBar>
      <extLst>
        <ext xmlns:x14="http://schemas.microsoft.com/office/spreadsheetml/2009/9/main" uri="{B025F937-C7B1-47D3-B67F-A62EFF666E3E}">
          <x14:id>{E4D24F78-632F-49FD-98C5-CE6BD0F9ACE1}</x14:id>
        </ext>
      </extLst>
    </cfRule>
  </conditionalFormatting>
  <conditionalFormatting sqref="AN20">
    <cfRule type="dataBar" priority="36">
      <dataBar>
        <cfvo type="min"/>
        <cfvo type="max"/>
        <color rgb="FF63C384"/>
      </dataBar>
      <extLst>
        <ext xmlns:x14="http://schemas.microsoft.com/office/spreadsheetml/2009/9/main" uri="{B025F937-C7B1-47D3-B67F-A62EFF666E3E}">
          <x14:id>{8DD087C6-91BF-475E-86C8-D729A5247584}</x14:id>
        </ext>
      </extLst>
    </cfRule>
  </conditionalFormatting>
  <conditionalFormatting sqref="AN20">
    <cfRule type="dataBar" priority="30">
      <dataBar>
        <cfvo type="min"/>
        <cfvo type="max"/>
        <color rgb="FF63C384"/>
      </dataBar>
      <extLst>
        <ext xmlns:x14="http://schemas.microsoft.com/office/spreadsheetml/2009/9/main" uri="{B025F937-C7B1-47D3-B67F-A62EFF666E3E}">
          <x14:id>{05D8D47B-7569-4907-A123-8FFDA47D6119}</x14:id>
        </ext>
      </extLst>
    </cfRule>
  </conditionalFormatting>
  <conditionalFormatting sqref="B61:AP105">
    <cfRule type="expression" dxfId="640" priority="14">
      <formula>ROW()=CELL("fila")</formula>
    </cfRule>
  </conditionalFormatting>
  <dataValidations disablePrompts="1" count="1">
    <dataValidation type="decimal" errorStyle="warning" allowBlank="1" showInputMessage="1" showErrorMessage="1" prompt="Relacione el % de ejecución de los soportes para la tarea." sqref="Q81:Q82 O63:O65" xr:uid="{00000000-0002-0000-0600-000000000000}">
      <formula1>0</formula1>
      <formula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6B8E179-EF25-4D3C-8D9F-3C073F04432B}">
            <x14:dataBar minLength="0" maxLength="100" border="1" negativeBarBorderColorSameAsPositive="0">
              <x14:cfvo type="autoMin"/>
              <x14:cfvo type="autoMax"/>
              <x14:borderColor rgb="FF63C384"/>
              <x14:negativeFillColor rgb="FFFF0000"/>
              <x14:negativeBorderColor rgb="FFFF0000"/>
              <x14:axisColor rgb="FF000000"/>
            </x14:dataBar>
          </x14:cfRule>
          <xm:sqref>AN20</xm:sqref>
        </x14:conditionalFormatting>
        <x14:conditionalFormatting xmlns:xm="http://schemas.microsoft.com/office/excel/2006/main">
          <x14:cfRule type="dataBar" id="{AAF118D1-59E4-4431-8CB6-452F7E170F7C}">
            <x14:dataBar minLength="0" maxLength="100" border="1" negativeBarBorderColorSameAsPositive="0">
              <x14:cfvo type="autoMin"/>
              <x14:cfvo type="autoMax"/>
              <x14:borderColor rgb="FF63C384"/>
              <x14:negativeFillColor rgb="FFFF0000"/>
              <x14:negativeBorderColor rgb="FFFF0000"/>
              <x14:axisColor rgb="FF000000"/>
            </x14:dataBar>
          </x14:cfRule>
          <xm:sqref>AN20</xm:sqref>
        </x14:conditionalFormatting>
        <x14:conditionalFormatting xmlns:xm="http://schemas.microsoft.com/office/excel/2006/main">
          <x14:cfRule type="dataBar" id="{A92A92A1-D976-4D50-8450-440E6F6436B4}">
            <x14:dataBar minLength="0" maxLength="100" border="1" negativeBarBorderColorSameAsPositive="0">
              <x14:cfvo type="autoMin"/>
              <x14:cfvo type="autoMax"/>
              <x14:borderColor rgb="FFFFB628"/>
              <x14:negativeFillColor rgb="FFFF0000"/>
              <x14:negativeBorderColor rgb="FFFF0000"/>
              <x14:axisColor rgb="FF000000"/>
            </x14:dataBar>
          </x14:cfRule>
          <xm:sqref>AN20</xm:sqref>
        </x14:conditionalFormatting>
        <x14:conditionalFormatting xmlns:xm="http://schemas.microsoft.com/office/excel/2006/main">
          <x14:cfRule type="dataBar" id="{80DBEC62-4BA3-41D6-9BFC-74F92361EAD2}">
            <x14:dataBar minLength="0" maxLength="100" border="1" negativeBarBorderColorSameAsPositive="0">
              <x14:cfvo type="autoMin"/>
              <x14:cfvo type="autoMax"/>
              <x14:borderColor rgb="FFFFB628"/>
              <x14:negativeFillColor rgb="FFFF0000"/>
              <x14:negativeBorderColor rgb="FFFF0000"/>
              <x14:axisColor rgb="FF000000"/>
            </x14:dataBar>
          </x14:cfRule>
          <xm:sqref>AN20</xm:sqref>
        </x14:conditionalFormatting>
        <x14:conditionalFormatting xmlns:xm="http://schemas.microsoft.com/office/excel/2006/main">
          <x14:cfRule type="dataBar" id="{42CFBA2D-34BD-4D32-883B-19098457F315}">
            <x14:dataBar minLength="0" maxLength="100" border="1" negativeBarBorderColorSameAsPositive="0">
              <x14:cfvo type="autoMin"/>
              <x14:cfvo type="autoMax"/>
              <x14:borderColor rgb="FFFFB628"/>
              <x14:negativeFillColor rgb="FFFF0000"/>
              <x14:negativeBorderColor rgb="FFFF0000"/>
              <x14:axisColor rgb="FF000000"/>
            </x14:dataBar>
          </x14:cfRule>
          <xm:sqref>AN20</xm:sqref>
        </x14:conditionalFormatting>
        <x14:conditionalFormatting xmlns:xm="http://schemas.microsoft.com/office/excel/2006/main">
          <x14:cfRule type="dataBar" id="{B99C64EB-CCF4-4914-9FF8-CA0381F8C5A5}">
            <x14:dataBar minLength="0" maxLength="100" border="1" negativeBarBorderColorSameAsPositive="0">
              <x14:cfvo type="autoMin"/>
              <x14:cfvo type="autoMax"/>
              <x14:borderColor rgb="FFFFB628"/>
              <x14:negativeFillColor rgb="FFFF0000"/>
              <x14:negativeBorderColor rgb="FFFF0000"/>
              <x14:axisColor rgb="FF000000"/>
            </x14:dataBar>
          </x14:cfRule>
          <xm:sqref>AN20</xm:sqref>
        </x14:conditionalFormatting>
        <x14:conditionalFormatting xmlns:xm="http://schemas.microsoft.com/office/excel/2006/main">
          <x14:cfRule type="dataBar" id="{6123D883-FA49-41ED-BED7-BBC105A3C069}">
            <x14:dataBar minLength="0" maxLength="100" border="1" negativeBarBorderColorSameAsPositive="0">
              <x14:cfvo type="autoMin"/>
              <x14:cfvo type="autoMax"/>
              <x14:borderColor rgb="FFFFB628"/>
              <x14:negativeFillColor rgb="FFFF0000"/>
              <x14:negativeBorderColor rgb="FFFF0000"/>
              <x14:axisColor rgb="FF000000"/>
            </x14:dataBar>
          </x14:cfRule>
          <xm:sqref>M54:M55</xm:sqref>
        </x14:conditionalFormatting>
        <x14:conditionalFormatting xmlns:xm="http://schemas.microsoft.com/office/excel/2006/main">
          <x14:cfRule type="dataBar" id="{83AEC36B-6CA6-46BC-980F-C7BB5C5F80EF}">
            <x14:dataBar minLength="0" maxLength="100" border="1" negativeBarBorderColorSameAsPositive="0">
              <x14:cfvo type="autoMin"/>
              <x14:cfvo type="autoMax"/>
              <x14:borderColor rgb="FFFFB628"/>
              <x14:negativeFillColor rgb="FFFF0000"/>
              <x14:negativeBorderColor rgb="FFFF0000"/>
              <x14:axisColor rgb="FF000000"/>
            </x14:dataBar>
          </x14:cfRule>
          <xm:sqref>AN20</xm:sqref>
        </x14:conditionalFormatting>
        <x14:conditionalFormatting xmlns:xm="http://schemas.microsoft.com/office/excel/2006/main">
          <x14:cfRule type="dataBar" id="{10A1FB97-896E-4D23-AE3C-10A225517B9B}">
            <x14:dataBar minLength="0" maxLength="100" border="1" negativeBarBorderColorSameAsPositive="0">
              <x14:cfvo type="autoMin"/>
              <x14:cfvo type="autoMax"/>
              <x14:borderColor rgb="FFFFB628"/>
              <x14:negativeFillColor rgb="FFFF0000"/>
              <x14:negativeBorderColor rgb="FFFF0000"/>
              <x14:axisColor rgb="FF000000"/>
            </x14:dataBar>
          </x14:cfRule>
          <xm:sqref>AN20</xm:sqref>
        </x14:conditionalFormatting>
        <x14:conditionalFormatting xmlns:xm="http://schemas.microsoft.com/office/excel/2006/main">
          <x14:cfRule type="dataBar" id="{B1D5169B-CA61-48B1-93EF-51991BED1C7C}">
            <x14:dataBar minLength="0" maxLength="100" border="1" negativeBarBorderColorSameAsPositive="0">
              <x14:cfvo type="autoMin"/>
              <x14:cfvo type="autoMax"/>
              <x14:borderColor rgb="FFFFB628"/>
              <x14:negativeFillColor rgb="FFFF0000"/>
              <x14:negativeBorderColor rgb="FFFF0000"/>
              <x14:axisColor rgb="FF000000"/>
            </x14:dataBar>
          </x14:cfRule>
          <xm:sqref>AN20</xm:sqref>
        </x14:conditionalFormatting>
        <x14:conditionalFormatting xmlns:xm="http://schemas.microsoft.com/office/excel/2006/main">
          <x14:cfRule type="dataBar" id="{24E06DD7-B8BF-4387-B7CD-6E4563E6E9A9}">
            <x14:dataBar minLength="0" maxLength="100" border="1" negativeBarBorderColorSameAsPositive="0">
              <x14:cfvo type="autoMin"/>
              <x14:cfvo type="autoMax"/>
              <x14:borderColor rgb="FF63C384"/>
              <x14:negativeFillColor rgb="FFFF0000"/>
              <x14:negativeBorderColor rgb="FFFF0000"/>
              <x14:axisColor rgb="FF000000"/>
            </x14:dataBar>
          </x14:cfRule>
          <xm:sqref>M54:M55</xm:sqref>
        </x14:conditionalFormatting>
        <x14:conditionalFormatting xmlns:xm="http://schemas.microsoft.com/office/excel/2006/main">
          <x14:cfRule type="dataBar" id="{E4D24F78-632F-49FD-98C5-CE6BD0F9ACE1}">
            <x14:dataBar minLength="0" maxLength="100" border="1" negativeBarBorderColorSameAsPositive="0">
              <x14:cfvo type="autoMin"/>
              <x14:cfvo type="autoMax"/>
              <x14:borderColor rgb="FF63C384"/>
              <x14:negativeFillColor rgb="FFFF0000"/>
              <x14:negativeBorderColor rgb="FFFF0000"/>
              <x14:axisColor rgb="FF000000"/>
            </x14:dataBar>
          </x14:cfRule>
          <xm:sqref>AN20</xm:sqref>
        </x14:conditionalFormatting>
        <x14:conditionalFormatting xmlns:xm="http://schemas.microsoft.com/office/excel/2006/main">
          <x14:cfRule type="dataBar" id="{8DD087C6-91BF-475E-86C8-D729A5247584}">
            <x14:dataBar minLength="0" maxLength="100" border="1" negativeBarBorderColorSameAsPositive="0">
              <x14:cfvo type="autoMin"/>
              <x14:cfvo type="autoMax"/>
              <x14:borderColor rgb="FF63C384"/>
              <x14:negativeFillColor rgb="FFFF0000"/>
              <x14:negativeBorderColor rgb="FFFF0000"/>
              <x14:axisColor rgb="FF000000"/>
            </x14:dataBar>
          </x14:cfRule>
          <xm:sqref>AN20</xm:sqref>
        </x14:conditionalFormatting>
        <x14:conditionalFormatting xmlns:xm="http://schemas.microsoft.com/office/excel/2006/main">
          <x14:cfRule type="dataBar" id="{05D8D47B-7569-4907-A123-8FFDA47D6119}">
            <x14:dataBar minLength="0" maxLength="100" border="1" negativeBarBorderColorSameAsPositive="0">
              <x14:cfvo type="autoMin"/>
              <x14:cfvo type="autoMax"/>
              <x14:borderColor rgb="FF63C384"/>
              <x14:negativeFillColor rgb="FFFF0000"/>
              <x14:negativeBorderColor rgb="FFFF0000"/>
              <x14:axisColor rgb="FF000000"/>
            </x14:dataBar>
          </x14:cfRule>
          <xm:sqref>AN20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2:AL24"/>
  <sheetViews>
    <sheetView showGridLines="0" topLeftCell="A11" zoomScaleNormal="100" workbookViewId="0">
      <selection activeCell="E19" sqref="E19"/>
    </sheetView>
  </sheetViews>
  <sheetFormatPr baseColWidth="10" defaultColWidth="11.54296875" defaultRowHeight="13.8" x14ac:dyDescent="0.3"/>
  <cols>
    <col min="1" max="1" width="5.1796875" style="103" customWidth="1"/>
    <col min="2" max="2" width="12.1796875" style="103" customWidth="1"/>
    <col min="3" max="3" width="37.08984375" style="103" customWidth="1"/>
    <col min="4" max="4" width="22.08984375" style="103" bestFit="1" customWidth="1"/>
    <col min="5" max="5" width="19.1796875" style="103" bestFit="1" customWidth="1"/>
    <col min="6" max="6" width="17.90625" style="103" bestFit="1" customWidth="1"/>
    <col min="7" max="7" width="18.1796875" style="103" bestFit="1" customWidth="1"/>
    <col min="8" max="8" width="12.81640625" style="103" customWidth="1"/>
    <col min="9" max="9" width="25.453125" style="103" bestFit="1" customWidth="1"/>
    <col min="10" max="11" width="13.54296875" style="103" customWidth="1"/>
    <col min="12" max="38" width="12.81640625" style="103" customWidth="1"/>
    <col min="39" max="16384" width="11.54296875" style="103"/>
  </cols>
  <sheetData>
    <row r="2" spans="1:38" s="39" customFormat="1" ht="24" customHeight="1" x14ac:dyDescent="0.35">
      <c r="B2" s="497"/>
      <c r="C2" s="497"/>
      <c r="D2" s="498" t="s">
        <v>683</v>
      </c>
      <c r="E2" s="499"/>
      <c r="F2" s="499"/>
      <c r="G2" s="499"/>
      <c r="H2" s="499"/>
      <c r="I2" s="500"/>
      <c r="J2" s="510" t="s">
        <v>684</v>
      </c>
      <c r="K2" s="510"/>
      <c r="L2" s="102"/>
      <c r="N2" s="102"/>
      <c r="O2" s="102"/>
      <c r="P2" s="102"/>
      <c r="Q2" s="102"/>
      <c r="R2" s="102"/>
      <c r="S2" s="102"/>
      <c r="T2" s="102"/>
    </row>
    <row r="3" spans="1:38" s="39" customFormat="1" ht="20.399999999999999" x14ac:dyDescent="0.35">
      <c r="B3" s="497"/>
      <c r="C3" s="497"/>
      <c r="D3" s="501"/>
      <c r="E3" s="502"/>
      <c r="F3" s="502"/>
      <c r="G3" s="502"/>
      <c r="H3" s="502"/>
      <c r="I3" s="503"/>
      <c r="J3" s="510" t="s">
        <v>685</v>
      </c>
      <c r="K3" s="510"/>
      <c r="L3" s="102"/>
      <c r="N3" s="102"/>
      <c r="O3" s="102"/>
      <c r="P3" s="102"/>
      <c r="Q3" s="102"/>
      <c r="R3" s="102"/>
      <c r="S3" s="102"/>
      <c r="T3" s="102"/>
    </row>
    <row r="4" spans="1:38" s="39" customFormat="1" ht="20.25" customHeight="1" x14ac:dyDescent="0.35">
      <c r="B4" s="497"/>
      <c r="C4" s="497"/>
      <c r="D4" s="501"/>
      <c r="E4" s="502"/>
      <c r="F4" s="502"/>
      <c r="G4" s="502"/>
      <c r="H4" s="502"/>
      <c r="I4" s="503"/>
      <c r="J4" s="511" t="s">
        <v>686</v>
      </c>
      <c r="K4" s="511"/>
      <c r="L4" s="102"/>
      <c r="N4" s="102"/>
      <c r="O4" s="102"/>
      <c r="P4" s="102"/>
      <c r="Q4" s="102"/>
      <c r="R4" s="102"/>
      <c r="S4" s="102"/>
      <c r="T4" s="102"/>
    </row>
    <row r="5" spans="1:38" s="39" customFormat="1" ht="20.399999999999999" x14ac:dyDescent="0.35">
      <c r="B5" s="497"/>
      <c r="C5" s="497"/>
      <c r="D5" s="504"/>
      <c r="E5" s="505"/>
      <c r="F5" s="505"/>
      <c r="G5" s="505"/>
      <c r="H5" s="505"/>
      <c r="I5" s="506"/>
      <c r="J5" s="510" t="s">
        <v>743</v>
      </c>
      <c r="K5" s="510"/>
      <c r="L5" s="102"/>
      <c r="N5" s="102"/>
      <c r="O5" s="102"/>
      <c r="P5" s="102"/>
      <c r="Q5" s="102"/>
      <c r="R5" s="102"/>
      <c r="S5" s="102"/>
      <c r="T5" s="102"/>
    </row>
    <row r="12" spans="1:38" ht="14.4" thickBot="1" x14ac:dyDescent="0.35">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row>
    <row r="13" spans="1:38" s="104" customFormat="1" ht="25.8" thickBot="1" x14ac:dyDescent="0.5">
      <c r="A13" s="507" t="s">
        <v>744</v>
      </c>
      <c r="B13" s="508"/>
      <c r="C13" s="508"/>
      <c r="D13" s="508"/>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row>
    <row r="16" spans="1:38" ht="18" x14ac:dyDescent="0.35">
      <c r="A16" s="108"/>
      <c r="B16" s="108"/>
      <c r="C16" s="108"/>
      <c r="D16" s="108"/>
      <c r="E16" s="108"/>
      <c r="F16" s="108"/>
      <c r="G16" s="108"/>
      <c r="H16" s="108"/>
      <c r="I16" s="108"/>
      <c r="J16" s="108"/>
      <c r="K16" s="108"/>
      <c r="L16" s="512" t="s">
        <v>745</v>
      </c>
      <c r="M16" s="512"/>
      <c r="N16" s="512"/>
      <c r="O16" s="512"/>
      <c r="P16" s="512"/>
      <c r="Q16" s="512"/>
      <c r="R16" s="512" t="s">
        <v>746</v>
      </c>
      <c r="S16" s="512"/>
      <c r="T16" s="512"/>
      <c r="U16" s="512"/>
      <c r="V16" s="512"/>
      <c r="W16" s="509" t="s">
        <v>747</v>
      </c>
      <c r="X16" s="509"/>
      <c r="Y16" s="509"/>
      <c r="Z16" s="509"/>
      <c r="AA16" s="509"/>
      <c r="AB16" s="509"/>
      <c r="AC16" s="509" t="s">
        <v>748</v>
      </c>
      <c r="AD16" s="509"/>
      <c r="AE16" s="509"/>
      <c r="AF16" s="509"/>
      <c r="AG16" s="509"/>
      <c r="AH16" s="509" t="s">
        <v>749</v>
      </c>
      <c r="AI16" s="509"/>
      <c r="AJ16" s="509"/>
      <c r="AK16" s="509"/>
      <c r="AL16" s="509"/>
    </row>
    <row r="17" spans="2:38" ht="18" x14ac:dyDescent="0.35">
      <c r="B17" s="108"/>
      <c r="C17" s="108"/>
      <c r="D17" s="108"/>
      <c r="E17" s="108"/>
      <c r="F17" s="108"/>
      <c r="G17" s="108"/>
      <c r="H17" s="108"/>
      <c r="I17" s="108"/>
      <c r="J17" s="108"/>
      <c r="K17" s="108"/>
      <c r="L17" s="512" t="s">
        <v>750</v>
      </c>
      <c r="M17" s="512"/>
      <c r="N17" s="512"/>
      <c r="O17" s="512"/>
      <c r="P17" s="512"/>
      <c r="Q17" s="512"/>
      <c r="R17" s="512" t="s">
        <v>750</v>
      </c>
      <c r="S17" s="512"/>
      <c r="T17" s="512"/>
      <c r="U17" s="512"/>
      <c r="V17" s="512"/>
      <c r="W17" s="509" t="s">
        <v>750</v>
      </c>
      <c r="X17" s="509"/>
      <c r="Y17" s="509"/>
      <c r="Z17" s="509"/>
      <c r="AA17" s="509"/>
      <c r="AB17" s="509"/>
      <c r="AC17" s="509" t="s">
        <v>750</v>
      </c>
      <c r="AD17" s="509"/>
      <c r="AE17" s="509"/>
      <c r="AF17" s="509"/>
      <c r="AG17" s="509"/>
      <c r="AH17" s="509" t="s">
        <v>750</v>
      </c>
      <c r="AI17" s="509"/>
      <c r="AJ17" s="509"/>
      <c r="AK17" s="509"/>
      <c r="AL17" s="509"/>
    </row>
    <row r="18" spans="2:38" s="106" customFormat="1" ht="41.4" x14ac:dyDescent="0.35">
      <c r="B18" s="105" t="s">
        <v>19</v>
      </c>
      <c r="C18" s="105" t="s">
        <v>20</v>
      </c>
      <c r="D18" s="105" t="s">
        <v>21</v>
      </c>
      <c r="E18" s="105" t="s">
        <v>22</v>
      </c>
      <c r="F18" s="105" t="s">
        <v>23</v>
      </c>
      <c r="G18" s="105" t="s">
        <v>24</v>
      </c>
      <c r="H18" s="105" t="s">
        <v>25</v>
      </c>
      <c r="I18" s="105" t="s">
        <v>26</v>
      </c>
      <c r="J18" s="105" t="s">
        <v>29</v>
      </c>
      <c r="K18" s="105" t="s">
        <v>751</v>
      </c>
      <c r="L18" s="105" t="s">
        <v>752</v>
      </c>
      <c r="M18" s="105" t="s">
        <v>753</v>
      </c>
      <c r="N18" s="105" t="s">
        <v>754</v>
      </c>
      <c r="O18" s="105" t="s">
        <v>755</v>
      </c>
      <c r="P18" s="105" t="s">
        <v>756</v>
      </c>
      <c r="Q18" s="105" t="s">
        <v>757</v>
      </c>
      <c r="R18" s="105" t="s">
        <v>758</v>
      </c>
      <c r="S18" s="105" t="s">
        <v>759</v>
      </c>
      <c r="T18" s="105" t="s">
        <v>760</v>
      </c>
      <c r="U18" s="105" t="s">
        <v>761</v>
      </c>
      <c r="V18" s="105" t="s">
        <v>762</v>
      </c>
      <c r="W18" s="105" t="s">
        <v>763</v>
      </c>
      <c r="X18" s="105" t="s">
        <v>764</v>
      </c>
      <c r="Y18" s="105" t="s">
        <v>765</v>
      </c>
      <c r="Z18" s="105" t="s">
        <v>766</v>
      </c>
      <c r="AA18" s="105" t="s">
        <v>767</v>
      </c>
      <c r="AB18" s="105" t="s">
        <v>768</v>
      </c>
      <c r="AC18" s="105" t="s">
        <v>769</v>
      </c>
      <c r="AD18" s="105" t="s">
        <v>770</v>
      </c>
      <c r="AE18" s="105" t="s">
        <v>771</v>
      </c>
      <c r="AF18" s="105" t="s">
        <v>772</v>
      </c>
      <c r="AG18" s="105" t="s">
        <v>773</v>
      </c>
      <c r="AH18" s="105" t="s">
        <v>774</v>
      </c>
      <c r="AI18" s="105" t="s">
        <v>775</v>
      </c>
      <c r="AJ18" s="105" t="s">
        <v>776</v>
      </c>
      <c r="AK18" s="105" t="s">
        <v>777</v>
      </c>
      <c r="AL18" s="105" t="s">
        <v>778</v>
      </c>
    </row>
    <row r="19" spans="2:38" s="106" customFormat="1" ht="165.6" x14ac:dyDescent="0.35">
      <c r="B19" s="319">
        <f>'Cuadro Control'!C17</f>
        <v>7744</v>
      </c>
      <c r="C19" s="320">
        <f>VLOOKUP(Proyecto[[#This Row],[Código proyecto (ID Proyecto)]],ESTRATÉGICO!$D$3:$AA$110,2,0)</f>
        <v>2020110010075</v>
      </c>
      <c r="D19" s="320" t="str">
        <f>VLOOKUP(Proyecto[[#This Row],[Código proyecto (ID Proyecto)]],ESTRATÉGICO!$D$3:$AA$110,3,0)</f>
        <v>Generación de Oportunidades para el Desarrollo Integral de la Niñez y la Adolescencia de Bogotá</v>
      </c>
      <c r="E19" s="320" t="str">
        <f>VLOOKUP(Proyecto[[#This Row],[Código proyecto (ID Proyecto)]],ESTRATÉGICO!$D$3:$AA$110,4,0)</f>
        <v>Hacer un nuevo contrato social con igualdad de oportunidades para la inclusión social, productiva y política</v>
      </c>
      <c r="F19" s="320" t="str">
        <f>VLOOKUP(Proyecto[[#This Row],[Código proyecto (ID Proyecto)]],ESTRATÉGICO!$D$3:$AA$110,5,0)</f>
        <v>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v>
      </c>
      <c r="G19" s="320" t="str">
        <f>VLOOKUP(Proyecto[[#This Row],[Código proyecto (ID Proyecto)]],ESTRATÉGICO!$D$3:$AA$110,6,0)</f>
        <v>Sistema Distrital de cuidado</v>
      </c>
      <c r="H19" s="320" t="str">
        <f>VLOOKUP(Proyecto[[#This Row],[Código proyecto (ID Proyecto)]],ESTRATÉGICO!$D$3:$AA$110,7,0)</f>
        <v>Sistema Distrital del Cuidado</v>
      </c>
      <c r="I19" s="320" t="str">
        <f>VLOOKUP(Proyecto[[#This Row],[Código proyecto (ID Proyecto)]],ESTRATÉGICO!$D$3:$AA$110,8,0)</f>
        <v>Contribuir a la atención integral de niñas, niños y adolescentes con enfoque diferencial y de género de Bogotá, generando oportunidades y condiciones de acceso flexibles acorde con sus realidades territoriales, sociales, económicas y culturales</v>
      </c>
      <c r="J19" s="320" t="str">
        <f>VLOOKUP(Proyecto[[#This Row],[Código proyecto (ID Proyecto)]],ESTRATÉGICO!$D$3:$AA$110,11,0)</f>
        <v>Subdirección para la Infancia</v>
      </c>
      <c r="K19" s="321" t="s">
        <v>779</v>
      </c>
      <c r="L19" s="322">
        <f>'Metas proyecto'!$Z$24</f>
        <v>75857837083</v>
      </c>
      <c r="M19" s="322">
        <f>'Metas proyecto'!$AA$24</f>
        <v>233692745672</v>
      </c>
      <c r="N19" s="322">
        <f>'Metas proyecto'!$AB$24</f>
        <v>195274397318</v>
      </c>
      <c r="O19" s="322">
        <f>'Metas proyecto'!$AC$24</f>
        <v>210704006881</v>
      </c>
      <c r="P19" s="322">
        <f>'Metas proyecto'!$AD$24</f>
        <v>237115305000</v>
      </c>
      <c r="Q19" s="323">
        <f>SUM(Proyecto[[Presupuesto programado 2020]:[Presupuesto programado 2024]])</f>
        <v>952644291954</v>
      </c>
      <c r="R19" s="322" t="str">
        <f>'Metas proyecto'!$AF$24</f>
        <v xml:space="preserve">0 </v>
      </c>
      <c r="S19" s="323">
        <f>'Metas proyecto'!$AG$24</f>
        <v>39196750538</v>
      </c>
      <c r="T19" s="322">
        <f>'Metas proyecto'!$AH$24</f>
        <v>86655363328.000015</v>
      </c>
      <c r="U19" s="323">
        <f>EJECUCIÓN!X24</f>
        <v>0</v>
      </c>
      <c r="V19" s="324"/>
      <c r="W19" s="323">
        <f>'Metas proyecto'!$AQ$24</f>
        <v>65584214582</v>
      </c>
      <c r="X19" s="323">
        <f>'Metas proyecto'!$AR$24</f>
        <v>221082246548</v>
      </c>
      <c r="Y19" s="323">
        <f>'Metas proyecto'!$AS$24</f>
        <v>192039730659</v>
      </c>
      <c r="Z19" s="323">
        <f>'Metas proyecto'!$AT$24</f>
        <v>207601128413</v>
      </c>
      <c r="AA19" s="323">
        <f>EJECUCIÓN!G24</f>
        <v>0</v>
      </c>
      <c r="AB19" s="323">
        <f>+SUM(Proyecto[[#This Row],[Presupuesto comprometido 2020]:[Presupuesto comprometido 2024]])</f>
        <v>686307320202</v>
      </c>
      <c r="AC19" s="323">
        <f>'Metas proyecto'!$AW$24</f>
        <v>25215782137</v>
      </c>
      <c r="AD19" s="323">
        <f>'Metas proyecto'!$AX$24</f>
        <v>134008059944</v>
      </c>
      <c r="AE19" s="323">
        <f>'Metas proyecto'!$AY$24</f>
        <v>158672300103</v>
      </c>
      <c r="AF19" s="323">
        <f>'Metas proyecto'!$AZ$24</f>
        <v>181587286163.00003</v>
      </c>
      <c r="AG19" s="323">
        <f>EJECUCIÓN!K24</f>
        <v>0</v>
      </c>
      <c r="AH19" s="323">
        <f>'Metas proyecto'!$BB$24</f>
        <v>0</v>
      </c>
      <c r="AI19" s="323">
        <f>'Metas proyecto'!$BC$24</f>
        <v>39056948243</v>
      </c>
      <c r="AJ19" s="323">
        <f>'Metas proyecto'!$BD$24</f>
        <v>85827188702</v>
      </c>
      <c r="AK19" s="323">
        <f>'Metas proyecto'!$BE$24</f>
        <v>28765245264</v>
      </c>
      <c r="AL19" s="323">
        <f>EJECUCIÓN!AA24</f>
        <v>0</v>
      </c>
    </row>
    <row r="21" spans="2:38" x14ac:dyDescent="0.3">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row>
    <row r="22" spans="2:38" x14ac:dyDescent="0.3">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row>
    <row r="23" spans="2:38" x14ac:dyDescent="0.3">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row>
    <row r="24" spans="2:38" x14ac:dyDescent="0.3">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row>
  </sheetData>
  <sheetProtection algorithmName="SHA-512" hashValue="JjOWINKhagQ6HI4Jwl9ZEKDD+Gj77EWkSLBdSPaN0QWWbYvsvIUEVVxeicfBcJLmWA39VVjsijtvOYSMICHU4A==" saltValue="DS5a0Z5zLWMW8L9AfGofWg==" spinCount="100000" sheet="1" objects="1" scenarios="1"/>
  <mergeCells count="17">
    <mergeCell ref="AC17:AG17"/>
    <mergeCell ref="AH16:AL16"/>
    <mergeCell ref="AH17:AL17"/>
    <mergeCell ref="L17:Q17"/>
    <mergeCell ref="R17:V17"/>
    <mergeCell ref="W16:AB16"/>
    <mergeCell ref="L16:Q16"/>
    <mergeCell ref="R16:V16"/>
    <mergeCell ref="W17:AB17"/>
    <mergeCell ref="B2:C5"/>
    <mergeCell ref="D2:I5"/>
    <mergeCell ref="A13:AL13"/>
    <mergeCell ref="AC16:AG16"/>
    <mergeCell ref="J2:K2"/>
    <mergeCell ref="J3:K3"/>
    <mergeCell ref="J4:K4"/>
    <mergeCell ref="J5:K5"/>
  </mergeCells>
  <phoneticPr fontId="14" type="noConversion"/>
  <dataValidations xWindow="520" yWindow="748" count="1">
    <dataValidation allowBlank="1" showInputMessage="1" showErrorMessage="1" promptTitle="Código proyecto" prompt="Elija el código del proyecto de inversión." sqref="B19" xr:uid="{00000000-0002-0000-0700-000000000000}"/>
  </dataValidations>
  <pageMargins left="0.7" right="0.7" top="0.75" bottom="0.75" header="0.3" footer="0.3"/>
  <pageSetup orientation="portrait" r:id="rId1"/>
  <ignoredErrors>
    <ignoredError sqref="Q19" unlockedFormula="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dimension ref="A2:CI31"/>
  <sheetViews>
    <sheetView showGridLines="0" topLeftCell="A20" zoomScaleNormal="100" workbookViewId="0">
      <selection activeCell="J22" sqref="J22"/>
    </sheetView>
  </sheetViews>
  <sheetFormatPr baseColWidth="10" defaultColWidth="11.54296875" defaultRowHeight="13.8" x14ac:dyDescent="0.3"/>
  <cols>
    <col min="1" max="1" width="3.90625" style="103" customWidth="1"/>
    <col min="2" max="2" width="7.1796875" style="103" customWidth="1"/>
    <col min="3" max="3" width="8.453125" style="103" customWidth="1"/>
    <col min="4" max="4" width="21.453125" style="103" customWidth="1"/>
    <col min="5" max="5" width="7.90625" style="107" customWidth="1"/>
    <col min="6" max="6" width="30.08984375" style="103" customWidth="1"/>
    <col min="7" max="7" width="11.81640625" style="107" customWidth="1"/>
    <col min="8" max="8" width="23.54296875" style="103" customWidth="1"/>
    <col min="9" max="9" width="6.08984375" style="103" customWidth="1"/>
    <col min="10" max="10" width="27.81640625" style="103" customWidth="1"/>
    <col min="11" max="11" width="9.54296875" style="103" customWidth="1"/>
    <col min="12" max="12" width="9.08984375" style="103" customWidth="1"/>
    <col min="13" max="13" width="7.54296875" style="103" customWidth="1"/>
    <col min="14" max="14" width="9.36328125" style="103" customWidth="1"/>
    <col min="15" max="25" width="10.81640625" style="103" customWidth="1"/>
    <col min="26" max="36" width="15.81640625" style="103" customWidth="1"/>
    <col min="37" max="40" width="10.81640625" style="103" customWidth="1"/>
    <col min="41" max="41" width="14" style="103" customWidth="1"/>
    <col min="42" max="42" width="10.81640625" style="103" customWidth="1"/>
    <col min="43" max="58" width="15.81640625" style="103" customWidth="1"/>
    <col min="59" max="65" width="11.54296875" style="103" customWidth="1"/>
    <col min="66" max="70" width="11.54296875" style="103"/>
    <col min="71" max="71" width="16.54296875" style="103" customWidth="1"/>
    <col min="72" max="83" width="11.54296875" style="103"/>
    <col min="84" max="84" width="29.81640625" style="103" customWidth="1"/>
    <col min="85" max="16384" width="11.54296875" style="103"/>
  </cols>
  <sheetData>
    <row r="2" spans="1:87" s="39" customFormat="1" ht="24" customHeight="1" x14ac:dyDescent="0.35">
      <c r="B2" s="497"/>
      <c r="C2" s="497"/>
      <c r="D2" s="499" t="s">
        <v>683</v>
      </c>
      <c r="E2" s="499"/>
      <c r="F2" s="500"/>
      <c r="G2" s="510" t="s">
        <v>684</v>
      </c>
      <c r="H2" s="510"/>
      <c r="I2" s="102"/>
      <c r="K2" s="102"/>
      <c r="L2" s="102"/>
      <c r="M2" s="102"/>
      <c r="N2" s="102"/>
      <c r="O2" s="102"/>
      <c r="P2" s="102"/>
      <c r="Q2" s="102"/>
    </row>
    <row r="3" spans="1:87" s="39" customFormat="1" ht="20.399999999999999" x14ac:dyDescent="0.35">
      <c r="B3" s="497"/>
      <c r="C3" s="497"/>
      <c r="D3" s="502"/>
      <c r="E3" s="502"/>
      <c r="F3" s="503"/>
      <c r="G3" s="510" t="s">
        <v>685</v>
      </c>
      <c r="H3" s="510"/>
      <c r="I3" s="102"/>
      <c r="K3" s="102"/>
      <c r="L3" s="102"/>
      <c r="M3" s="102"/>
      <c r="N3" s="102"/>
      <c r="O3" s="102"/>
      <c r="P3" s="102"/>
      <c r="Q3" s="102"/>
    </row>
    <row r="4" spans="1:87" s="39" customFormat="1" ht="20.25" customHeight="1" x14ac:dyDescent="0.35">
      <c r="B4" s="497"/>
      <c r="C4" s="497"/>
      <c r="D4" s="502"/>
      <c r="E4" s="502"/>
      <c r="F4" s="503"/>
      <c r="G4" s="511" t="s">
        <v>686</v>
      </c>
      <c r="H4" s="511"/>
      <c r="I4" s="102"/>
      <c r="K4" s="102"/>
      <c r="L4" s="102"/>
      <c r="M4" s="102"/>
      <c r="N4" s="102"/>
      <c r="O4" s="102"/>
      <c r="P4" s="102"/>
      <c r="Q4" s="102"/>
    </row>
    <row r="5" spans="1:87" s="39" customFormat="1" ht="20.399999999999999" x14ac:dyDescent="0.35">
      <c r="B5" s="497"/>
      <c r="C5" s="497"/>
      <c r="D5" s="505"/>
      <c r="E5" s="505"/>
      <c r="F5" s="506"/>
      <c r="G5" s="510" t="s">
        <v>780</v>
      </c>
      <c r="H5" s="510"/>
      <c r="I5" s="102"/>
      <c r="K5" s="102"/>
      <c r="L5" s="102"/>
      <c r="M5" s="102"/>
      <c r="N5" s="102"/>
      <c r="O5" s="102"/>
      <c r="P5" s="102"/>
      <c r="Q5" s="102"/>
    </row>
    <row r="12" spans="1:87" ht="14.4" thickBot="1" x14ac:dyDescent="0.35">
      <c r="A12" s="108"/>
      <c r="B12" s="108"/>
      <c r="C12" s="108"/>
      <c r="D12" s="108"/>
      <c r="E12" s="118"/>
      <c r="F12" s="108"/>
      <c r="G12" s="11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row>
    <row r="13" spans="1:87" s="104" customFormat="1" ht="25.8" thickBot="1" x14ac:dyDescent="0.5">
      <c r="A13" s="110" t="s">
        <v>781</v>
      </c>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row>
    <row r="15" spans="1:87" x14ac:dyDescent="0.3">
      <c r="A15" s="108"/>
      <c r="B15" s="108"/>
      <c r="C15" s="108"/>
      <c r="D15" s="108"/>
      <c r="E15" s="118"/>
      <c r="F15" s="108"/>
      <c r="G15" s="11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row>
    <row r="16" spans="1:87" ht="18" x14ac:dyDescent="0.35">
      <c r="A16" s="108"/>
      <c r="B16" s="108"/>
      <c r="C16" s="108"/>
      <c r="D16" s="108"/>
      <c r="E16" s="118"/>
      <c r="F16" s="108"/>
      <c r="G16" s="118"/>
      <c r="H16" s="108"/>
      <c r="I16" s="108"/>
      <c r="J16" s="108"/>
      <c r="K16" s="108"/>
      <c r="L16" s="108"/>
      <c r="M16" s="108"/>
      <c r="N16" s="108"/>
      <c r="O16" s="513" t="s">
        <v>782</v>
      </c>
      <c r="P16" s="513"/>
      <c r="Q16" s="513"/>
      <c r="R16" s="513"/>
      <c r="S16" s="513"/>
      <c r="T16" s="513"/>
      <c r="U16" s="513" t="s">
        <v>783</v>
      </c>
      <c r="V16" s="513"/>
      <c r="W16" s="513"/>
      <c r="X16" s="513"/>
      <c r="Y16" s="513"/>
      <c r="Z16" s="513" t="s">
        <v>750</v>
      </c>
      <c r="AA16" s="513"/>
      <c r="AB16" s="513"/>
      <c r="AC16" s="513"/>
      <c r="AD16" s="513"/>
      <c r="AE16" s="513"/>
      <c r="AF16" s="513" t="s">
        <v>750</v>
      </c>
      <c r="AG16" s="513"/>
      <c r="AH16" s="513"/>
      <c r="AI16" s="513"/>
      <c r="AJ16" s="513"/>
      <c r="AK16" s="517" t="s">
        <v>784</v>
      </c>
      <c r="AL16" s="517"/>
      <c r="AM16" s="517"/>
      <c r="AN16" s="517"/>
      <c r="AO16" s="517"/>
      <c r="AP16" s="517"/>
      <c r="AQ16" s="517" t="s">
        <v>750</v>
      </c>
      <c r="AR16" s="517"/>
      <c r="AS16" s="517"/>
      <c r="AT16" s="517"/>
      <c r="AU16" s="517"/>
      <c r="AV16" s="517"/>
      <c r="AW16" s="518" t="s">
        <v>750</v>
      </c>
      <c r="AX16" s="519"/>
      <c r="AY16" s="519"/>
      <c r="AZ16" s="519"/>
      <c r="BA16" s="520"/>
      <c r="BB16" s="517" t="s">
        <v>750</v>
      </c>
      <c r="BC16" s="517"/>
      <c r="BD16" s="517"/>
      <c r="BE16" s="517"/>
      <c r="BF16" s="517"/>
      <c r="BG16" s="514" t="s">
        <v>785</v>
      </c>
      <c r="BH16" s="515"/>
      <c r="BI16" s="515"/>
      <c r="BJ16" s="515"/>
      <c r="BK16" s="515"/>
      <c r="BL16" s="515"/>
      <c r="BM16" s="515"/>
      <c r="BN16" s="515"/>
      <c r="BO16" s="515"/>
      <c r="BP16" s="515"/>
      <c r="BQ16" s="515"/>
      <c r="BR16" s="515"/>
      <c r="BS16" s="515"/>
      <c r="BT16" s="516" t="s">
        <v>786</v>
      </c>
      <c r="BU16" s="516"/>
      <c r="BV16" s="516"/>
      <c r="BW16" s="516"/>
      <c r="BX16" s="516"/>
      <c r="BY16" s="516"/>
      <c r="BZ16" s="516"/>
      <c r="CA16" s="516"/>
      <c r="CB16" s="516"/>
      <c r="CC16" s="516"/>
      <c r="CD16" s="516"/>
      <c r="CE16" s="516"/>
      <c r="CF16" s="516"/>
      <c r="CG16" s="49"/>
      <c r="CH16" s="49"/>
      <c r="CI16" s="49"/>
    </row>
    <row r="17" spans="1:87" s="109" customFormat="1" ht="82.8" x14ac:dyDescent="0.3">
      <c r="A17" s="119"/>
      <c r="B17" s="205" t="s">
        <v>787</v>
      </c>
      <c r="C17" s="206" t="s">
        <v>788</v>
      </c>
      <c r="D17" s="206" t="s">
        <v>21</v>
      </c>
      <c r="E17" s="206" t="s">
        <v>33</v>
      </c>
      <c r="F17" s="206" t="s">
        <v>34</v>
      </c>
      <c r="G17" s="206" t="s">
        <v>37</v>
      </c>
      <c r="H17" s="206" t="s">
        <v>38</v>
      </c>
      <c r="I17" s="206" t="s">
        <v>30</v>
      </c>
      <c r="J17" s="206" t="s">
        <v>31</v>
      </c>
      <c r="K17" s="206" t="s">
        <v>32</v>
      </c>
      <c r="L17" s="206" t="s">
        <v>789</v>
      </c>
      <c r="M17" s="206" t="s">
        <v>790</v>
      </c>
      <c r="N17" s="206" t="s">
        <v>791</v>
      </c>
      <c r="O17" s="206" t="s">
        <v>792</v>
      </c>
      <c r="P17" s="206" t="s">
        <v>793</v>
      </c>
      <c r="Q17" s="206" t="s">
        <v>794</v>
      </c>
      <c r="R17" s="206" t="s">
        <v>795</v>
      </c>
      <c r="S17" s="206" t="s">
        <v>796</v>
      </c>
      <c r="T17" s="206" t="s">
        <v>797</v>
      </c>
      <c r="U17" s="206" t="s">
        <v>798</v>
      </c>
      <c r="V17" s="206" t="s">
        <v>799</v>
      </c>
      <c r="W17" s="206" t="s">
        <v>800</v>
      </c>
      <c r="X17" s="206" t="s">
        <v>801</v>
      </c>
      <c r="Y17" s="206" t="s">
        <v>802</v>
      </c>
      <c r="Z17" s="206" t="s">
        <v>752</v>
      </c>
      <c r="AA17" s="206" t="s">
        <v>753</v>
      </c>
      <c r="AB17" s="206" t="s">
        <v>754</v>
      </c>
      <c r="AC17" s="206" t="s">
        <v>755</v>
      </c>
      <c r="AD17" s="206" t="s">
        <v>756</v>
      </c>
      <c r="AE17" s="206" t="s">
        <v>757</v>
      </c>
      <c r="AF17" s="206" t="s">
        <v>758</v>
      </c>
      <c r="AG17" s="206" t="s">
        <v>759</v>
      </c>
      <c r="AH17" s="206" t="s">
        <v>760</v>
      </c>
      <c r="AI17" s="206" t="s">
        <v>761</v>
      </c>
      <c r="AJ17" s="206" t="s">
        <v>762</v>
      </c>
      <c r="AK17" s="206" t="s">
        <v>803</v>
      </c>
      <c r="AL17" s="206" t="s">
        <v>804</v>
      </c>
      <c r="AM17" s="206" t="s">
        <v>805</v>
      </c>
      <c r="AN17" s="206" t="s">
        <v>806</v>
      </c>
      <c r="AO17" s="206" t="s">
        <v>807</v>
      </c>
      <c r="AP17" s="206" t="s">
        <v>808</v>
      </c>
      <c r="AQ17" s="206" t="s">
        <v>763</v>
      </c>
      <c r="AR17" s="206" t="s">
        <v>764</v>
      </c>
      <c r="AS17" s="206" t="s">
        <v>765</v>
      </c>
      <c r="AT17" s="206" t="s">
        <v>766</v>
      </c>
      <c r="AU17" s="206" t="s">
        <v>767</v>
      </c>
      <c r="AV17" s="206" t="s">
        <v>768</v>
      </c>
      <c r="AW17" s="206" t="s">
        <v>809</v>
      </c>
      <c r="AX17" s="206" t="s">
        <v>810</v>
      </c>
      <c r="AY17" s="206" t="s">
        <v>811</v>
      </c>
      <c r="AZ17" s="206" t="s">
        <v>812</v>
      </c>
      <c r="BA17" s="206" t="s">
        <v>813</v>
      </c>
      <c r="BB17" s="206" t="s">
        <v>774</v>
      </c>
      <c r="BC17" s="206" t="s">
        <v>775</v>
      </c>
      <c r="BD17" s="206" t="s">
        <v>776</v>
      </c>
      <c r="BE17" s="206" t="s">
        <v>777</v>
      </c>
      <c r="BF17" s="207" t="s">
        <v>778</v>
      </c>
      <c r="BG17" s="138" t="s">
        <v>814</v>
      </c>
      <c r="BH17" s="138" t="s">
        <v>815</v>
      </c>
      <c r="BI17" s="138" t="s">
        <v>816</v>
      </c>
      <c r="BJ17" s="138" t="s">
        <v>817</v>
      </c>
      <c r="BK17" s="138" t="s">
        <v>818</v>
      </c>
      <c r="BL17" s="138" t="s">
        <v>819</v>
      </c>
      <c r="BM17" s="138" t="s">
        <v>820</v>
      </c>
      <c r="BN17" s="138" t="s">
        <v>821</v>
      </c>
      <c r="BO17" s="138" t="s">
        <v>822</v>
      </c>
      <c r="BP17" s="138" t="s">
        <v>823</v>
      </c>
      <c r="BQ17" s="138" t="s">
        <v>824</v>
      </c>
      <c r="BR17" s="138" t="s">
        <v>825</v>
      </c>
      <c r="BS17" s="137" t="s">
        <v>826</v>
      </c>
      <c r="BT17" s="139" t="s">
        <v>827</v>
      </c>
      <c r="BU17" s="138" t="s">
        <v>828</v>
      </c>
      <c r="BV17" s="138" t="s">
        <v>829</v>
      </c>
      <c r="BW17" s="138" t="s">
        <v>830</v>
      </c>
      <c r="BX17" s="138" t="s">
        <v>831</v>
      </c>
      <c r="BY17" s="138" t="s">
        <v>832</v>
      </c>
      <c r="BZ17" s="138" t="s">
        <v>833</v>
      </c>
      <c r="CA17" s="138" t="s">
        <v>834</v>
      </c>
      <c r="CB17" s="138" t="s">
        <v>835</v>
      </c>
      <c r="CC17" s="138" t="s">
        <v>836</v>
      </c>
      <c r="CD17" s="138" t="s">
        <v>837</v>
      </c>
      <c r="CE17" s="138" t="s">
        <v>838</v>
      </c>
      <c r="CF17" s="138" t="s">
        <v>839</v>
      </c>
      <c r="CG17" s="140" t="s">
        <v>840</v>
      </c>
      <c r="CH17" s="140" t="s">
        <v>841</v>
      </c>
      <c r="CI17" s="140" t="s">
        <v>842</v>
      </c>
    </row>
    <row r="18" spans="1:87" s="350" customFormat="1" ht="138" x14ac:dyDescent="0.35">
      <c r="A18" s="325"/>
      <c r="B18" s="326" t="str">
        <f>'Metas proyecto'!$C18&amp;'Metas proyecto'!$I18</f>
        <v>77441</v>
      </c>
      <c r="C18" s="327">
        <f>'Cuadro Control'!$C$17</f>
        <v>7744</v>
      </c>
      <c r="D18" s="328" t="str">
        <f>Proyecto!$D$19</f>
        <v>Generación de Oportunidades para el Desarrollo Integral de la Niñez y la Adolescencia de Bogotá</v>
      </c>
      <c r="E18" s="328">
        <f>VLOOKUP('Metas proyecto'!$B18,ESTRATÉGICO!$C$3:$AA$110,16,0)</f>
        <v>41</v>
      </c>
      <c r="F18" s="327" t="str">
        <f>VLOOKUP('Metas proyecto'!$B18,ESTRATÉGICO!$C$3:$AA$110,17,0)</f>
        <v>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v>
      </c>
      <c r="G18" s="327">
        <f>VLOOKUP('Metas proyecto'!$B18,ESTRATÉGICO!$C$3:$AA$110,20,0)</f>
        <v>4102035</v>
      </c>
      <c r="H18" s="327" t="str">
        <f>VLOOKUP('Metas proyecto'!$B18,ESTRATÉGICO!$C$3:$AA$110,21,0)</f>
        <v>Documentos de lineamientos técnicos</v>
      </c>
      <c r="I18" s="329">
        <v>1</v>
      </c>
      <c r="J18" s="327" t="str">
        <f>VLOOKUP('Metas proyecto'!$B18,ESTRATÉGICO!$C$3:$AA$110,14,0)</f>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v>
      </c>
      <c r="K18" s="327" t="str">
        <f>VLOOKUP('Metas proyecto'!$B18,ESTRATÉGICO!$C$3:$AA$110,15,0)</f>
        <v>Creciente</v>
      </c>
      <c r="L18" s="330" t="s">
        <v>843</v>
      </c>
      <c r="M18" s="330" t="s">
        <v>844</v>
      </c>
      <c r="N18" s="331">
        <v>0.11</v>
      </c>
      <c r="O18" s="332">
        <v>0.1</v>
      </c>
      <c r="P18" s="330">
        <v>0.45</v>
      </c>
      <c r="Q18" s="330">
        <v>0.65</v>
      </c>
      <c r="R18" s="332">
        <v>0.85</v>
      </c>
      <c r="S18" s="333">
        <v>1</v>
      </c>
      <c r="T18" s="334">
        <f>IFERROR(IF('Metas proyecto'!$K18="SUMA",SUM('Metas proyecto'!$O18:$S18),
IF('Metas proyecto'!$K18="Creciente",MAX('Metas proyecto'!$O18:$S18),
AVERAGE('Metas proyecto'!$O18:$S18))),"...")</f>
        <v>1</v>
      </c>
      <c r="U18" s="335">
        <v>1</v>
      </c>
      <c r="V18" s="335">
        <v>1</v>
      </c>
      <c r="W18" s="335">
        <v>1</v>
      </c>
      <c r="X18" s="335">
        <v>1</v>
      </c>
      <c r="Y18" s="335">
        <v>1</v>
      </c>
      <c r="Z18" s="336">
        <f>SUMIFS(presuvigencias[Suma de APROPIACION],presuvigencias[LLAVE],'Metas proyecto'!$B18,presuvigencias[vigencia],"2020")</f>
        <v>1078169886</v>
      </c>
      <c r="AA18" s="336">
        <f>SUMIFS(presuvigencias[Suma de APROPIACION],presuvigencias[LLAVE],'Metas proyecto'!$B18,presuvigencias[vigencia],"2021")</f>
        <v>1689958915</v>
      </c>
      <c r="AB18" s="336">
        <f>SUMIFS(presuvigencias[Suma de APROPIACION],presuvigencias[LLAVE],'Metas proyecto'!$B18,presuvigencias[vigencia],"2022")</f>
        <v>1768323258</v>
      </c>
      <c r="AC18" s="336">
        <f>SUMIFS(presuvigencias[Suma de APROPIACION],presuvigencias[LLAVE],'Metas proyecto'!$B18,presuvigencias[vigencia],"2023")</f>
        <v>1525955692</v>
      </c>
      <c r="AD18" s="336">
        <f>VLOOKUP('Metas proyecto'!$B18,EJECUCIÓN!$A$13:$I$23,4,0)</f>
        <v>2019908000</v>
      </c>
      <c r="AE18" s="337">
        <f>SUM('Metas proyecto'!$Z18:$AD18)</f>
        <v>8082315751</v>
      </c>
      <c r="AF18" s="336">
        <f>SUMIFS(PRESUPUESTO!$P$2:$P$274,PRESUPUESTO!$K$2:$K$274,'Metas proyecto'!$B18,PRESUPUESTO!$R$2:$R$274,"2020")</f>
        <v>0</v>
      </c>
      <c r="AG18" s="336">
        <f>SUMIFS(PRESUPUESTO!$P$2:$P$274,PRESUPUESTO!$K$2:$K$274,'Metas proyecto'!$B18,PRESUPUESTO!$R$2:$R$274,"2021")</f>
        <v>484811936</v>
      </c>
      <c r="AH18" s="336">
        <f>SUMIFS(PRESUPUESTO!$P$2:$P$274,PRESUPUESTO!$K$2:$K$274,'Metas proyecto'!$B18,PRESUPUESTO!$R$2:$R$274,"2022")</f>
        <v>515925334</v>
      </c>
      <c r="AI18" s="336">
        <f>SUMIFS(PRESUPUESTO!$P$2:$P$274,PRESUPUESTO!$K$2:$K$274,'Metas proyecto'!$B18,PRESUPUESTO!$R$2:$R$274,"2023")</f>
        <v>239064911</v>
      </c>
      <c r="AJ18" s="336">
        <f>VLOOKUP('Metas proyecto'!$B18,EJECUCIÓN!$O$13:$Z$23,10,0)</f>
        <v>0</v>
      </c>
      <c r="AK18" s="338">
        <v>0.1</v>
      </c>
      <c r="AL18" s="338">
        <v>0.45</v>
      </c>
      <c r="AM18" s="338">
        <v>0.65</v>
      </c>
      <c r="AN18" s="339">
        <v>0.85</v>
      </c>
      <c r="AO18" s="340">
        <f>VLOOKUP('Metas proyecto'!$B18,EJECUCIÓN!$A$32:$H$42,7,0)</f>
        <v>0</v>
      </c>
      <c r="AP18" s="341">
        <f>IF('Metas proyecto'!$K18="SUMA",SUM('Metas proyecto'!$AK18:$AO18),
IF('Metas proyecto'!$K18="Creciente",MAX('Metas proyecto'!$AK18:$AO18),
AVERAGE('Metas proyecto'!$AK18:$AO18)))</f>
        <v>0.85</v>
      </c>
      <c r="AQ18" s="342">
        <f>SUMIFS(PRESUPUESTO!$G$2:$G$470,PRESUPUESTO!$B$2:$B$470,'Metas proyecto'!$B18,PRESUPUESTO!$I$2:$I$470,"2020")</f>
        <v>851177778</v>
      </c>
      <c r="AR18" s="342">
        <f>SUMIFS(PRESUPUESTO!$G$2:$G$470,PRESUPUESTO!$B$2:$B$470,'Metas proyecto'!$B18,PRESUPUESTO!$I$2:$I$470,"2021")</f>
        <v>1689958915</v>
      </c>
      <c r="AS18" s="342">
        <f>SUMIFS(PRESUPUESTO!$G$2:$G$470,PRESUPUESTO!$B$2:$B$470,'Metas proyecto'!$B18,PRESUPUESTO!$I$2:$I$470,"2022")</f>
        <v>1757351424</v>
      </c>
      <c r="AT18" s="342">
        <f>SUMIFS(PRESUPUESTO!$G$2:$G$470,PRESUPUESTO!$B$2:$B$470,'Metas proyecto'!$B18,PRESUPUESTO!$I$2:$I$470,"2023")</f>
        <v>1525955692</v>
      </c>
      <c r="AU18" s="342">
        <f>VLOOKUP('Metas proyecto'!$B18,EJECUCIÓN!$A$13:$I$23,7)</f>
        <v>0</v>
      </c>
      <c r="AV18" s="337">
        <f>SUM('Metas proyecto'!$AQ18:$AU18)</f>
        <v>5824443809</v>
      </c>
      <c r="AW18" s="336">
        <f>SUMIFS(PRESUPUESTO!$H$2:$H$470,PRESUPUESTO!$B$2:$B$470,'Metas proyecto'!$B18,PRESUPUESTO!$I$2:$I$470,"2020")</f>
        <v>366365842</v>
      </c>
      <c r="AX18" s="336">
        <f>SUMIFS(PRESUPUESTO!$H$2:$H$470,PRESUPUESTO!$B$2:$B$470,'Metas proyecto'!$B18,PRESUPUESTO!$I$2:$I$470,"2021")</f>
        <v>1174033581</v>
      </c>
      <c r="AY18" s="336">
        <f>SUMIFS(PRESUPUESTO!$H$2:$H$470,PRESUPUESTO!$B$2:$B$470,'Metas proyecto'!$B18,PRESUPUESTO!$I$2:$I$470,"2022")</f>
        <v>1495376257.4406054</v>
      </c>
      <c r="AZ18" s="336">
        <f>SUMIFS(PRESUPUESTO!$H$2:$H$470,PRESUPUESTO!$B$2:$B$470,'Metas proyecto'!$B18,PRESUPUESTO!$I$2:$I$470,"2023")</f>
        <v>1305875410</v>
      </c>
      <c r="BA18" s="336">
        <f>VLOOKUP('Metas proyecto'!$B18,EJECUCIÓN!$A$13:$M$23,11,0)</f>
        <v>0</v>
      </c>
      <c r="BB18" s="336">
        <f>SUMIFS(PRESUPUESTO!$Q$2:$Q$274,PRESUPUESTO!$K$2:$K$274,'Metas proyecto'!$B18,PRESUPUESTO!$R$2:$R$274,"2020")</f>
        <v>0</v>
      </c>
      <c r="BC18" s="336">
        <f>SUMIFS(PRESUPUESTO!$Q$2:$Q$274,PRESUPUESTO!$K$2:$K$274,'Metas proyecto'!$B18,PRESUPUESTO!$R$2:$R$274,"2021")</f>
        <v>479716344</v>
      </c>
      <c r="BD18" s="343">
        <f>SUMIFS(PRESUPUESTO!$Q$2:$Q$274,PRESUPUESTO!$K$2:$K$274,'Metas proyecto'!$B18,PRESUPUESTO!$R$2:$R$274,"2022")</f>
        <v>493071034</v>
      </c>
      <c r="BE18" s="336">
        <f>SUMIFS(PRESUPUESTO!$Q$2:$Q$274,PRESUPUESTO!$K$2:$K$274,'Metas proyecto'!$B18,PRESUPUESTO!$R$2:$R$274,"2023")</f>
        <v>234064785</v>
      </c>
      <c r="BF18" s="344">
        <f>VLOOKUP('Metas proyecto'!$B18,EJECUCIÓN!$O$13:$AC$23,13,0)</f>
        <v>0</v>
      </c>
      <c r="BG18" s="345">
        <f ca="1">(SUMIF(Actividades!$E$18:$E$35,'Metas proyecto'!$I18,Actividades!$AO$18:$AO$27)
*'Metas proyecto'!$X18)/
'Metas proyecto'!$N18</f>
        <v>0</v>
      </c>
      <c r="BH18" s="346">
        <f ca="1">(SUMIF(Actividades!$E$18:$E$35,'Metas proyecto'!$I18,Actividades!$AP$18:$AP$27)
*'Metas proyecto'!$X18)/
'Metas proyecto'!$N18</f>
        <v>0</v>
      </c>
      <c r="BI18" s="346">
        <f ca="1">(SUMIF(Actividades!$E$18:$E$35,'Metas proyecto'!$I18,Actividades!$AQ$18:$AQ$27)
*'Metas proyecto'!$X18)/
'Metas proyecto'!$N18</f>
        <v>0.5636363636363636</v>
      </c>
      <c r="BJ18" s="346">
        <f ca="1">(SUMIF(Actividades!$E$18:$E$35,'Metas proyecto'!$I18,Actividades!$AR$18:$AR$27)
*'Metas proyecto'!$X18)/
'Metas proyecto'!$N18</f>
        <v>0.27272727272727271</v>
      </c>
      <c r="BK18" s="346">
        <f ca="1">(SUMIF(Actividades!$E$18:$E$35,'Metas proyecto'!$I18,Actividades!$AS$18:$AS$27)
*'Metas proyecto'!$X18)/
'Metas proyecto'!$N18</f>
        <v>0.34545454545454551</v>
      </c>
      <c r="BL18" s="346">
        <f ca="1">(SUMIF(Actividades!$E$18:$E$35,'Metas proyecto'!$I18,Actividades!$AT$18:$AT$27)
*'Metas proyecto'!$X18)/
'Metas proyecto'!$N18</f>
        <v>0</v>
      </c>
      <c r="BM18" s="346">
        <f ca="1">(SUMIF(Actividades!$E$18:$E$35,'Metas proyecto'!$I18,Actividades!$AU$18:$AU$27)
*'Metas proyecto'!$X18)/
'Metas proyecto'!$N18</f>
        <v>0</v>
      </c>
      <c r="BN18" s="346">
        <f ca="1">(SUMIF(Actividades!$E$18:$E$35,'Metas proyecto'!$I18,Actividades!$AV$18:$AV$27)
*'Metas proyecto'!$X18)/
'Metas proyecto'!$N18</f>
        <v>0</v>
      </c>
      <c r="BO18" s="346">
        <f ca="1">(SUMIF(Actividades!$E$18:$E$35,'Metas proyecto'!$I18,Actividades!$AW$18:$AW$27)
*'Metas proyecto'!$X18)/
'Metas proyecto'!$N18</f>
        <v>0</v>
      </c>
      <c r="BP18" s="346">
        <f ca="1">(SUMIF(Actividades!$E$18:$E$35,'Metas proyecto'!$I18,Actividades!$AX$18:$AX$27)
*'Metas proyecto'!$X18)/
'Metas proyecto'!$N18</f>
        <v>0</v>
      </c>
      <c r="BQ18" s="346">
        <f ca="1">(SUMIF(Actividades!$E$18:$E$35,'Metas proyecto'!$I18,Actividades!$AY$18:$AY$27)
*'Metas proyecto'!$X18)/
'Metas proyecto'!$N18</f>
        <v>0</v>
      </c>
      <c r="BR18" s="346">
        <f ca="1">(SUMIF(Actividades!$E$18:$E$35,'Metas proyecto'!$I18,Actividades!$AZ$18:$AZ$27)
*'Metas proyecto'!$X18)/
'Metas proyecto'!$N18</f>
        <v>0</v>
      </c>
      <c r="BS18" s="347">
        <f ca="1">SUM(BG18:BR18)</f>
        <v>1.1818181818181819</v>
      </c>
      <c r="BT18" s="348">
        <f ca="1">(SUMIF( Actividades!$E$18:$E$35, 'Metas proyecto'!$I18,Actividades!$BA$18:$BA$27)* 'Metas proyecto'!$Y18/ 'Metas proyecto'!$N18)</f>
        <v>0</v>
      </c>
      <c r="BU18" s="346">
        <f ca="1">(SUMIF( Actividades!$E$18:$E$35, 'Metas proyecto'!$I18,Actividades!$BB$18:$BB$27)* 'Metas proyecto'!$Y18/ 'Metas proyecto'!$N18)</f>
        <v>0</v>
      </c>
      <c r="BV18" s="346">
        <f ca="1">(SUMIF( Actividades!$E$18:$E$35, 'Metas proyecto'!$I18,Actividades!$BC$18:$BC$27)* 'Metas proyecto'!$Y18/ 'Metas proyecto'!$N18)</f>
        <v>0</v>
      </c>
      <c r="BW18" s="346">
        <f ca="1">(SUMIF( Actividades!$E$18:$E$35, 'Metas proyecto'!$I18,Actividades!$BD$18:$BD$27)* 'Metas proyecto'!$Y18/ 'Metas proyecto'!$N18)</f>
        <v>0</v>
      </c>
      <c r="BX18" s="346">
        <f ca="1">(SUMIF( Actividades!$E$18:$E$35, 'Metas proyecto'!$I18,Actividades!$BE$18:$BE$27)* 'Metas proyecto'!$Y18/ 'Metas proyecto'!$N18)</f>
        <v>0</v>
      </c>
      <c r="BY18" s="346">
        <f ca="1">(SUMIF( Actividades!$E$18:$E$35, 'Metas proyecto'!$I18,Actividades!$BF$18:$BF$27)* 'Metas proyecto'!$Y18/ 'Metas proyecto'!$N18)</f>
        <v>0</v>
      </c>
      <c r="BZ18" s="346">
        <f ca="1">(SUMIF( Actividades!$E$18:$E$35, 'Metas proyecto'!$I18,Actividades!$BG$18:$BG$27)* 'Metas proyecto'!$Y18/ 'Metas proyecto'!$N18)</f>
        <v>0</v>
      </c>
      <c r="CA18" s="346">
        <f ca="1">(SUMIF( Actividades!$E$18:$E$35, 'Metas proyecto'!$I18,Actividades!$BH$18:$BH$27)* 'Metas proyecto'!$Y18/ 'Metas proyecto'!$N18)</f>
        <v>0</v>
      </c>
      <c r="CB18" s="346">
        <f ca="1">(SUMIF( Actividades!$E$18:$E$35, 'Metas proyecto'!$I18,Actividades!$BI$18:$BI$27)* 'Metas proyecto'!$Y18/ 'Metas proyecto'!$N18)</f>
        <v>0</v>
      </c>
      <c r="CC18" s="346">
        <f ca="1">(SUMIF( Actividades!$E$18:$E$35, 'Metas proyecto'!$I18,Actividades!$BJ$18:$BJ$27)* 'Metas proyecto'!$Y18/ 'Metas proyecto'!$N18)</f>
        <v>0</v>
      </c>
      <c r="CD18" s="346">
        <f ca="1">(SUMIF( Actividades!$E$18:$E$35, 'Metas proyecto'!$I18,Actividades!$BK$18:$BK$27)* 'Metas proyecto'!$Y18/ 'Metas proyecto'!$N18)</f>
        <v>0</v>
      </c>
      <c r="CE18" s="346">
        <f ca="1">(SUMIF( Actividades!$E$18:$E$35, 'Metas proyecto'!$I18,Actividades!$BL$18:$BL$27)* 'Metas proyecto'!$Y18/ 'Metas proyecto'!$N18)</f>
        <v>0</v>
      </c>
      <c r="CF18" s="349">
        <f ca="1">SUM(BT18:CE18)</f>
        <v>0</v>
      </c>
      <c r="CG18" s="349">
        <f ca="1">metas_actividades[[#This Row],[Total ejecutado plan de actividades Vigencia]]/metas_actividades[[#This Row],[Total programado plan de actividades Vigencia (Valor esperado vigencia)]]</f>
        <v>0</v>
      </c>
      <c r="CH18" s="349">
        <f>'Metas proyecto'!$AO18/'Metas proyecto'!$S18</f>
        <v>0</v>
      </c>
      <c r="CI18" s="349">
        <f>'Metas proyecto'!$AP18/'Metas proyecto'!$T18</f>
        <v>0.85</v>
      </c>
    </row>
    <row r="19" spans="1:87" s="17" customFormat="1" ht="124.2" x14ac:dyDescent="0.35">
      <c r="A19" s="351"/>
      <c r="B19" s="326" t="str">
        <f>'Metas proyecto'!$C19&amp;'Metas proyecto'!$I19</f>
        <v>77442</v>
      </c>
      <c r="C19" s="327">
        <f>'Cuadro Control'!$C$17</f>
        <v>7744</v>
      </c>
      <c r="D19" s="327" t="str">
        <f>Proyecto!$D$19</f>
        <v>Generación de Oportunidades para el Desarrollo Integral de la Niñez y la Adolescencia de Bogotá</v>
      </c>
      <c r="E19" s="328">
        <f>VLOOKUP('Metas proyecto'!$B19,ESTRATÉGICO!$C$3:$AA$110,16,0)</f>
        <v>42</v>
      </c>
      <c r="F19" s="327" t="str">
        <f>VLOOKUP('Metas proyecto'!$B19,ESTRATÉGICO!$C$3:$AA$110,17,0)</f>
        <v>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v>
      </c>
      <c r="G19" s="327">
        <f>VLOOKUP('Metas proyecto'!$B19,ESTRATÉGICO!$C$3:$AA$110,20,0)</f>
        <v>4102001</v>
      </c>
      <c r="H19" s="327" t="str">
        <f>VLOOKUP('Metas proyecto'!$B19,ESTRATÉGICO!$C$3:$AA$110,21,0)</f>
        <v>Servicio de atención integral a la primera infancia</v>
      </c>
      <c r="I19" s="329">
        <v>2</v>
      </c>
      <c r="J19" s="327" t="str">
        <f>VLOOKUP('Metas proyecto'!$B19,ESTRATÉGICO!$C$3:$AA$110,14,0)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K19" s="327" t="str">
        <f>VLOOKUP('Metas proyecto'!$B19,ESTRATÉGICO!$C$3:$AA$110,15,0)</f>
        <v>Constante</v>
      </c>
      <c r="L19" s="330" t="s">
        <v>844</v>
      </c>
      <c r="M19" s="330" t="s">
        <v>843</v>
      </c>
      <c r="N19" s="331">
        <v>0.54</v>
      </c>
      <c r="O19" s="352">
        <v>67000</v>
      </c>
      <c r="P19" s="330">
        <v>71000</v>
      </c>
      <c r="Q19" s="330">
        <v>71000</v>
      </c>
      <c r="R19" s="352">
        <v>71000</v>
      </c>
      <c r="S19" s="333">
        <v>71000</v>
      </c>
      <c r="T19" s="334">
        <f>IFERROR(IF('Metas proyecto'!$K19="SUMA",SUM('Metas proyecto'!$O19:$S19),
IF('Metas proyecto'!$K19="Creciente",MAX('Metas proyecto'!$O19:$S19),
AVERAGE('Metas proyecto'!$O19:$S19))),"...")</f>
        <v>70200</v>
      </c>
      <c r="U19" s="335">
        <v>1</v>
      </c>
      <c r="V19" s="335">
        <v>1</v>
      </c>
      <c r="W19" s="335">
        <v>1</v>
      </c>
      <c r="X19" s="335">
        <v>1</v>
      </c>
      <c r="Y19" s="335">
        <v>1</v>
      </c>
      <c r="Z19" s="336">
        <f>SUMIFS(presuvigencias[Suma de APROPIACION],presuvigencias[LLAVE],'Metas proyecto'!$B19,presuvigencias[vigencia],"2020")</f>
        <v>64050879501</v>
      </c>
      <c r="AA19" s="336">
        <f>SUMIFS(presuvigencias[Suma de APROPIACION],presuvigencias[LLAVE],'Metas proyecto'!$B19,presuvigencias[vigencia],"2021")</f>
        <v>209265261587</v>
      </c>
      <c r="AB19" s="336">
        <f>SUMIFS(presuvigencias[Suma de APROPIACION],presuvigencias[LLAVE],'Metas proyecto'!$B19,presuvigencias[vigencia],"2022")</f>
        <v>169291650207</v>
      </c>
      <c r="AC19" s="336">
        <f>SUMIFS(presuvigencias[Suma de APROPIACION],presuvigencias[LLAVE],'Metas proyecto'!$B19,presuvigencias[vigencia],"2023")</f>
        <v>183693105386</v>
      </c>
      <c r="AD19" s="336">
        <f>VLOOKUP('Metas proyecto'!$B19,EJECUCIÓN!$A$13:$I$23,4,0)</f>
        <v>207172088000</v>
      </c>
      <c r="AE19" s="341">
        <f>SUM('Metas proyecto'!$Z19:$AD19)</f>
        <v>833472984681</v>
      </c>
      <c r="AF19" s="336">
        <f>SUMIFS(PRESUPUESTO!$P$2:$P$274,PRESUPUESTO!$K$2:$K$274,'Metas proyecto'!$B19,PRESUPUESTO!$R$2:$R$274,"2020")</f>
        <v>0</v>
      </c>
      <c r="AG19" s="336">
        <f>SUMIFS(PRESUPUESTO!$P$2:$P$274,PRESUPUESTO!$K$2:$K$274,'Metas proyecto'!$B19,PRESUPUESTO!$R$2:$R$274,"2021")</f>
        <v>33743535281</v>
      </c>
      <c r="AH19" s="336">
        <f>SUMIFS(PRESUPUESTO!$P$2:$P$274,PRESUPUESTO!$K$2:$K$274,'Metas proyecto'!$B19,PRESUPUESTO!$R$2:$R$274,"2022")</f>
        <v>79936838427.790009</v>
      </c>
      <c r="AI19" s="336">
        <f>SUMIFS(PRESUPUESTO!$P$2:$P$274,PRESUPUESTO!$K$2:$K$274,'Metas proyecto'!$B19,PRESUPUESTO!$R$2:$R$274,"2023")</f>
        <v>27902507616</v>
      </c>
      <c r="AJ19" s="336">
        <f>VLOOKUP('Metas proyecto'!$B19,EJECUCIÓN!$O$13:$Z$23,10,0)</f>
        <v>0</v>
      </c>
      <c r="AK19" s="353">
        <v>68142</v>
      </c>
      <c r="AL19" s="353">
        <v>74263</v>
      </c>
      <c r="AM19" s="353">
        <v>81365</v>
      </c>
      <c r="AN19" s="339">
        <v>66393</v>
      </c>
      <c r="AO19" s="340">
        <f>VLOOKUP('Metas proyecto'!$B19,EJECUCIÓN!$A$32:$H$42,7,0)</f>
        <v>0</v>
      </c>
      <c r="AP19" s="341">
        <f>IF('Metas proyecto'!$K19="SUMA",SUM('Metas proyecto'!$AK19:$AO19),
IF('Metas proyecto'!$K19="Creciente",MAX('Metas proyecto'!$AK19:$AO19),
AVERAGE('Metas proyecto'!$AK19:$AO19)))</f>
        <v>58032.6</v>
      </c>
      <c r="AQ19" s="342">
        <f>SUMIFS(PRESUPUESTO!$G$2:$G$470,PRESUPUESTO!$B$2:$B$470,'Metas proyecto'!$B19,PRESUPUESTO!$I$2:$I$470,"2020")</f>
        <v>55571036493</v>
      </c>
      <c r="AR19" s="342">
        <f>SUMIFS(PRESUPUESTO!$G$2:$G$470,PRESUPUESTO!$B$2:$B$470,'Metas proyecto'!$B19,PRESUPUESTO!$I$2:$I$470,"2021")</f>
        <v>196736269187.25</v>
      </c>
      <c r="AS19" s="342">
        <f>SUMIFS(PRESUPUESTO!$G$2:$G$470,PRESUPUESTO!$B$2:$B$470,'Metas proyecto'!$B19,PRESUPUESTO!$I$2:$I$470,"2022")</f>
        <v>166277543019.98001</v>
      </c>
      <c r="AT19" s="342">
        <f>SUMIFS(PRESUPUESTO!$G$2:$G$470,PRESUPUESTO!$B$2:$B$470,'Metas proyecto'!$B19,PRESUPUESTO!$I$2:$I$470,"2023")</f>
        <v>180917492605.04999</v>
      </c>
      <c r="AU19" s="342">
        <f>VLOOKUP('Metas proyecto'!$B19,EJECUCIÓN!$A$13:$I$23,7)</f>
        <v>0</v>
      </c>
      <c r="AV19" s="341">
        <f>SUM('Metas proyecto'!$AQ19:$AU19)</f>
        <v>599502341305.28003</v>
      </c>
      <c r="AW19" s="336">
        <f>SUMIFS(PRESUPUESTO!$H$2:$H$470,PRESUPUESTO!$B$2:$B$470,'Metas proyecto'!$B19,PRESUPUESTO!$I$2:$I$470,"2020")</f>
        <v>20775506814</v>
      </c>
      <c r="AX19" s="336">
        <f>SUMIFS(PRESUPUESTO!$H$2:$H$470,PRESUPUESTO!$B$2:$B$470,'Metas proyecto'!$B19,PRESUPUESTO!$I$2:$I$470,"2021")</f>
        <v>116471905919.46001</v>
      </c>
      <c r="AY19" s="336">
        <f>SUMIFS(PRESUPUESTO!$H$2:$H$470,PRESUPUESTO!$B$2:$B$470,'Metas proyecto'!$B19,PRESUPUESTO!$I$2:$I$470,"2022")</f>
        <v>136506596777.67625</v>
      </c>
      <c r="AZ19" s="336">
        <f>SUMIFS(PRESUPUESTO!$H$2:$H$470,PRESUPUESTO!$B$2:$B$470,'Metas proyecto'!$B19,PRESUPUESTO!$I$2:$I$470,"2023")</f>
        <v>160354331286.71002</v>
      </c>
      <c r="BA19" s="336">
        <f>VLOOKUP('Metas proyecto'!$B19,EJECUCIÓN!$A$13:$M$23,11,0)</f>
        <v>0</v>
      </c>
      <c r="BB19" s="336">
        <f>SUMIFS(PRESUPUESTO!$Q$2:$Q$274,PRESUPUESTO!$K$2:$K$274,'Metas proyecto'!$B19,PRESUPUESTO!$R$2:$R$274,"2020")</f>
        <v>0</v>
      </c>
      <c r="BC19" s="336">
        <f>SUMIFS(PRESUPUESTO!$Q$2:$Q$274,PRESUPUESTO!$K$2:$K$274,'Metas proyecto'!$B19,PRESUPUESTO!$R$2:$R$274,"2021")</f>
        <v>33623595356</v>
      </c>
      <c r="BD19" s="343">
        <f>SUMIFS(PRESUPUESTO!$Q$2:$Q$274,PRESUPUESTO!$K$2:$K$274,'Metas proyecto'!$B19,PRESUPUESTO!$R$2:$R$274,"2022")</f>
        <v>79196907903.908447</v>
      </c>
      <c r="BE19" s="336">
        <f>SUMIFS(PRESUPUESTO!$Q$2:$Q$274,PRESUPUESTO!$K$2:$K$274,'Metas proyecto'!$B19,PRESUPUESTO!$R$2:$R$274,"2023")</f>
        <v>25641266446</v>
      </c>
      <c r="BF19" s="344">
        <f>VLOOKUP('Metas proyecto'!$B19,EJECUCIÓN!$O$13:$AC$23,13,0)</f>
        <v>0</v>
      </c>
      <c r="BG19" s="354">
        <f ca="1">(SUMIF(Actividades!$E$18:$E$35,'Metas proyecto'!$I19,Actividades!$AO$18:$AO$27)
*'Metas proyecto'!$X19)/
'Metas proyecto'!$N19</f>
        <v>0</v>
      </c>
      <c r="BH19" s="355">
        <f ca="1">(SUMIF(Actividades!$E$18:$E$35,'Metas proyecto'!$I19,Actividades!$AP$18:$AP$27)
*'Metas proyecto'!$X19)/
'Metas proyecto'!$N19</f>
        <v>8.0555555555555547E-2</v>
      </c>
      <c r="BI19" s="355">
        <f ca="1">(SUMIF(Actividades!$E$18:$E$35,'Metas proyecto'!$I19,Actividades!$AQ$18:$AQ$27)
*'Metas proyecto'!$X19)/
'Metas proyecto'!$N19</f>
        <v>0.20222222222222219</v>
      </c>
      <c r="BJ19" s="355">
        <f ca="1">(SUMIF(Actividades!$E$18:$E$35,'Metas proyecto'!$I19,Actividades!$AR$18:$AR$27)
*'Metas proyecto'!$X19)/
'Metas proyecto'!$N19</f>
        <v>8.8333333333333333E-2</v>
      </c>
      <c r="BK19" s="355">
        <f ca="1">(SUMIF(Actividades!$E$18:$E$35,'Metas proyecto'!$I19,Actividades!$AS$18:$AS$27)
*'Metas proyecto'!$X19)/
'Metas proyecto'!$N19</f>
        <v>0.3511111111111111</v>
      </c>
      <c r="BL19" s="355">
        <f ca="1">(SUMIF(Actividades!$E$18:$E$35,'Metas proyecto'!$I19,Actividades!$AT$18:$AT$27)
*'Metas proyecto'!$X19)/
'Metas proyecto'!$N19</f>
        <v>0</v>
      </c>
      <c r="BM19" s="355">
        <f ca="1">(SUMIF(Actividades!$E$18:$E$35,'Metas proyecto'!$I19,Actividades!$AU$18:$AU$27)
*'Metas proyecto'!$X19)/
'Metas proyecto'!$N19</f>
        <v>0</v>
      </c>
      <c r="BN19" s="355">
        <f ca="1">(SUMIF(Actividades!$E$18:$E$35,'Metas proyecto'!$I19,Actividades!$AV$18:$AV$27)
*'Metas proyecto'!$X19)/
'Metas proyecto'!$N19</f>
        <v>0</v>
      </c>
      <c r="BO19" s="355">
        <f ca="1">(SUMIF(Actividades!$E$18:$E$35,'Metas proyecto'!$I19,Actividades!$AW$18:$AW$27)
*'Metas proyecto'!$X19)/
'Metas proyecto'!$N19</f>
        <v>0</v>
      </c>
      <c r="BP19" s="355">
        <f ca="1">(SUMIF(Actividades!$E$18:$E$35,'Metas proyecto'!$I19,Actividades!$AX$18:$AX$27)
*'Metas proyecto'!$X19)/
'Metas proyecto'!$N19</f>
        <v>0</v>
      </c>
      <c r="BQ19" s="355">
        <f ca="1">(SUMIF(Actividades!$E$18:$E$35,'Metas proyecto'!$I19,Actividades!$AY$18:$AY$27)
*'Metas proyecto'!$X19)/
'Metas proyecto'!$N19</f>
        <v>0</v>
      </c>
      <c r="BR19" s="355">
        <f ca="1">(SUMIF(Actividades!$E$18:$E$35,'Metas proyecto'!$I19,Actividades!$AZ$18:$AZ$27)
*'Metas proyecto'!$X19)/
'Metas proyecto'!$N19</f>
        <v>0</v>
      </c>
      <c r="BS19" s="356">
        <f t="shared" ref="BS19:BS23" ca="1" si="0">SUM(BG19:BR19)</f>
        <v>0.7222222222222221</v>
      </c>
      <c r="BT19" s="348">
        <f ca="1">(SUMIF( Actividades!$E$18:$E$35, 'Metas proyecto'!$I19,Actividades!$BA$18:$BA$27)* 'Metas proyecto'!$Y19/ 'Metas proyecto'!$N19)</f>
        <v>0</v>
      </c>
      <c r="BU19" s="346">
        <f ca="1">(SUMIF( Actividades!$E$18:$E$35, 'Metas proyecto'!$I19,Actividades!$BB$18:$BB$27)* 'Metas proyecto'!$Y19/ 'Metas proyecto'!$N19)</f>
        <v>0</v>
      </c>
      <c r="BV19" s="346">
        <f ca="1">(SUMIF( Actividades!$E$18:$E$35, 'Metas proyecto'!$I19,Actividades!$BC$18:$BC$27)* 'Metas proyecto'!$Y19/ 'Metas proyecto'!$N19)</f>
        <v>0</v>
      </c>
      <c r="BW19" s="346">
        <f ca="1">(SUMIF( Actividades!$E$18:$E$35, 'Metas proyecto'!$I19,Actividades!$BD$18:$BD$27)* 'Metas proyecto'!$Y19/ 'Metas proyecto'!$N19)</f>
        <v>0</v>
      </c>
      <c r="BX19" s="346">
        <f ca="1">(SUMIF( Actividades!$E$18:$E$35, 'Metas proyecto'!$I19,Actividades!$BE$18:$BE$27)* 'Metas proyecto'!$Y19/ 'Metas proyecto'!$N19)</f>
        <v>0</v>
      </c>
      <c r="BY19" s="346">
        <f ca="1">(SUMIF( Actividades!$E$18:$E$35, 'Metas proyecto'!$I19,Actividades!$BF$18:$BF$27)* 'Metas proyecto'!$Y19/ 'Metas proyecto'!$N19)</f>
        <v>0</v>
      </c>
      <c r="BZ19" s="346">
        <f ca="1">(SUMIF( Actividades!$E$18:$E$35, 'Metas proyecto'!$I19,Actividades!$BG$18:$BG$27)* 'Metas proyecto'!$Y19/ 'Metas proyecto'!$N19)</f>
        <v>0</v>
      </c>
      <c r="CA19" s="346">
        <f ca="1">(SUMIF( Actividades!$E$18:$E$35, 'Metas proyecto'!$I19,Actividades!$BH$18:$BH$27)* 'Metas proyecto'!$Y19/ 'Metas proyecto'!$N19)</f>
        <v>0</v>
      </c>
      <c r="CB19" s="346">
        <f ca="1">(SUMIF( Actividades!$E$18:$E$35, 'Metas proyecto'!$I19,Actividades!$BI$18:$BI$27)* 'Metas proyecto'!$Y19/ 'Metas proyecto'!$N19)</f>
        <v>0</v>
      </c>
      <c r="CC19" s="346">
        <f ca="1">(SUMIF( Actividades!$E$18:$E$35, 'Metas proyecto'!$I19,Actividades!$BJ$18:$BJ$27)* 'Metas proyecto'!$Y19/ 'Metas proyecto'!$N19)</f>
        <v>0</v>
      </c>
      <c r="CD19" s="346">
        <f ca="1">(SUMIF( Actividades!$E$18:$E$35, 'Metas proyecto'!$I19,Actividades!$BK$18:$BK$27)* 'Metas proyecto'!$Y19/ 'Metas proyecto'!$N19)</f>
        <v>0</v>
      </c>
      <c r="CE19" s="346">
        <f ca="1">(SUMIF( Actividades!$E$18:$E$35, 'Metas proyecto'!$I19,Actividades!$BL$18:$BL$27)* 'Metas proyecto'!$Y19/ 'Metas proyecto'!$N19)</f>
        <v>0</v>
      </c>
      <c r="CF19" s="357">
        <f t="shared" ref="CF19:CF23" ca="1" si="1">SUM(BT19:CE19)</f>
        <v>0</v>
      </c>
      <c r="CG19" s="357">
        <f ca="1">metas_actividades[[#This Row],[Total ejecutado plan de actividades Vigencia]]/metas_actividades[[#This Row],[Total programado plan de actividades Vigencia (Valor esperado vigencia)]]</f>
        <v>0</v>
      </c>
      <c r="CH19" s="349">
        <f>'Metas proyecto'!$AO19/'Metas proyecto'!$S19</f>
        <v>0</v>
      </c>
      <c r="CI19" s="357">
        <f>'Metas proyecto'!$AP19/'Metas proyecto'!$T19</f>
        <v>0.82667521367521368</v>
      </c>
    </row>
    <row r="20" spans="1:87" s="350" customFormat="1" ht="124.2" x14ac:dyDescent="0.35">
      <c r="A20" s="53"/>
      <c r="B20" s="326" t="str">
        <f>'Metas proyecto'!$C20&amp;'Metas proyecto'!$I20</f>
        <v>77443</v>
      </c>
      <c r="C20" s="327">
        <f>'Cuadro Control'!$C$17</f>
        <v>7744</v>
      </c>
      <c r="D20" s="327" t="str">
        <f>Proyecto!$D$19</f>
        <v>Generación de Oportunidades para el Desarrollo Integral de la Niñez y la Adolescencia de Bogotá</v>
      </c>
      <c r="E20" s="328">
        <f>VLOOKUP('Metas proyecto'!$B20,ESTRATÉGICO!$C$3:$AA$110,16,0)</f>
        <v>42</v>
      </c>
      <c r="F20" s="327" t="str">
        <f>VLOOKUP('Metas proyecto'!$B20,ESTRATÉGICO!$C$3:$AA$110,17,0)</f>
        <v>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v>
      </c>
      <c r="G20" s="327">
        <f>VLOOKUP('Metas proyecto'!$B20,ESTRATÉGICO!$C$3:$AA$110,20,0)</f>
        <v>4102001</v>
      </c>
      <c r="H20" s="327" t="str">
        <f>VLOOKUP('Metas proyecto'!$B20,ESTRATÉGICO!$C$3:$AA$110,21,0)</f>
        <v>Servicio de atención integral a la primera infancia</v>
      </c>
      <c r="I20" s="329">
        <v>3</v>
      </c>
      <c r="J20" s="327" t="str">
        <f>VLOOKUP('Metas proyecto'!$B20,ESTRATÉGICO!$C$3:$AA$110,14,0)</f>
        <v xml:space="preserve">Atender a 20700 niñas niños y adolescentes con discapacidad, alteraciones en el desarrollo, restricciones médicas, pertenecientes a grupos étnicos y víctimas por el conflicto armado con enfoque diferencial y de género </v>
      </c>
      <c r="K20" s="327" t="str">
        <f>VLOOKUP('Metas proyecto'!$B20,ESTRATÉGICO!$C$3:$AA$110,15,0)</f>
        <v>Creciente</v>
      </c>
      <c r="L20" s="330" t="s">
        <v>844</v>
      </c>
      <c r="M20" s="330" t="s">
        <v>844</v>
      </c>
      <c r="N20" s="331">
        <v>0.1</v>
      </c>
      <c r="O20" s="352">
        <v>5200</v>
      </c>
      <c r="P20" s="352">
        <v>10533</v>
      </c>
      <c r="Q20" s="352">
        <v>15880</v>
      </c>
      <c r="R20" s="352">
        <v>19762</v>
      </c>
      <c r="S20" s="333">
        <v>20700</v>
      </c>
      <c r="T20" s="334">
        <f>IFERROR(IF('Metas proyecto'!$K20="SUMA",SUM('Metas proyecto'!$O20:$S20),
IF('Metas proyecto'!$K20="Creciente",MAX('Metas proyecto'!$O20:$S20),
AVERAGE('Metas proyecto'!$O20:$S20))),"...")</f>
        <v>20700</v>
      </c>
      <c r="U20" s="335">
        <v>1</v>
      </c>
      <c r="V20" s="335">
        <v>1</v>
      </c>
      <c r="W20" s="335">
        <v>1</v>
      </c>
      <c r="X20" s="335">
        <v>1</v>
      </c>
      <c r="Y20" s="335">
        <v>1</v>
      </c>
      <c r="Z20" s="336">
        <f>SUMIFS(presuvigencias[Suma de APROPIACION],presuvigencias[LLAVE],'Metas proyecto'!$B20,presuvigencias[vigencia],"2020")</f>
        <v>3536597003</v>
      </c>
      <c r="AA20" s="336">
        <f>SUMIFS(presuvigencias[Suma de APROPIACION],presuvigencias[LLAVE],'Metas proyecto'!$B20,presuvigencias[vigencia],"2021")</f>
        <v>7574629301</v>
      </c>
      <c r="AB20" s="336">
        <f>SUMIFS(presuvigencias[Suma de APROPIACION],presuvigencias[LLAVE],'Metas proyecto'!$B20,presuvigencias[vigencia],"2022")</f>
        <v>7365549557</v>
      </c>
      <c r="AC20" s="336">
        <f>SUMIFS(presuvigencias[Suma de APROPIACION],presuvigencias[LLAVE],'Metas proyecto'!$B20,presuvigencias[vigencia],"2023")</f>
        <v>9342007123</v>
      </c>
      <c r="AD20" s="336">
        <f>VLOOKUP('Metas proyecto'!$B20,EJECUCIÓN!$A$13:$I$23,4,0)</f>
        <v>12305233000</v>
      </c>
      <c r="AE20" s="341">
        <f>SUM('Metas proyecto'!$Z20:$AD20)</f>
        <v>40124015984</v>
      </c>
      <c r="AF20" s="336">
        <f>SUMIFS(PRESUPUESTO!$P$2:$P$274,PRESUPUESTO!$K$2:$K$274,'Metas proyecto'!$B20,PRESUPUESTO!$R$2:$R$274,"2020")</f>
        <v>0</v>
      </c>
      <c r="AG20" s="336">
        <f>SUMIFS(PRESUPUESTO!$P$2:$P$274,PRESUPUESTO!$K$2:$K$274,'Metas proyecto'!$B20,PRESUPUESTO!$R$2:$R$274,"2021")</f>
        <v>1576156276</v>
      </c>
      <c r="AH20" s="336">
        <f>SUMIFS(PRESUPUESTO!$P$2:$P$274,PRESUPUESTO!$K$2:$K$274,'Metas proyecto'!$B20,PRESUPUESTO!$R$2:$R$274,"2022")</f>
        <v>2159003599</v>
      </c>
      <c r="AI20" s="336">
        <f>SUMIFS(PRESUPUESTO!$P$2:$P$274,PRESUPUESTO!$K$2:$K$274,'Metas proyecto'!$B20,PRESUPUESTO!$R$2:$R$274,"2023")</f>
        <v>942023063</v>
      </c>
      <c r="AJ20" s="336">
        <f>VLOOKUP('Metas proyecto'!$B20,EJECUCIÓN!$O$13:$Z$23,10,0)</f>
        <v>0</v>
      </c>
      <c r="AK20" s="353">
        <v>5430</v>
      </c>
      <c r="AL20" s="353">
        <v>10533</v>
      </c>
      <c r="AM20" s="353">
        <v>15880</v>
      </c>
      <c r="AN20" s="339">
        <v>19762</v>
      </c>
      <c r="AO20" s="340">
        <f>VLOOKUP('Metas proyecto'!$B20,EJECUCIÓN!$A$32:$H$42,7,0)</f>
        <v>0</v>
      </c>
      <c r="AP20" s="341">
        <f>IF('Metas proyecto'!$K20="SUMA",SUM('Metas proyecto'!$AK20:$AO20),
IF('Metas proyecto'!$K20="Creciente",MAX('Metas proyecto'!$AK20:$AO20),
AVERAGE('Metas proyecto'!$AK20:$AO20)))</f>
        <v>19762</v>
      </c>
      <c r="AQ20" s="342">
        <f>SUMIFS(PRESUPUESTO!$G$2:$G$470,PRESUPUESTO!$B$2:$B$470,'Metas proyecto'!$B20,PRESUPUESTO!$I$2:$I$470,"2020")</f>
        <v>2984083801</v>
      </c>
      <c r="AR20" s="342">
        <f>SUMIFS(PRESUPUESTO!$G$2:$G$470,PRESUPUESTO!$B$2:$B$470,'Metas proyecto'!$B20,PRESUPUESTO!$I$2:$I$470,"2021")</f>
        <v>7545501101</v>
      </c>
      <c r="AS20" s="342">
        <f>SUMIFS(PRESUPUESTO!$G$2:$G$470,PRESUPUESTO!$B$2:$B$470,'Metas proyecto'!$B20,PRESUPUESTO!$I$2:$I$470,"2022")</f>
        <v>7289248125</v>
      </c>
      <c r="AT20" s="342">
        <f>SUMIFS(PRESUPUESTO!$G$2:$G$470,PRESUPUESTO!$B$2:$B$470,'Metas proyecto'!$B20,PRESUPUESTO!$I$2:$I$470,"2023")</f>
        <v>9210553705</v>
      </c>
      <c r="AU20" s="342">
        <f>VLOOKUP('Metas proyecto'!$B20,EJECUCIÓN!$A$13:$I$23,7)</f>
        <v>0</v>
      </c>
      <c r="AV20" s="341">
        <f>SUM('Metas proyecto'!$AQ20:$AU20)</f>
        <v>27029386732</v>
      </c>
      <c r="AW20" s="336">
        <f>SUMIFS(PRESUPUESTO!$H$2:$H$470,PRESUPUESTO!$B$2:$B$470,'Metas proyecto'!$B20,PRESUPUESTO!$I$2:$I$470,"2020")</f>
        <v>1378721590</v>
      </c>
      <c r="AX20" s="336">
        <f>SUMIFS(PRESUPUESTO!$H$2:$H$470,PRESUPUESTO!$B$2:$B$470,'Metas proyecto'!$B20,PRESUPUESTO!$I$2:$I$470,"2021")</f>
        <v>5330598068</v>
      </c>
      <c r="AY20" s="336">
        <f>SUMIFS(PRESUPUESTO!$H$2:$H$470,PRESUPUESTO!$B$2:$B$470,'Metas proyecto'!$B20,PRESUPUESTO!$I$2:$I$470,"2022")</f>
        <v>6295613294</v>
      </c>
      <c r="AZ20" s="336">
        <f>SUMIFS(PRESUPUESTO!$H$2:$H$470,PRESUPUESTO!$B$2:$B$470,'Metas proyecto'!$B20,PRESUPUESTO!$I$2:$I$470,"2023")</f>
        <v>7624401641</v>
      </c>
      <c r="BA20" s="336">
        <f>VLOOKUP('Metas proyecto'!$B20,EJECUCIÓN!$A$13:$M$23,11,0)</f>
        <v>0</v>
      </c>
      <c r="BB20" s="336">
        <f>SUMIFS(PRESUPUESTO!$Q$2:$Q$274,PRESUPUESTO!$K$2:$K$274,'Metas proyecto'!$B20,PRESUPUESTO!$R$2:$R$274,"2020")</f>
        <v>0</v>
      </c>
      <c r="BC20" s="336">
        <f>SUMIFS(PRESUPUESTO!$Q$2:$Q$274,PRESUPUESTO!$K$2:$K$274,'Metas proyecto'!$B20,PRESUPUESTO!$R$2:$R$274,"2021")</f>
        <v>1562009609</v>
      </c>
      <c r="BD20" s="343">
        <f>SUMIFS(PRESUPUESTO!$Q$2:$Q$274,PRESUPUESTO!$K$2:$K$274,'Metas proyecto'!$B20,PRESUPUESTO!$R$2:$R$274,"2022")</f>
        <v>2140030501</v>
      </c>
      <c r="BE20" s="336">
        <f>SUMIFS(PRESUPUESTO!$Q$2:$Q$274,PRESUPUESTO!$K$2:$K$274,'Metas proyecto'!$B20,PRESUPUESTO!$R$2:$R$274,"2023")</f>
        <v>894923745</v>
      </c>
      <c r="BF20" s="344">
        <f>VLOOKUP('Metas proyecto'!$B20,EJECUCIÓN!$O$13:$AC$23,13,0)</f>
        <v>0</v>
      </c>
      <c r="BG20" s="345">
        <f ca="1">(SUMIF(Actividades!$E$18:$E$35,'Metas proyecto'!$I20,Actividades!$AO$18:$AO$27)
*'Metas proyecto'!$X20)/
'Metas proyecto'!$N20</f>
        <v>0</v>
      </c>
      <c r="BH20" s="346">
        <f ca="1">(SUMIF(Actividades!$E$18:$E$35,'Metas proyecto'!$I20,Actividades!$AP$18:$AP$27)
*'Metas proyecto'!$X20)/
'Metas proyecto'!$N20</f>
        <v>0.40000000000000008</v>
      </c>
      <c r="BI20" s="346">
        <f ca="1">(SUMIF(Actividades!$E$18:$E$35,'Metas proyecto'!$I20,Actividades!$AQ$18:$AQ$27)
*'Metas proyecto'!$X20)/
'Metas proyecto'!$N20</f>
        <v>0.6</v>
      </c>
      <c r="BJ20" s="346">
        <f ca="1">(SUMIF(Actividades!$E$18:$E$35,'Metas proyecto'!$I20,Actividades!$AR$18:$AR$27)
*'Metas proyecto'!$X20)/
'Metas proyecto'!$N20</f>
        <v>0.40000000000000008</v>
      </c>
      <c r="BK20" s="346">
        <f ca="1">(SUMIF(Actividades!$E$18:$E$35,'Metas proyecto'!$I20,Actividades!$AS$18:$AS$27)
*'Metas proyecto'!$X20)/
'Metas proyecto'!$N20</f>
        <v>0.6</v>
      </c>
      <c r="BL20" s="346">
        <f ca="1">(SUMIF(Actividades!$E$18:$E$35,'Metas proyecto'!$I20,Actividades!$AT$18:$AT$27)
*'Metas proyecto'!$X20)/
'Metas proyecto'!$N20</f>
        <v>0</v>
      </c>
      <c r="BM20" s="346">
        <f ca="1">(SUMIF(Actividades!$E$18:$E$35,'Metas proyecto'!$I20,Actividades!$AU$18:$AU$27)
*'Metas proyecto'!$X20)/
'Metas proyecto'!$N20</f>
        <v>0</v>
      </c>
      <c r="BN20" s="346">
        <f ca="1">(SUMIF(Actividades!$E$18:$E$35,'Metas proyecto'!$I20,Actividades!$AV$18:$AV$27)
*'Metas proyecto'!$X20)/
'Metas proyecto'!$N20</f>
        <v>0</v>
      </c>
      <c r="BO20" s="346">
        <f ca="1">(SUMIF(Actividades!$E$18:$E$35,'Metas proyecto'!$I20,Actividades!$AW$18:$AW$27)
*'Metas proyecto'!$X20)/
'Metas proyecto'!$N20</f>
        <v>0</v>
      </c>
      <c r="BP20" s="346">
        <f ca="1">(SUMIF(Actividades!$E$18:$E$35,'Metas proyecto'!$I20,Actividades!$AX$18:$AX$27)
*'Metas proyecto'!$X20)/
'Metas proyecto'!$N20</f>
        <v>0</v>
      </c>
      <c r="BQ20" s="346">
        <f ca="1">(SUMIF(Actividades!$E$18:$E$35,'Metas proyecto'!$I20,Actividades!$AY$18:$AY$27)
*'Metas proyecto'!$X20)/
'Metas proyecto'!$N20</f>
        <v>0</v>
      </c>
      <c r="BR20" s="346">
        <f ca="1">(SUMIF(Actividades!$E$18:$E$35,'Metas proyecto'!$I20,Actividades!$AZ$18:$AZ$27)
*'Metas proyecto'!$X20)/
'Metas proyecto'!$N20</f>
        <v>0</v>
      </c>
      <c r="BS20" s="347">
        <f t="shared" ca="1" si="0"/>
        <v>2</v>
      </c>
      <c r="BT20" s="348">
        <f ca="1">(SUMIF( Actividades!$E$18:$E$35, 'Metas proyecto'!$I20,Actividades!$BA$18:$BA$27)* 'Metas proyecto'!$Y20/ 'Metas proyecto'!$N20)</f>
        <v>0</v>
      </c>
      <c r="BU20" s="346">
        <f ca="1">(SUMIF( Actividades!$E$18:$E$35, 'Metas proyecto'!$I20,Actividades!$BB$18:$BB$27)* 'Metas proyecto'!$Y20/ 'Metas proyecto'!$N20)</f>
        <v>0</v>
      </c>
      <c r="BV20" s="346">
        <f ca="1">(SUMIF( Actividades!$E$18:$E$35, 'Metas proyecto'!$I20,Actividades!$BC$18:$BC$27)* 'Metas proyecto'!$Y20/ 'Metas proyecto'!$N20)</f>
        <v>0</v>
      </c>
      <c r="BW20" s="346">
        <f ca="1">(SUMIF( Actividades!$E$18:$E$35, 'Metas proyecto'!$I20,Actividades!$BD$18:$BD$27)* 'Metas proyecto'!$Y20/ 'Metas proyecto'!$N20)</f>
        <v>0</v>
      </c>
      <c r="BX20" s="346">
        <f ca="1">(SUMIF( Actividades!$E$18:$E$35, 'Metas proyecto'!$I20,Actividades!$BE$18:$BE$27)* 'Metas proyecto'!$Y20/ 'Metas proyecto'!$N20)</f>
        <v>0</v>
      </c>
      <c r="BY20" s="346">
        <f ca="1">(SUMIF( Actividades!$E$18:$E$35, 'Metas proyecto'!$I20,Actividades!$BF$18:$BF$27)* 'Metas proyecto'!$Y20/ 'Metas proyecto'!$N20)</f>
        <v>0</v>
      </c>
      <c r="BZ20" s="346">
        <f ca="1">(SUMIF( Actividades!$E$18:$E$35, 'Metas proyecto'!$I20,Actividades!$BG$18:$BG$27)* 'Metas proyecto'!$Y20/ 'Metas proyecto'!$N20)</f>
        <v>0</v>
      </c>
      <c r="CA20" s="346">
        <f ca="1">(SUMIF( Actividades!$E$18:$E$35, 'Metas proyecto'!$I20,Actividades!$BH$18:$BH$27)* 'Metas proyecto'!$Y20/ 'Metas proyecto'!$N20)</f>
        <v>0</v>
      </c>
      <c r="CB20" s="346">
        <f ca="1">(SUMIF( Actividades!$E$18:$E$35, 'Metas proyecto'!$I20,Actividades!$BI$18:$BI$27)* 'Metas proyecto'!$Y20/ 'Metas proyecto'!$N20)</f>
        <v>0</v>
      </c>
      <c r="CC20" s="346">
        <f ca="1">(SUMIF( Actividades!$E$18:$E$35, 'Metas proyecto'!$I20,Actividades!$BJ$18:$BJ$27)* 'Metas proyecto'!$Y20/ 'Metas proyecto'!$N20)</f>
        <v>0</v>
      </c>
      <c r="CD20" s="346">
        <f ca="1">(SUMIF( Actividades!$E$18:$E$35, 'Metas proyecto'!$I20,Actividades!$BK$18:$BK$27)* 'Metas proyecto'!$Y20/ 'Metas proyecto'!$N20)</f>
        <v>0</v>
      </c>
      <c r="CE20" s="346">
        <f ca="1">(SUMIF( Actividades!$E$18:$E$35, 'Metas proyecto'!$I20,Actividades!$BL$18:$BL$27)* 'Metas proyecto'!$Y20/ 'Metas proyecto'!$N20)</f>
        <v>0</v>
      </c>
      <c r="CF20" s="349">
        <f t="shared" ca="1" si="1"/>
        <v>0</v>
      </c>
      <c r="CG20" s="349">
        <f ca="1">metas_actividades[[#This Row],[Total ejecutado plan de actividades Vigencia]]/metas_actividades[[#This Row],[Total programado plan de actividades Vigencia (Valor esperado vigencia)]]</f>
        <v>0</v>
      </c>
      <c r="CH20" s="349">
        <f>'Metas proyecto'!$AO20/'Metas proyecto'!$S20</f>
        <v>0</v>
      </c>
      <c r="CI20" s="349">
        <f>'Metas proyecto'!$AP20/'Metas proyecto'!$T20</f>
        <v>0.95468599033816426</v>
      </c>
    </row>
    <row r="21" spans="1:87" s="350" customFormat="1" ht="124.2" x14ac:dyDescent="0.35">
      <c r="A21" s="53"/>
      <c r="B21" s="326" t="str">
        <f>'Metas proyecto'!$C21&amp;'Metas proyecto'!$I21</f>
        <v>77444</v>
      </c>
      <c r="C21" s="327">
        <f>'Cuadro Control'!$C$17</f>
        <v>7744</v>
      </c>
      <c r="D21" s="327" t="str">
        <f>Proyecto!$D$19</f>
        <v>Generación de Oportunidades para el Desarrollo Integral de la Niñez y la Adolescencia de Bogotá</v>
      </c>
      <c r="E21" s="328">
        <f>VLOOKUP('Metas proyecto'!$B21,ESTRATÉGICO!$C$3:$AA$110,16,0)</f>
        <v>42</v>
      </c>
      <c r="F21" s="327" t="str">
        <f>VLOOKUP('Metas proyecto'!$B21,ESTRATÉGICO!$C$3:$AA$110,17,0)</f>
        <v>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v>
      </c>
      <c r="G21" s="327">
        <f>VLOOKUP('Metas proyecto'!$B21,ESTRATÉGICO!$C$3:$AA$110,20,0)</f>
        <v>4102001</v>
      </c>
      <c r="H21" s="327" t="str">
        <f>VLOOKUP('Metas proyecto'!$B21,ESTRATÉGICO!$C$3:$AA$110,21,0)</f>
        <v>Servicio de atención integral a la primera infancia</v>
      </c>
      <c r="I21" s="329">
        <v>4</v>
      </c>
      <c r="J21" s="327" t="str">
        <f>VLOOKUP('Metas proyecto'!$B21,ESTRATÉGICO!$C$3:$AA$110,14,0)</f>
        <v>Consolidar 1 herramienta de medición de la atención integral a niñas, niños y adolescentes que permita la trazabilidad de la Ruta Integral de Atenciones desde la Gestación hasta la Adolescencia -RIAGA-</v>
      </c>
      <c r="K21" s="327" t="str">
        <f>VLOOKUP('Metas proyecto'!$B21,ESTRATÉGICO!$C$3:$AA$110,15,0)</f>
        <v>Creciente</v>
      </c>
      <c r="L21" s="330" t="s">
        <v>844</v>
      </c>
      <c r="M21" s="330" t="s">
        <v>844</v>
      </c>
      <c r="N21" s="331">
        <v>0.05</v>
      </c>
      <c r="O21" s="332">
        <v>0.1</v>
      </c>
      <c r="P21" s="332">
        <v>0.2</v>
      </c>
      <c r="Q21" s="332">
        <v>0.4</v>
      </c>
      <c r="R21" s="332">
        <v>0.8</v>
      </c>
      <c r="S21" s="333">
        <v>1</v>
      </c>
      <c r="T21" s="334">
        <f>IFERROR(IF('Metas proyecto'!$K21="SUMA",SUM('Metas proyecto'!$O21:$S21),
IF('Metas proyecto'!$K21="Creciente",MAX('Metas proyecto'!$O21:$S21),
AVERAGE('Metas proyecto'!$O21:$S21))),"...")</f>
        <v>1</v>
      </c>
      <c r="U21" s="335">
        <v>1</v>
      </c>
      <c r="V21" s="335">
        <v>1</v>
      </c>
      <c r="W21" s="335">
        <v>1</v>
      </c>
      <c r="X21" s="335">
        <v>1</v>
      </c>
      <c r="Y21" s="335">
        <v>1</v>
      </c>
      <c r="Z21" s="336">
        <f>SUMIFS(presuvigencias[Suma de APROPIACION],presuvigencias[LLAVE],'Metas proyecto'!$B21,presuvigencias[vigencia],"2020")</f>
        <v>187618434</v>
      </c>
      <c r="AA21" s="336">
        <f>SUMIFS(presuvigencias[Suma de APROPIACION],presuvigencias[LLAVE],'Metas proyecto'!$B21,presuvigencias[vigencia],"2021")</f>
        <v>323010000</v>
      </c>
      <c r="AB21" s="336">
        <f>SUMIFS(presuvigencias[Suma de APROPIACION],presuvigencias[LLAVE],'Metas proyecto'!$B21,presuvigencias[vigencia],"2022")</f>
        <v>328785733</v>
      </c>
      <c r="AC21" s="336">
        <f>SUMIFS(presuvigencias[Suma de APROPIACION],presuvigencias[LLAVE],'Metas proyecto'!$B21,presuvigencias[vigencia],"2023")</f>
        <v>306440750</v>
      </c>
      <c r="AD21" s="336">
        <f>VLOOKUP('Metas proyecto'!$B21,EJECUCIÓN!$A$13:$I$23,4,0)</f>
        <v>383559000</v>
      </c>
      <c r="AE21" s="341">
        <f>SUM('Metas proyecto'!$Z21:$AD21)</f>
        <v>1529413917</v>
      </c>
      <c r="AF21" s="336">
        <f>SUMIFS(PRESUPUESTO!$P$2:$P$274,PRESUPUESTO!$K$2:$K$274,'Metas proyecto'!$B21,PRESUPUESTO!$R$2:$R$274,"2020")</f>
        <v>0</v>
      </c>
      <c r="AG21" s="336">
        <f>SUMIFS(PRESUPUESTO!$P$2:$P$274,PRESUPUESTO!$K$2:$K$274,'Metas proyecto'!$B21,PRESUPUESTO!$R$2:$R$274,"2021")</f>
        <v>73820567</v>
      </c>
      <c r="AH21" s="336">
        <f>SUMIFS(PRESUPUESTO!$P$2:$P$274,PRESUPUESTO!$K$2:$K$274,'Metas proyecto'!$B21,PRESUPUESTO!$R$2:$R$274,"2022")</f>
        <v>62694933</v>
      </c>
      <c r="AI21" s="336">
        <f>SUMIFS(PRESUPUESTO!$P$2:$P$274,PRESUPUESTO!$K$2:$K$274,'Metas proyecto'!$B21,PRESUPUESTO!$R$2:$R$274,"2023")</f>
        <v>39322666</v>
      </c>
      <c r="AJ21" s="336">
        <f>VLOOKUP('Metas proyecto'!$B21,EJECUCIÓN!$O$13:$Z$23,10,0)</f>
        <v>0</v>
      </c>
      <c r="AK21" s="338">
        <v>0.1</v>
      </c>
      <c r="AL21" s="338">
        <v>0.2</v>
      </c>
      <c r="AM21" s="338">
        <v>0.4</v>
      </c>
      <c r="AN21" s="339">
        <v>0.8</v>
      </c>
      <c r="AO21" s="340">
        <f>VLOOKUP('Metas proyecto'!$B21,EJECUCIÓN!$A$32:$H$42,7,0)</f>
        <v>0</v>
      </c>
      <c r="AP21" s="341">
        <f>IF('Metas proyecto'!$K21="SUMA",SUM('Metas proyecto'!$AK21:$AO21),
IF('Metas proyecto'!$K21="Creciente",MAX('Metas proyecto'!$AK21:$AO21),
AVERAGE('Metas proyecto'!$AK21:$AO21)))</f>
        <v>0.8</v>
      </c>
      <c r="AQ21" s="342">
        <f>SUMIFS(PRESUPUESTO!$G$2:$G$470,PRESUPUESTO!$B$2:$B$470,'Metas proyecto'!$B21,PRESUPUESTO!$I$2:$I$470,"2020")</f>
        <v>163502334</v>
      </c>
      <c r="AR21" s="342">
        <f>SUMIFS(PRESUPUESTO!$G$2:$G$470,PRESUPUESTO!$B$2:$B$470,'Metas proyecto'!$B21,PRESUPUESTO!$I$2:$I$470,"2021")</f>
        <v>323010000</v>
      </c>
      <c r="AS21" s="342">
        <f>SUMIFS(PRESUPUESTO!$G$2:$G$470,PRESUPUESTO!$B$2:$B$470,'Metas proyecto'!$B21,PRESUPUESTO!$I$2:$I$470,"2022")</f>
        <v>319490333</v>
      </c>
      <c r="AT21" s="342">
        <f>SUMIFS(PRESUPUESTO!$G$2:$G$470,PRESUPUESTO!$B$2:$B$470,'Metas proyecto'!$B21,PRESUPUESTO!$I$2:$I$470,"2023")</f>
        <v>306440750</v>
      </c>
      <c r="AU21" s="342">
        <f>VLOOKUP('Metas proyecto'!$B21,EJECUCIÓN!$A$13:$I$23,7)</f>
        <v>0</v>
      </c>
      <c r="AV21" s="341">
        <f>SUM('Metas proyecto'!$AQ21:$AU21)</f>
        <v>1112443417</v>
      </c>
      <c r="AW21" s="336">
        <f>SUMIFS(PRESUPUESTO!$H$2:$H$470,PRESUPUESTO!$B$2:$B$470,'Metas proyecto'!$B21,PRESUPUESTO!$I$2:$I$470,"2020")</f>
        <v>67716767</v>
      </c>
      <c r="AX21" s="336">
        <f>SUMIFS(PRESUPUESTO!$H$2:$H$470,PRESUPUESTO!$B$2:$B$470,'Metas proyecto'!$B21,PRESUPUESTO!$I$2:$I$470,"2021")</f>
        <v>260315067</v>
      </c>
      <c r="AY21" s="336">
        <f>SUMIFS(PRESUPUESTO!$H$2:$H$470,PRESUPUESTO!$B$2:$B$470,'Metas proyecto'!$B21,PRESUPUESTO!$I$2:$I$470,"2022")</f>
        <v>280167667</v>
      </c>
      <c r="AZ21" s="336">
        <f>SUMIFS(PRESUPUESTO!$H$2:$H$470,PRESUPUESTO!$B$2:$B$470,'Metas proyecto'!$B21,PRESUPUESTO!$I$2:$I$470,"2023")</f>
        <v>268118000</v>
      </c>
      <c r="BA21" s="336">
        <f>VLOOKUP('Metas proyecto'!$B21,EJECUCIÓN!$A$13:$M$23,11,0)</f>
        <v>0</v>
      </c>
      <c r="BB21" s="336">
        <f>SUMIFS(PRESUPUESTO!$Q$2:$Q$274,PRESUPUESTO!$K$2:$K$274,'Metas proyecto'!$B21,PRESUPUESTO!$R$2:$R$274,"2020")</f>
        <v>0</v>
      </c>
      <c r="BC21" s="336">
        <f>SUMIFS(PRESUPUESTO!$Q$2:$Q$274,PRESUPUESTO!$K$2:$K$274,'Metas proyecto'!$B21,PRESUPUESTO!$R$2:$R$274,"2021")</f>
        <v>73820567</v>
      </c>
      <c r="BD21" s="343">
        <f>SUMIFS(PRESUPUESTO!$Q$2:$Q$274,PRESUPUESTO!$K$2:$K$274,'Metas proyecto'!$B21,PRESUPUESTO!$R$2:$R$274,"2022")</f>
        <v>62694933</v>
      </c>
      <c r="BE21" s="336">
        <f>SUMIFS(PRESUPUESTO!$Q$2:$Q$274,PRESUPUESTO!$K$2:$K$274,'Metas proyecto'!$B21,PRESUPUESTO!$R$2:$R$274,"2023")</f>
        <v>36779866</v>
      </c>
      <c r="BF21" s="344">
        <f>VLOOKUP('Metas proyecto'!$B21,EJECUCIÓN!$O$13:$AC$23,13,0)</f>
        <v>0</v>
      </c>
      <c r="BG21" s="345">
        <f ca="1">(SUMIF(Actividades!$E$18:$E$35,'Metas proyecto'!$I21,Actividades!$AO$18:$AO$27)
*'Metas proyecto'!$X21)/
'Metas proyecto'!$N21</f>
        <v>0</v>
      </c>
      <c r="BH21" s="346">
        <f ca="1">(SUMIF(Actividades!$E$18:$E$35,'Metas proyecto'!$I21,Actividades!$AP$18:$AP$27)
*'Metas proyecto'!$X21)/
'Metas proyecto'!$N21</f>
        <v>0</v>
      </c>
      <c r="BI21" s="346">
        <f ca="1">(SUMIF(Actividades!$E$18:$E$35,'Metas proyecto'!$I21,Actividades!$AQ$18:$AQ$27)
*'Metas proyecto'!$X21)/
'Metas proyecto'!$N21</f>
        <v>0.21199999999999999</v>
      </c>
      <c r="BJ21" s="346">
        <f ca="1">(SUMIF(Actividades!$E$18:$E$35,'Metas proyecto'!$I21,Actividades!$AR$18:$AR$27)
*'Metas proyecto'!$X21)/
'Metas proyecto'!$N21</f>
        <v>7.1999999999999995E-2</v>
      </c>
      <c r="BK21" s="346">
        <f ca="1">(SUMIF(Actividades!$E$18:$E$35,'Metas proyecto'!$I21,Actividades!$AS$18:$AS$27)
*'Metas proyecto'!$X21)/
'Metas proyecto'!$N21</f>
        <v>0.51600000000000001</v>
      </c>
      <c r="BL21" s="346">
        <f ca="1">(SUMIF(Actividades!$E$18:$E$35,'Metas proyecto'!$I21,Actividades!$AT$18:$AT$27)
*'Metas proyecto'!$X21)/
'Metas proyecto'!$N21</f>
        <v>0</v>
      </c>
      <c r="BM21" s="346">
        <f ca="1">(SUMIF(Actividades!$E$18:$E$35,'Metas proyecto'!$I21,Actividades!$AU$18:$AU$27)
*'Metas proyecto'!$X21)/
'Metas proyecto'!$N21</f>
        <v>0</v>
      </c>
      <c r="BN21" s="346">
        <f ca="1">(SUMIF(Actividades!$E$18:$E$35,'Metas proyecto'!$I21,Actividades!$AV$18:$AV$27)
*'Metas proyecto'!$X21)/
'Metas proyecto'!$N21</f>
        <v>0</v>
      </c>
      <c r="BO21" s="346">
        <f ca="1">(SUMIF(Actividades!$E$18:$E$35,'Metas proyecto'!$I21,Actividades!$AW$18:$AW$27)
*'Metas proyecto'!$X21)/
'Metas proyecto'!$N21</f>
        <v>0</v>
      </c>
      <c r="BP21" s="346">
        <f ca="1">(SUMIF(Actividades!$E$18:$E$35,'Metas proyecto'!$I21,Actividades!$AX$18:$AX$27)
*'Metas proyecto'!$X21)/
'Metas proyecto'!$N21</f>
        <v>0</v>
      </c>
      <c r="BQ21" s="346">
        <f ca="1">(SUMIF(Actividades!$E$18:$E$35,'Metas proyecto'!$I21,Actividades!$AY$18:$AY$27)
*'Metas proyecto'!$X21)/
'Metas proyecto'!$N21</f>
        <v>0</v>
      </c>
      <c r="BR21" s="346">
        <f ca="1">(SUMIF(Actividades!$E$18:$E$35,'Metas proyecto'!$I21,Actividades!$AZ$18:$AZ$27)
*'Metas proyecto'!$X21)/
'Metas proyecto'!$N21</f>
        <v>0</v>
      </c>
      <c r="BS21" s="347">
        <f t="shared" ca="1" si="0"/>
        <v>0.8</v>
      </c>
      <c r="BT21" s="348">
        <f ca="1">(SUMIF( Actividades!$E$18:$E$35, 'Metas proyecto'!$I21,Actividades!$BA$18:$BA$27)* 'Metas proyecto'!$Y21/ 'Metas proyecto'!$N21)</f>
        <v>0</v>
      </c>
      <c r="BU21" s="346">
        <f ca="1">(SUMIF( Actividades!$E$18:$E$35, 'Metas proyecto'!$I21,Actividades!$BB$18:$BB$27)* 'Metas proyecto'!$Y21/ 'Metas proyecto'!$N21)</f>
        <v>0</v>
      </c>
      <c r="BV21" s="346">
        <f ca="1">(SUMIF( Actividades!$E$18:$E$35, 'Metas proyecto'!$I21,Actividades!$BC$18:$BC$27)* 'Metas proyecto'!$Y21/ 'Metas proyecto'!$N21)</f>
        <v>0</v>
      </c>
      <c r="BW21" s="346">
        <f ca="1">(SUMIF( Actividades!$E$18:$E$35, 'Metas proyecto'!$I21,Actividades!$BD$18:$BD$27)* 'Metas proyecto'!$Y21/ 'Metas proyecto'!$N21)</f>
        <v>0</v>
      </c>
      <c r="BX21" s="346">
        <f ca="1">(SUMIF( Actividades!$E$18:$E$35, 'Metas proyecto'!$I21,Actividades!$BE$18:$BE$27)* 'Metas proyecto'!$Y21/ 'Metas proyecto'!$N21)</f>
        <v>0</v>
      </c>
      <c r="BY21" s="346">
        <f ca="1">(SUMIF( Actividades!$E$18:$E$35, 'Metas proyecto'!$I21,Actividades!$BF$18:$BF$27)* 'Metas proyecto'!$Y21/ 'Metas proyecto'!$N21)</f>
        <v>0</v>
      </c>
      <c r="BZ21" s="346">
        <f ca="1">(SUMIF( Actividades!$E$18:$E$35, 'Metas proyecto'!$I21,Actividades!$BG$18:$BG$27)* 'Metas proyecto'!$Y21/ 'Metas proyecto'!$N21)</f>
        <v>0</v>
      </c>
      <c r="CA21" s="346">
        <f ca="1">(SUMIF( Actividades!$E$18:$E$35, 'Metas proyecto'!$I21,Actividades!$BH$18:$BH$27)* 'Metas proyecto'!$Y21/ 'Metas proyecto'!$N21)</f>
        <v>0</v>
      </c>
      <c r="CB21" s="346">
        <f ca="1">(SUMIF( Actividades!$E$18:$E$35, 'Metas proyecto'!$I21,Actividades!$BI$18:$BI$27)* 'Metas proyecto'!$Y21/ 'Metas proyecto'!$N21)</f>
        <v>0</v>
      </c>
      <c r="CC21" s="346">
        <f ca="1">(SUMIF( Actividades!$E$18:$E$35, 'Metas proyecto'!$I21,Actividades!$BJ$18:$BJ$27)* 'Metas proyecto'!$Y21/ 'Metas proyecto'!$N21)</f>
        <v>0</v>
      </c>
      <c r="CD21" s="346">
        <f ca="1">(SUMIF( Actividades!$E$18:$E$35, 'Metas proyecto'!$I21,Actividades!$BK$18:$BK$27)* 'Metas proyecto'!$Y21/ 'Metas proyecto'!$N21)</f>
        <v>0</v>
      </c>
      <c r="CE21" s="346">
        <f ca="1">(SUMIF( Actividades!$E$18:$E$35, 'Metas proyecto'!$I21,Actividades!$BL$18:$BL$27)* 'Metas proyecto'!$Y21/ 'Metas proyecto'!$N21)</f>
        <v>0</v>
      </c>
      <c r="CF21" s="349">
        <f t="shared" ca="1" si="1"/>
        <v>0</v>
      </c>
      <c r="CG21" s="349">
        <f ca="1">metas_actividades[[#This Row],[Total ejecutado plan de actividades Vigencia]]/metas_actividades[[#This Row],[Total programado plan de actividades Vigencia (Valor esperado vigencia)]]</f>
        <v>0</v>
      </c>
      <c r="CH21" s="349">
        <f>'Metas proyecto'!$AO21/'Metas proyecto'!$S21</f>
        <v>0</v>
      </c>
      <c r="CI21" s="349">
        <f>'Metas proyecto'!$AP21/'Metas proyecto'!$T21</f>
        <v>0.8</v>
      </c>
    </row>
    <row r="22" spans="1:87" s="350" customFormat="1" ht="69" x14ac:dyDescent="0.35">
      <c r="A22" s="53"/>
      <c r="B22" s="326" t="str">
        <f>'Metas proyecto'!$C22&amp;'Metas proyecto'!$I22</f>
        <v>77445</v>
      </c>
      <c r="C22" s="327">
        <f>'Cuadro Control'!$C$17</f>
        <v>7744</v>
      </c>
      <c r="D22" s="327" t="str">
        <f>Proyecto!$D$19</f>
        <v>Generación de Oportunidades para el Desarrollo Integral de la Niñez y la Adolescencia de Bogotá</v>
      </c>
      <c r="E22" s="328">
        <f>VLOOKUP('Metas proyecto'!$B22,ESTRATÉGICO!$C$3:$AA$110,16,0)</f>
        <v>43</v>
      </c>
      <c r="F22" s="327" t="str">
        <f>VLOOKUP('Metas proyecto'!$B22,ESTRATÉGICO!$C$3:$AA$110,17,0)</f>
        <v>Atender con enfoque diferencial y de manera flexible a 15000 niñas, niños y adolescentes del distrito en riesgo de trabajo infantil y violencias sexuales; y migrantes en riesgo de vulneración de sus derechos</v>
      </c>
      <c r="G22" s="327">
        <f>VLOOKUP('Metas proyecto'!$B22,ESTRATÉGICO!$C$3:$AA$110,20,0)</f>
        <v>4102045</v>
      </c>
      <c r="H22" s="327" t="str">
        <f>VLOOKUP('Metas proyecto'!$B22,ESTRATÉGICO!$C$3:$AA$110,21,0)</f>
        <v>Servicios de educación informal a niños, niñas, adolescentes y jóvenes para el reconocimiento de sus derechos</v>
      </c>
      <c r="I22" s="329">
        <v>5</v>
      </c>
      <c r="J22" s="327" t="str">
        <f>VLOOKUP('Metas proyecto'!$B22,ESTRATÉGICO!$C$3:$AA$110,14,0)</f>
        <v>Atender a 21200 niñas, niños y adolescentes del distrito en riesgo de trabajo infantil y violencias sexuales; y migrantes en riesgo de vulneración de sus derechos de manera flexible con enfoque diferencial y de género  </v>
      </c>
      <c r="K22" s="327" t="str">
        <f>VLOOKUP('Metas proyecto'!$B22,ESTRATÉGICO!$C$3:$AA$110,15,0)</f>
        <v>Creciente</v>
      </c>
      <c r="L22" s="330" t="s">
        <v>844</v>
      </c>
      <c r="M22" s="330" t="s">
        <v>843</v>
      </c>
      <c r="N22" s="331">
        <v>0.09</v>
      </c>
      <c r="O22" s="352">
        <v>5300</v>
      </c>
      <c r="P22" s="352">
        <v>9698</v>
      </c>
      <c r="Q22" s="352">
        <v>14499</v>
      </c>
      <c r="R22" s="352">
        <v>20022</v>
      </c>
      <c r="S22" s="358">
        <v>21200</v>
      </c>
      <c r="T22" s="334">
        <f>IFERROR(IF('Metas proyecto'!$K22="SUMA",SUM('Metas proyecto'!$O22:$S22),
IF('Metas proyecto'!$K22="Creciente",MAX('Metas proyecto'!$O22:$S22),
AVERAGE('Metas proyecto'!$O22:$S22))),"...")</f>
        <v>21200</v>
      </c>
      <c r="U22" s="335">
        <v>1</v>
      </c>
      <c r="V22" s="335">
        <v>1</v>
      </c>
      <c r="W22" s="335">
        <v>1</v>
      </c>
      <c r="X22" s="335">
        <v>1</v>
      </c>
      <c r="Y22" s="335">
        <v>1</v>
      </c>
      <c r="Z22" s="336">
        <f>SUMIFS(presuvigencias[Suma de APROPIACION],presuvigencias[LLAVE],'Metas proyecto'!$B22,presuvigencias[vigencia],"2020")</f>
        <v>5999030659</v>
      </c>
      <c r="AA22" s="336">
        <f>SUMIFS(presuvigencias[Suma de APROPIACION],presuvigencias[LLAVE],'Metas proyecto'!$B22,presuvigencias[vigencia],"2021")</f>
        <v>12476980969</v>
      </c>
      <c r="AB22" s="336">
        <f>SUMIFS(presuvigencias[Suma de APROPIACION],presuvigencias[LLAVE],'Metas proyecto'!$B22,presuvigencias[vigencia],"2022")</f>
        <v>14193363318</v>
      </c>
      <c r="AC22" s="336">
        <f>SUMIFS(presuvigencias[Suma de APROPIACION],presuvigencias[LLAVE],'Metas proyecto'!$B22,presuvigencias[vigencia],"2023")</f>
        <v>13527863855</v>
      </c>
      <c r="AD22" s="336">
        <f>VLOOKUP('Metas proyecto'!$B22,EJECUCIÓN!$A$13:$I$23,4,0)</f>
        <v>12473492000</v>
      </c>
      <c r="AE22" s="341">
        <f>SUM('Metas proyecto'!$Z22:$AD22)</f>
        <v>58670730801</v>
      </c>
      <c r="AF22" s="336">
        <f>SUMIFS(PRESUPUESTO!$P$2:$P$274,PRESUPUESTO!$K$2:$K$274,'Metas proyecto'!$B22,PRESUPUESTO!$R$2:$R$274,"2020")</f>
        <v>0</v>
      </c>
      <c r="AG22" s="336">
        <f>SUMIFS(PRESUPUESTO!$P$2:$P$274,PRESUPUESTO!$K$2:$K$274,'Metas proyecto'!$B22,PRESUPUESTO!$R$2:$R$274,"2021")</f>
        <v>2838429478</v>
      </c>
      <c r="AH22" s="336">
        <f>SUMIFS(PRESUPUESTO!$P$2:$P$274,PRESUPUESTO!$K$2:$K$274,'Metas proyecto'!$B22,PRESUPUESTO!$R$2:$R$274,"2022")</f>
        <v>3519637699.2100005</v>
      </c>
      <c r="AI22" s="336">
        <f>SUMIFS(PRESUPUESTO!$P$2:$P$274,PRESUPUESTO!$K$2:$K$274,'Metas proyecto'!$B22,PRESUPUESTO!$R$2:$R$274,"2023")</f>
        <v>1768900265</v>
      </c>
      <c r="AJ22" s="336">
        <f>VLOOKUP('Metas proyecto'!$B22,EJECUCIÓN!$O$13:$Z$23,10,0)</f>
        <v>0</v>
      </c>
      <c r="AK22" s="353">
        <v>6012</v>
      </c>
      <c r="AL22" s="353">
        <v>9698</v>
      </c>
      <c r="AM22" s="353">
        <v>14499</v>
      </c>
      <c r="AN22" s="339">
        <v>20022</v>
      </c>
      <c r="AO22" s="340">
        <f>VLOOKUP('Metas proyecto'!$B22,EJECUCIÓN!$A$32:$H$42,7,0)</f>
        <v>0</v>
      </c>
      <c r="AP22" s="341">
        <f>IF('Metas proyecto'!$K22="SUMA",SUM('Metas proyecto'!$AK22:$AO22),
IF('Metas proyecto'!$K22="Creciente",MAX('Metas proyecto'!$AK22:$AO22),
AVERAGE('Metas proyecto'!$AK22:$AO22)))</f>
        <v>20022</v>
      </c>
      <c r="AQ22" s="342">
        <f>SUMIFS(PRESUPUESTO!$G$2:$G$470,PRESUPUESTO!$B$2:$B$470,'Metas proyecto'!$B22,PRESUPUESTO!$I$2:$I$470,"2020")</f>
        <v>5116936976</v>
      </c>
      <c r="AR22" s="342">
        <f>SUMIFS(PRESUPUESTO!$G$2:$G$470,PRESUPUESTO!$B$2:$B$470,'Metas proyecto'!$B22,PRESUPUESTO!$I$2:$I$470,"2021")</f>
        <v>12424602444.75</v>
      </c>
      <c r="AS22" s="342">
        <f>SUMIFS(PRESUPUESTO!$G$2:$G$470,PRESUPUESTO!$B$2:$B$470,'Metas proyecto'!$B22,PRESUPUESTO!$I$2:$I$470,"2022")</f>
        <v>14080219050.02</v>
      </c>
      <c r="AT22" s="342">
        <f>SUMIFS(PRESUPUESTO!$G$2:$G$470,PRESUPUESTO!$B$2:$B$470,'Metas proyecto'!$B22,PRESUPUESTO!$I$2:$I$470,"2023")</f>
        <v>13353072518.950001</v>
      </c>
      <c r="AU22" s="342">
        <f>VLOOKUP('Metas proyecto'!$B22,EJECUCIÓN!$A$13:$I$23,7)</f>
        <v>0</v>
      </c>
      <c r="AV22" s="341">
        <f>SUM('Metas proyecto'!$AQ22:$AU22)</f>
        <v>44974830989.720001</v>
      </c>
      <c r="AW22" s="336">
        <f>SUMIFS(PRESUPUESTO!$H$2:$H$470,PRESUPUESTO!$B$2:$B$470,'Metas proyecto'!$B22,PRESUPUESTO!$I$2:$I$470,"2020")</f>
        <v>2228816524</v>
      </c>
      <c r="AX22" s="336">
        <f>SUMIFS(PRESUPUESTO!$H$2:$H$470,PRESUPUESTO!$B$2:$B$470,'Metas proyecto'!$B22,PRESUPUESTO!$I$2:$I$470,"2021")</f>
        <v>8869565743.5400009</v>
      </c>
      <c r="AY22" s="336">
        <f>SUMIFS(PRESUPUESTO!$H$2:$H$470,PRESUPUESTO!$B$2:$B$470,'Metas proyecto'!$B22,PRESUPUESTO!$I$2:$I$470,"2022")</f>
        <v>12108538067.500416</v>
      </c>
      <c r="AZ22" s="336">
        <f>SUMIFS(PRESUPUESTO!$H$2:$H$470,PRESUPUESTO!$B$2:$B$470,'Metas proyecto'!$B22,PRESUPUESTO!$I$2:$I$470,"2023")</f>
        <v>10342979122.290001</v>
      </c>
      <c r="BA22" s="336">
        <f>VLOOKUP('Metas proyecto'!$B22,EJECUCIÓN!$A$13:$M$23,11,0)</f>
        <v>0</v>
      </c>
      <c r="BB22" s="336">
        <f>SUMIFS(PRESUPUESTO!$Q$2:$Q$274,PRESUPUESTO!$K$2:$K$274,'Metas proyecto'!$B22,PRESUPUESTO!$R$2:$R$274,"2020")</f>
        <v>0</v>
      </c>
      <c r="BC22" s="336">
        <f>SUMIFS(PRESUPUESTO!$Q$2:$Q$274,PRESUPUESTO!$K$2:$K$274,'Metas proyecto'!$B22,PRESUPUESTO!$R$2:$R$274,"2021")</f>
        <v>2837809367</v>
      </c>
      <c r="BD22" s="343">
        <f>SUMIFS(PRESUPUESTO!$Q$2:$Q$274,PRESUPUESTO!$K$2:$K$274,'Metas proyecto'!$B22,PRESUPUESTO!$R$2:$R$274,"2022")</f>
        <v>3473220995.0915499</v>
      </c>
      <c r="BE22" s="336">
        <f>SUMIFS(PRESUPUESTO!$Q$2:$Q$274,PRESUPUESTO!$K$2:$K$274,'Metas proyecto'!$B22,PRESUPUESTO!$R$2:$R$274,"2023")</f>
        <v>1672109081</v>
      </c>
      <c r="BF22" s="344">
        <f>VLOOKUP('Metas proyecto'!$B22,EJECUCIÓN!$O$13:$AC$23,13,0)</f>
        <v>0</v>
      </c>
      <c r="BG22" s="345">
        <f ca="1">(SUMIF(Actividades!$E$18:$E$35,'Metas proyecto'!$I22,Actividades!$AO$18:$AO$27)
*'Metas proyecto'!$X22)/
'Metas proyecto'!$N22</f>
        <v>0</v>
      </c>
      <c r="BH22" s="346">
        <f ca="1">(SUMIF(Actividades!$E$18:$E$35,'Metas proyecto'!$I22,Actividades!$AP$18:$AP$27)
*'Metas proyecto'!$X22)/
'Metas proyecto'!$N22</f>
        <v>0.39333333333333326</v>
      </c>
      <c r="BI22" s="346">
        <f ca="1">(SUMIF(Actividades!$E$18:$E$35,'Metas proyecto'!$I22,Actividades!$AQ$18:$AQ$27)
*'Metas proyecto'!$X22)/
'Metas proyecto'!$N22</f>
        <v>0.45333333333333331</v>
      </c>
      <c r="BJ22" s="346">
        <f ca="1">(SUMIF(Actividades!$E$18:$E$35,'Metas proyecto'!$I22,Actividades!$AR$18:$AR$27)
*'Metas proyecto'!$X22)/
'Metas proyecto'!$N22</f>
        <v>0.5</v>
      </c>
      <c r="BK22" s="346">
        <f ca="1">(SUMIF(Actividades!$E$18:$E$35,'Metas proyecto'!$I22,Actividades!$AS$18:$AS$27)
*'Metas proyecto'!$X22)/
'Metas proyecto'!$N22</f>
        <v>0.65333333333333321</v>
      </c>
      <c r="BL22" s="346">
        <f ca="1">(SUMIF(Actividades!$E$18:$E$35,'Metas proyecto'!$I22,Actividades!$AT$18:$AT$27)
*'Metas proyecto'!$X22)/
'Metas proyecto'!$N22</f>
        <v>0</v>
      </c>
      <c r="BM22" s="346">
        <f ca="1">(SUMIF(Actividades!$E$18:$E$35,'Metas proyecto'!$I22,Actividades!$AU$18:$AU$27)
*'Metas proyecto'!$X22)/
'Metas proyecto'!$N22</f>
        <v>0</v>
      </c>
      <c r="BN22" s="346">
        <f ca="1">(SUMIF(Actividades!$E$18:$E$35,'Metas proyecto'!$I22,Actividades!$AV$18:$AV$27)
*'Metas proyecto'!$X22)/
'Metas proyecto'!$N22</f>
        <v>0</v>
      </c>
      <c r="BO22" s="346">
        <f ca="1">(SUMIF(Actividades!$E$18:$E$35,'Metas proyecto'!$I22,Actividades!$AW$18:$AW$27)
*'Metas proyecto'!$X22)/
'Metas proyecto'!$N22</f>
        <v>0</v>
      </c>
      <c r="BP22" s="346">
        <f ca="1">(SUMIF(Actividades!$E$18:$E$35,'Metas proyecto'!$I22,Actividades!$AX$18:$AX$27)
*'Metas proyecto'!$X22)/
'Metas proyecto'!$N22</f>
        <v>0</v>
      </c>
      <c r="BQ22" s="346">
        <f ca="1">(SUMIF(Actividades!$E$18:$E$35,'Metas proyecto'!$I22,Actividades!$AY$18:$AY$27)
*'Metas proyecto'!$X22)/
'Metas proyecto'!$N22</f>
        <v>0</v>
      </c>
      <c r="BR22" s="346">
        <f ca="1">(SUMIF(Actividades!$E$18:$E$35,'Metas proyecto'!$I22,Actividades!$AZ$18:$AZ$27)
*'Metas proyecto'!$X22)/
'Metas proyecto'!$N22</f>
        <v>0</v>
      </c>
      <c r="BS22" s="347">
        <f t="shared" ca="1" si="0"/>
        <v>2</v>
      </c>
      <c r="BT22" s="348">
        <f ca="1">(SUMIF( Actividades!$E$18:$E$35, 'Metas proyecto'!$I22,Actividades!$BA$18:$BA$27)* 'Metas proyecto'!$Y22/ 'Metas proyecto'!$N22)</f>
        <v>0</v>
      </c>
      <c r="BU22" s="346">
        <f ca="1">(SUMIF( Actividades!$E$18:$E$35, 'Metas proyecto'!$I22,Actividades!$BB$18:$BB$27)* 'Metas proyecto'!$Y22/ 'Metas proyecto'!$N22)</f>
        <v>0</v>
      </c>
      <c r="BV22" s="346">
        <f ca="1">(SUMIF( Actividades!$E$18:$E$35, 'Metas proyecto'!$I22,Actividades!$BC$18:$BC$27)* 'Metas proyecto'!$Y22/ 'Metas proyecto'!$N22)</f>
        <v>0</v>
      </c>
      <c r="BW22" s="346">
        <f ca="1">(SUMIF( Actividades!$E$18:$E$35, 'Metas proyecto'!$I22,Actividades!$BD$18:$BD$27)* 'Metas proyecto'!$Y22/ 'Metas proyecto'!$N22)</f>
        <v>0</v>
      </c>
      <c r="BX22" s="346">
        <f ca="1">(SUMIF( Actividades!$E$18:$E$35, 'Metas proyecto'!$I22,Actividades!$BE$18:$BE$27)* 'Metas proyecto'!$Y22/ 'Metas proyecto'!$N22)</f>
        <v>0</v>
      </c>
      <c r="BY22" s="346">
        <f ca="1">(SUMIF( Actividades!$E$18:$E$35, 'Metas proyecto'!$I22,Actividades!$BF$18:$BF$27)* 'Metas proyecto'!$Y22/ 'Metas proyecto'!$N22)</f>
        <v>0</v>
      </c>
      <c r="BZ22" s="346">
        <f ca="1">(SUMIF( Actividades!$E$18:$E$35, 'Metas proyecto'!$I22,Actividades!$BG$18:$BG$27)* 'Metas proyecto'!$Y22/ 'Metas proyecto'!$N22)</f>
        <v>0</v>
      </c>
      <c r="CA22" s="346">
        <f ca="1">(SUMIF( Actividades!$E$18:$E$35, 'Metas proyecto'!$I22,Actividades!$BH$18:$BH$27)* 'Metas proyecto'!$Y22/ 'Metas proyecto'!$N22)</f>
        <v>0</v>
      </c>
      <c r="CB22" s="346">
        <f ca="1">(SUMIF( Actividades!$E$18:$E$35, 'Metas proyecto'!$I22,Actividades!$BI$18:$BI$27)* 'Metas proyecto'!$Y22/ 'Metas proyecto'!$N22)</f>
        <v>0</v>
      </c>
      <c r="CC22" s="346">
        <f ca="1">(SUMIF( Actividades!$E$18:$E$35, 'Metas proyecto'!$I22,Actividades!$BJ$18:$BJ$27)* 'Metas proyecto'!$Y22/ 'Metas proyecto'!$N22)</f>
        <v>0</v>
      </c>
      <c r="CD22" s="346">
        <f ca="1">(SUMIF( Actividades!$E$18:$E$35, 'Metas proyecto'!$I22,Actividades!$BK$18:$BK$27)* 'Metas proyecto'!$Y22/ 'Metas proyecto'!$N22)</f>
        <v>0</v>
      </c>
      <c r="CE22" s="346">
        <f ca="1">(SUMIF( Actividades!$E$18:$E$35, 'Metas proyecto'!$I22,Actividades!$BL$18:$BL$27)* 'Metas proyecto'!$Y22/ 'Metas proyecto'!$N22)</f>
        <v>0</v>
      </c>
      <c r="CF22" s="349">
        <f t="shared" ca="1" si="1"/>
        <v>0</v>
      </c>
      <c r="CG22" s="349">
        <f ca="1">metas_actividades[[#This Row],[Total ejecutado plan de actividades Vigencia]]/metas_actividades[[#This Row],[Total programado plan de actividades Vigencia (Valor esperado vigencia)]]</f>
        <v>0</v>
      </c>
      <c r="CH22" s="349">
        <f>'Metas proyecto'!$AO22/'Metas proyecto'!$S22</f>
        <v>0</v>
      </c>
      <c r="CI22" s="349">
        <f>'Metas proyecto'!$AP22/'Metas proyecto'!$T22</f>
        <v>0.94443396226415099</v>
      </c>
    </row>
    <row r="23" spans="1:87" s="350" customFormat="1" ht="83.4" thickBot="1" x14ac:dyDescent="0.4">
      <c r="A23" s="53"/>
      <c r="B23" s="326" t="str">
        <f>'Metas proyecto'!$C23&amp;'Metas proyecto'!$I23</f>
        <v>77446</v>
      </c>
      <c r="C23" s="327">
        <f>'Cuadro Control'!$C$17</f>
        <v>7744</v>
      </c>
      <c r="D23" s="327" t="str">
        <f>Proyecto!$D$19</f>
        <v>Generación de Oportunidades para el Desarrollo Integral de la Niñez y la Adolescencia de Bogotá</v>
      </c>
      <c r="E23" s="328">
        <f>VLOOKUP('Metas proyecto'!$B23,ESTRATÉGICO!$C$3:$AA$110,16,0)</f>
        <v>47</v>
      </c>
      <c r="F23" s="327" t="str">
        <f>VLOOKUP('Metas proyecto'!$B23,ESTRATÉGICO!$C$3:$AA$110,17,0)</f>
        <v>Contribuir a la construcción de la memoria, la convivencia y la reconciliación en el marco del acuerdo de paz, a través de la atención de 8300 niños, niñas y adolescentes víctimas y afectados por el conflicto armado, desde un enfoque territorial</v>
      </c>
      <c r="G23" s="327">
        <f>VLOOKUP('Metas proyecto'!$B23,ESTRATÉGICO!$C$3:$AA$110,20,0)</f>
        <v>4102038</v>
      </c>
      <c r="H23" s="327" t="str">
        <f>VLOOKUP('Metas proyecto'!$B23,ESTRATÉGICO!$C$3:$AA$110,21,0)</f>
        <v>Servicio dirigidos a la atención de niños, niñas, adolescentes y jóvenes, con enfoque pedagógico y restaurativo encaminados a la inclusión social</v>
      </c>
      <c r="I23" s="329">
        <v>6</v>
      </c>
      <c r="J23" s="327" t="str">
        <f>VLOOKUP('Metas proyecto'!$B23,ESTRATÉGICO!$C$3:$AA$110,14,0)</f>
        <v>Atender a 8300 niñas niños y adolescentes  víctimas y afectados por el conflicto armado en el marco del acuerdo de paz, la memoria, la convivencia y la reconciliación con enfoque diferencial y de género</v>
      </c>
      <c r="K23" s="327" t="str">
        <f>VLOOKUP('Metas proyecto'!$B23,ESTRATÉGICO!$C$3:$AA$110,15,0)</f>
        <v>Creciente</v>
      </c>
      <c r="L23" s="330" t="s">
        <v>844</v>
      </c>
      <c r="M23" s="330" t="s">
        <v>844</v>
      </c>
      <c r="N23" s="331">
        <v>0.11</v>
      </c>
      <c r="O23" s="352">
        <v>1000</v>
      </c>
      <c r="P23" s="352">
        <v>2923</v>
      </c>
      <c r="Q23" s="352">
        <v>4696</v>
      </c>
      <c r="R23" s="352">
        <v>7475</v>
      </c>
      <c r="S23" s="358">
        <v>8300</v>
      </c>
      <c r="T23" s="334">
        <f>IFERROR(IF('Metas proyecto'!$K23="SUMA",SUM('Metas proyecto'!$O23:$S23),
IF('Metas proyecto'!$K23="Creciente",MAX('Metas proyecto'!$O23:$S23),
AVERAGE('Metas proyecto'!$O23:$S23))),"...")</f>
        <v>8300</v>
      </c>
      <c r="U23" s="335">
        <v>1</v>
      </c>
      <c r="V23" s="335">
        <v>1</v>
      </c>
      <c r="W23" s="335">
        <v>1</v>
      </c>
      <c r="X23" s="335">
        <v>1</v>
      </c>
      <c r="Y23" s="335">
        <v>1</v>
      </c>
      <c r="Z23" s="336">
        <f>SUMIFS(presuvigencias[Suma de APROPIACION],presuvigencias[LLAVE],'Metas proyecto'!$B23,presuvigencias[vigencia],"2020")</f>
        <v>1005541600</v>
      </c>
      <c r="AA23" s="336">
        <f>SUMIFS(presuvigencias[Suma de APROPIACION],presuvigencias[LLAVE],'Metas proyecto'!$B23,presuvigencias[vigencia],"2021")</f>
        <v>2362904900</v>
      </c>
      <c r="AB23" s="336">
        <f>SUMIFS(presuvigencias[Suma de APROPIACION],presuvigencias[LLAVE],'Metas proyecto'!$B23,presuvigencias[vigencia],"2022")</f>
        <v>2326725245</v>
      </c>
      <c r="AC23" s="336">
        <f>SUMIFS(presuvigencias[Suma de APROPIACION],presuvigencias[LLAVE],'Metas proyecto'!$B23,presuvigencias[vigencia],"2023")</f>
        <v>2308634075</v>
      </c>
      <c r="AD23" s="336">
        <f>VLOOKUP('Metas proyecto'!$B23,EJECUCIÓN!$A$13:$I$23,4,0)</f>
        <v>2761025000</v>
      </c>
      <c r="AE23" s="341">
        <f>SUM('Metas proyecto'!$Z23:$AD23)</f>
        <v>10764830820</v>
      </c>
      <c r="AF23" s="336">
        <f>SUMIFS(PRESUPUESTO!$P$2:$P$274,PRESUPUESTO!$K$2:$K$274,'Metas proyecto'!$B23,PRESUPUESTO!$R$2:$R$274,"2020")</f>
        <v>0</v>
      </c>
      <c r="AG23" s="336">
        <f>SUMIFS(PRESUPUESTO!$P$2:$P$274,PRESUPUESTO!$K$2:$K$274,'Metas proyecto'!$B23,PRESUPUESTO!$R$2:$R$274,"2021")</f>
        <v>479997000</v>
      </c>
      <c r="AH23" s="336">
        <f>SUMIFS(PRESUPUESTO!$P$2:$P$274,PRESUPUESTO!$K$2:$K$274,'Metas proyecto'!$B23,PRESUPUESTO!$R$2:$R$274,"2022")</f>
        <v>461263335</v>
      </c>
      <c r="AI23" s="336">
        <f>SUMIFS(PRESUPUESTO!$P$2:$P$274,PRESUPUESTO!$K$2:$K$274,'Metas proyecto'!$B23,PRESUPUESTO!$R$2:$R$274,"2023")</f>
        <v>318801012</v>
      </c>
      <c r="AJ23" s="336">
        <f>VLOOKUP('Metas proyecto'!$B23,EJECUCIÓN!$O$13:$Z$23,10,0)</f>
        <v>0</v>
      </c>
      <c r="AK23" s="353">
        <v>1133</v>
      </c>
      <c r="AL23" s="353">
        <v>2923</v>
      </c>
      <c r="AM23" s="353">
        <v>4696</v>
      </c>
      <c r="AN23" s="339">
        <v>7475</v>
      </c>
      <c r="AO23" s="340">
        <f>VLOOKUP('Metas proyecto'!$B23,EJECUCIÓN!$A$32:$H$42,7,0)</f>
        <v>0</v>
      </c>
      <c r="AP23" s="341">
        <f>IF('Metas proyecto'!$K23="SUMA",SUM('Metas proyecto'!$AK23:$AO23),
IF('Metas proyecto'!$K23="Creciente",MAX('Metas proyecto'!$AK23:$AO23),
AVERAGE('Metas proyecto'!$AK23:$AO23)))</f>
        <v>7475</v>
      </c>
      <c r="AQ23" s="342">
        <f>SUMIFS(PRESUPUESTO!$G$2:$G$470,PRESUPUESTO!$B$2:$B$470,'Metas proyecto'!$B23,PRESUPUESTO!$I$2:$I$470,"2020")</f>
        <v>897477200</v>
      </c>
      <c r="AR23" s="342">
        <f>SUMIFS(PRESUPUESTO!$G$2:$G$470,PRESUPUESTO!$B$2:$B$470,'Metas proyecto'!$B23,PRESUPUESTO!$I$2:$I$470,"2021")</f>
        <v>2362904900</v>
      </c>
      <c r="AS23" s="342">
        <f>SUMIFS(PRESUPUESTO!$G$2:$G$470,PRESUPUESTO!$B$2:$B$470,'Metas proyecto'!$B23,PRESUPUESTO!$I$2:$I$470,"2022")</f>
        <v>2315878707</v>
      </c>
      <c r="AT23" s="342">
        <f>SUMIFS(PRESUPUESTO!$G$2:$G$470,PRESUPUESTO!$B$2:$B$470,'Metas proyecto'!$B23,PRESUPUESTO!$I$2:$I$470,"2023")</f>
        <v>2287613142</v>
      </c>
      <c r="AU23" s="342">
        <f>VLOOKUP('Metas proyecto'!$B23,EJECUCIÓN!$A$13:$I$23,7)</f>
        <v>0</v>
      </c>
      <c r="AV23" s="341">
        <f>SUM('Metas proyecto'!$AQ23:$AU23)</f>
        <v>7863873949</v>
      </c>
      <c r="AW23" s="336">
        <f>SUMIFS(PRESUPUESTO!$H$2:$H$470,PRESUPUESTO!$B$2:$B$470,'Metas proyecto'!$B23,PRESUPUESTO!$I$2:$I$470,"2020")</f>
        <v>398654600</v>
      </c>
      <c r="AX23" s="336">
        <f>SUMIFS(PRESUPUESTO!$H$2:$H$470,PRESUPUESTO!$B$2:$B$470,'Metas proyecto'!$B23,PRESUPUESTO!$I$2:$I$470,"2021")</f>
        <v>1901641565</v>
      </c>
      <c r="AY23" s="336">
        <f>SUMIFS(PRESUPUESTO!$H$2:$H$470,PRESUPUESTO!$B$2:$B$470,'Metas proyecto'!$B23,PRESUPUESTO!$I$2:$I$470,"2022")</f>
        <v>1986008039.3827193</v>
      </c>
      <c r="AZ23" s="336">
        <f>SUMIFS(PRESUPUESTO!$H$2:$H$470,PRESUPUESTO!$B$2:$B$470,'Metas proyecto'!$B23,PRESUPUESTO!$I$2:$I$470,"2023")</f>
        <v>1691580703</v>
      </c>
      <c r="BA23" s="336">
        <f>VLOOKUP('Metas proyecto'!$B23,EJECUCIÓN!$A$13:$M$23,11,0)</f>
        <v>0</v>
      </c>
      <c r="BB23" s="336">
        <f>SUMIFS(PRESUPUESTO!$Q$2:$Q$274,PRESUPUESTO!$K$2:$K$274,'Metas proyecto'!$B23,PRESUPUESTO!$R$2:$R$274,"2020")</f>
        <v>0</v>
      </c>
      <c r="BC23" s="336">
        <f>SUMIFS(PRESUPUESTO!$Q$2:$Q$274,PRESUPUESTO!$K$2:$K$274,'Metas proyecto'!$B23,PRESUPUESTO!$R$2:$R$274,"2021")</f>
        <v>479997000</v>
      </c>
      <c r="BD23" s="343">
        <f>SUMIFS(PRESUPUESTO!$Q$2:$Q$274,PRESUPUESTO!$K$2:$K$274,'Metas proyecto'!$B23,PRESUPUESTO!$R$2:$R$274,"2022")</f>
        <v>461263335</v>
      </c>
      <c r="BE23" s="336">
        <f>SUMIFS(PRESUPUESTO!$Q$2:$Q$274,PRESUPUESTO!$K$2:$K$274,'Metas proyecto'!$B23,PRESUPUESTO!$R$2:$R$274,"2023")</f>
        <v>286101341</v>
      </c>
      <c r="BF23" s="344">
        <f>VLOOKUP('Metas proyecto'!$B23,EJECUCIÓN!$O$13:$AC$23,13,0)</f>
        <v>0</v>
      </c>
      <c r="BG23" s="345">
        <f ca="1">(SUMIF(Actividades!$E$18:$E$35,'Metas proyecto'!$I23,Actividades!$AO$18:$AO$27)
*'Metas proyecto'!$X23)/
'Metas proyecto'!$N23</f>
        <v>0</v>
      </c>
      <c r="BH23" s="346">
        <f ca="1">(SUMIF(Actividades!$E$18:$E$35,'Metas proyecto'!$I23,Actividades!$AP$18:$AP$27)
*'Metas proyecto'!$X23)/
'Metas proyecto'!$N23</f>
        <v>0.13636363636363635</v>
      </c>
      <c r="BI23" s="346">
        <f ca="1">(SUMIF(Actividades!$E$18:$E$35,'Metas proyecto'!$I23,Actividades!$AQ$18:$AQ$27)
*'Metas proyecto'!$X23)/
'Metas proyecto'!$N23</f>
        <v>0.13636363636363635</v>
      </c>
      <c r="BJ23" s="346">
        <f ca="1">(SUMIF(Actividades!$E$18:$E$35,'Metas proyecto'!$I23,Actividades!$AR$18:$AR$27)
*'Metas proyecto'!$X23)/
'Metas proyecto'!$N23</f>
        <v>0.13636363636363635</v>
      </c>
      <c r="BK23" s="346">
        <f ca="1">(SUMIF(Actividades!$E$18:$E$35,'Metas proyecto'!$I23,Actividades!$AS$18:$AS$27)
*'Metas proyecto'!$X23)/
'Metas proyecto'!$N23</f>
        <v>0.13636363636363635</v>
      </c>
      <c r="BL23" s="346">
        <f ca="1">(SUMIF(Actividades!$E$18:$E$35,'Metas proyecto'!$I23,Actividades!$AT$18:$AT$27)
*'Metas proyecto'!$X23)/
'Metas proyecto'!$N23</f>
        <v>0</v>
      </c>
      <c r="BM23" s="346">
        <f ca="1">(SUMIF(Actividades!$E$18:$E$35,'Metas proyecto'!$I23,Actividades!$AU$18:$AU$27)
*'Metas proyecto'!$X23)/
'Metas proyecto'!$N23</f>
        <v>0</v>
      </c>
      <c r="BN23" s="346">
        <f ca="1">(SUMIF(Actividades!$E$18:$E$35,'Metas proyecto'!$I23,Actividades!$AV$18:$AV$27)
*'Metas proyecto'!$X23)/
'Metas proyecto'!$N23</f>
        <v>0</v>
      </c>
      <c r="BO23" s="346">
        <f ca="1">(SUMIF(Actividades!$E$18:$E$35,'Metas proyecto'!$I23,Actividades!$AW$18:$AW$27)
*'Metas proyecto'!$X23)/
'Metas proyecto'!$N23</f>
        <v>0</v>
      </c>
      <c r="BP23" s="346">
        <f ca="1">(SUMIF(Actividades!$E$18:$E$35,'Metas proyecto'!$I23,Actividades!$AX$18:$AX$27)
*'Metas proyecto'!$X23)/
'Metas proyecto'!$N23</f>
        <v>0</v>
      </c>
      <c r="BQ23" s="346">
        <f ca="1">(SUMIF(Actividades!$E$18:$E$35,'Metas proyecto'!$I23,Actividades!$AY$18:$AY$27)
*'Metas proyecto'!$X23)/
'Metas proyecto'!$N23</f>
        <v>0</v>
      </c>
      <c r="BR23" s="346">
        <f ca="1">(SUMIF(Actividades!$E$18:$E$35,'Metas proyecto'!$I23,Actividades!$AZ$18:$AZ$27)
*'Metas proyecto'!$X23)/
'Metas proyecto'!$N23</f>
        <v>0</v>
      </c>
      <c r="BS23" s="347">
        <f t="shared" ca="1" si="0"/>
        <v>0.54545454545454541</v>
      </c>
      <c r="BT23" s="348">
        <f ca="1">(SUMIF( Actividades!$E$18:$E$35, 'Metas proyecto'!$I23,Actividades!$BA$18:$BA$27)* 'Metas proyecto'!$Y23/ 'Metas proyecto'!$N23)</f>
        <v>0</v>
      </c>
      <c r="BU23" s="346">
        <f ca="1">(SUMIF( Actividades!$E$18:$E$35, 'Metas proyecto'!$I23,Actividades!$BB$18:$BB$27)* 'Metas proyecto'!$Y23/ 'Metas proyecto'!$N23)</f>
        <v>0</v>
      </c>
      <c r="BV23" s="346">
        <f ca="1">(SUMIF( Actividades!$E$18:$E$35, 'Metas proyecto'!$I23,Actividades!$BC$18:$BC$27)* 'Metas proyecto'!$Y23/ 'Metas proyecto'!$N23)</f>
        <v>0</v>
      </c>
      <c r="BW23" s="346">
        <f ca="1">(SUMIF( Actividades!$E$18:$E$35, 'Metas proyecto'!$I23,Actividades!$BD$18:$BD$27)* 'Metas proyecto'!$Y23/ 'Metas proyecto'!$N23)</f>
        <v>0</v>
      </c>
      <c r="BX23" s="346">
        <f ca="1">(SUMIF( Actividades!$E$18:$E$35, 'Metas proyecto'!$I23,Actividades!$BE$18:$BE$27)* 'Metas proyecto'!$Y23/ 'Metas proyecto'!$N23)</f>
        <v>0</v>
      </c>
      <c r="BY23" s="346">
        <f ca="1">(SUMIF( Actividades!$E$18:$E$35, 'Metas proyecto'!$I23,Actividades!$BF$18:$BF$27)* 'Metas proyecto'!$Y23/ 'Metas proyecto'!$N23)</f>
        <v>0</v>
      </c>
      <c r="BZ23" s="346">
        <f ca="1">(SUMIF( Actividades!$E$18:$E$35, 'Metas proyecto'!$I23,Actividades!$BG$18:$BG$27)* 'Metas proyecto'!$Y23/ 'Metas proyecto'!$N23)</f>
        <v>0</v>
      </c>
      <c r="CA23" s="346">
        <f ca="1">(SUMIF( Actividades!$E$18:$E$35, 'Metas proyecto'!$I23,Actividades!$BH$18:$BH$27)* 'Metas proyecto'!$Y23/ 'Metas proyecto'!$N23)</f>
        <v>0</v>
      </c>
      <c r="CB23" s="346">
        <f ca="1">(SUMIF( Actividades!$E$18:$E$35, 'Metas proyecto'!$I23,Actividades!$BI$18:$BI$27)* 'Metas proyecto'!$Y23/ 'Metas proyecto'!$N23)</f>
        <v>0</v>
      </c>
      <c r="CC23" s="346">
        <f ca="1">(SUMIF( Actividades!$E$18:$E$35, 'Metas proyecto'!$I23,Actividades!$BJ$18:$BJ$27)* 'Metas proyecto'!$Y23/ 'Metas proyecto'!$N23)</f>
        <v>0</v>
      </c>
      <c r="CD23" s="346">
        <f ca="1">(SUMIF( Actividades!$E$18:$E$35, 'Metas proyecto'!$I23,Actividades!$BK$18:$BK$27)* 'Metas proyecto'!$Y23/ 'Metas proyecto'!$N23)</f>
        <v>0</v>
      </c>
      <c r="CE23" s="346">
        <f ca="1">(SUMIF( Actividades!$E$18:$E$35, 'Metas proyecto'!$I23,Actividades!$BL$18:$BL$27)* 'Metas proyecto'!$Y23/ 'Metas proyecto'!$N23)</f>
        <v>0</v>
      </c>
      <c r="CF23" s="349">
        <f t="shared" ca="1" si="1"/>
        <v>0</v>
      </c>
      <c r="CG23" s="349">
        <f ca="1">metas_actividades[[#This Row],[Total ejecutado plan de actividades Vigencia]]/metas_actividades[[#This Row],[Total programado plan de actividades Vigencia (Valor esperado vigencia)]]</f>
        <v>0</v>
      </c>
      <c r="CH23" s="349">
        <f>'Metas proyecto'!$AO23/'Metas proyecto'!$S23</f>
        <v>0</v>
      </c>
      <c r="CI23" s="349">
        <f>'Metas proyecto'!$AP23/'Metas proyecto'!$T23</f>
        <v>0.9006024096385542</v>
      </c>
    </row>
    <row r="24" spans="1:87" ht="14.4" thickTop="1" x14ac:dyDescent="0.3">
      <c r="A24" s="108"/>
      <c r="B24" s="208" t="s">
        <v>845</v>
      </c>
      <c r="C24" s="209"/>
      <c r="D24" s="209"/>
      <c r="E24" s="210"/>
      <c r="F24" s="210"/>
      <c r="G24" s="210"/>
      <c r="H24" s="209"/>
      <c r="I24" s="210">
        <f>SUBTOTAL(104,'Metas proyecto'!$I$18:$I$23)</f>
        <v>6</v>
      </c>
      <c r="J24" s="210"/>
      <c r="K24" s="210"/>
      <c r="L24" s="210"/>
      <c r="M24" s="210"/>
      <c r="N24" s="211">
        <f>SUBTOTAL(109,'Metas proyecto'!$N$18:$N$23)</f>
        <v>1</v>
      </c>
      <c r="O24" s="210"/>
      <c r="P24" s="210"/>
      <c r="Q24" s="210"/>
      <c r="R24" s="210"/>
      <c r="S24" s="210"/>
      <c r="T24" s="210"/>
      <c r="U24" s="210"/>
      <c r="V24" s="210"/>
      <c r="W24" s="210"/>
      <c r="X24" s="210"/>
      <c r="Y24" s="210"/>
      <c r="Z24" s="212">
        <f>SUBTOTAL(109,'Metas proyecto'!$Z$18:$Z$23)</f>
        <v>75857837083</v>
      </c>
      <c r="AA24" s="212">
        <f>SUBTOTAL(109,'Metas proyecto'!$AA$18:$AA$23)</f>
        <v>233692745672</v>
      </c>
      <c r="AB24" s="212">
        <f>SUBTOTAL(109,'Metas proyecto'!$AB$18:$AB$23)</f>
        <v>195274397318</v>
      </c>
      <c r="AC24" s="212">
        <f>SUBTOTAL(109,'Metas proyecto'!$AC$18:$AC$23)</f>
        <v>210704006881</v>
      </c>
      <c r="AD24" s="212">
        <f>SUBTOTAL(109,'Metas proyecto'!$AD$18:$AD$23)</f>
        <v>237115305000</v>
      </c>
      <c r="AE24" s="212">
        <f>SUBTOTAL(109,'Metas proyecto'!$AE$18:$AE$23)</f>
        <v>952644291954</v>
      </c>
      <c r="AF24" s="212" t="s">
        <v>846</v>
      </c>
      <c r="AG24" s="212">
        <f>SUBTOTAL(109,'Metas proyecto'!$AG$18:$AG$23)</f>
        <v>39196750538</v>
      </c>
      <c r="AH24" s="212">
        <f>SUBTOTAL(109,'Metas proyecto'!$AH$18:$AH$23)</f>
        <v>86655363328.000015</v>
      </c>
      <c r="AI24" s="212">
        <f>SUBTOTAL(109,'Metas proyecto'!$AI$18:$AI$23)</f>
        <v>31210619533</v>
      </c>
      <c r="AJ24" s="212">
        <f>SUBTOTAL(109,'Metas proyecto'!$AJ$18:$AJ$23)</f>
        <v>0</v>
      </c>
      <c r="AK24" s="210"/>
      <c r="AL24" s="210"/>
      <c r="AM24" s="210"/>
      <c r="AN24" s="210"/>
      <c r="AO24" s="210"/>
      <c r="AP24" s="210"/>
      <c r="AQ24" s="213">
        <f>SUBTOTAL(109,'Metas proyecto'!$AQ$18:$AQ$23)</f>
        <v>65584214582</v>
      </c>
      <c r="AR24" s="213">
        <f>SUBTOTAL(109,'Metas proyecto'!$AR$18:$AR$23)</f>
        <v>221082246548</v>
      </c>
      <c r="AS24" s="213">
        <f>SUBTOTAL(109,'Metas proyecto'!$AS$18:$AS$23)</f>
        <v>192039730659</v>
      </c>
      <c r="AT24" s="213">
        <f>SUBTOTAL(109,'Metas proyecto'!$AT$18:$AT$23)</f>
        <v>207601128413</v>
      </c>
      <c r="AU24" s="213">
        <f>SUBTOTAL(109,'Metas proyecto'!$AU$18:$AU$23)</f>
        <v>0</v>
      </c>
      <c r="AV24" s="212">
        <f>SUBTOTAL(109,'Metas proyecto'!$AV$18:$AV$23)</f>
        <v>686307320202</v>
      </c>
      <c r="AW24" s="212">
        <f>SUBTOTAL(109,'Metas proyecto'!$AW$18:$AW$23)</f>
        <v>25215782137</v>
      </c>
      <c r="AX24" s="212">
        <f>SUBTOTAL(109,'Metas proyecto'!$AX$18:$AX$23)</f>
        <v>134008059944</v>
      </c>
      <c r="AY24" s="212">
        <f>SUBTOTAL(109,'Metas proyecto'!$AY$18:$AY$23)</f>
        <v>158672300103</v>
      </c>
      <c r="AZ24" s="212">
        <f>SUBTOTAL(109,'Metas proyecto'!$AZ$18:$AZ$23)</f>
        <v>181587286163.00003</v>
      </c>
      <c r="BA24" s="212">
        <f>SUBTOTAL(109,'Metas proyecto'!$BA$18:$BA$23)</f>
        <v>0</v>
      </c>
      <c r="BB24" s="212">
        <f>SUBTOTAL(109,'Metas proyecto'!$BB$18:$BB$23)</f>
        <v>0</v>
      </c>
      <c r="BC24" s="212">
        <f>SUBTOTAL(109,'Metas proyecto'!$BC$18:$BC$23)</f>
        <v>39056948243</v>
      </c>
      <c r="BD24" s="212">
        <f>SUBTOTAL(109,'Metas proyecto'!$BD$18:$BD$23)</f>
        <v>85827188702</v>
      </c>
      <c r="BE24" s="212">
        <f>SUBTOTAL(109,'Metas proyecto'!$BE$18:$BE$23)</f>
        <v>28765245264</v>
      </c>
      <c r="BF24" s="214">
        <f>SUBTOTAL(109,'Metas proyecto'!$BF$18:$BF$23)</f>
        <v>0</v>
      </c>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row>
    <row r="25" spans="1:87" x14ac:dyDescent="0.3">
      <c r="A25" s="108"/>
      <c r="B25" s="108"/>
      <c r="C25" s="108"/>
      <c r="D25" s="108"/>
      <c r="E25" s="118"/>
      <c r="F25" s="108"/>
      <c r="G25" s="11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58"/>
      <c r="CG25" s="108"/>
      <c r="CH25" s="108"/>
      <c r="CI25" s="108"/>
    </row>
    <row r="27" spans="1:87" x14ac:dyDescent="0.3">
      <c r="A27" s="108"/>
      <c r="B27" s="108"/>
      <c r="C27" s="108"/>
      <c r="D27" s="108"/>
      <c r="E27" s="118"/>
      <c r="F27" s="108"/>
      <c r="G27" s="11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59"/>
      <c r="CH27" s="108"/>
      <c r="CI27" s="108"/>
    </row>
    <row r="28" spans="1:87" x14ac:dyDescent="0.3">
      <c r="A28" s="108"/>
      <c r="B28" s="108"/>
      <c r="C28" s="108"/>
      <c r="D28" s="108"/>
      <c r="E28" s="118"/>
      <c r="F28" s="108"/>
      <c r="G28" s="11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60"/>
      <c r="CH28" s="108"/>
      <c r="CI28" s="108"/>
    </row>
    <row r="30" spans="1:87" x14ac:dyDescent="0.3">
      <c r="A30" s="108"/>
      <c r="B30" s="108"/>
      <c r="C30" s="108"/>
      <c r="D30" s="108"/>
      <c r="E30" s="118"/>
      <c r="F30" s="108"/>
      <c r="G30" s="11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59"/>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row>
    <row r="31" spans="1:87" x14ac:dyDescent="0.3">
      <c r="A31" s="108"/>
      <c r="B31" s="108"/>
      <c r="C31" s="108"/>
      <c r="D31" s="108"/>
      <c r="E31" s="118"/>
      <c r="F31" s="108"/>
      <c r="G31" s="11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row>
  </sheetData>
  <sheetProtection algorithmName="SHA-512" hashValue="m2CIP3i332mYNDjAgQ5vJ/UKMF5FQy+QQ7fhb2ILlcn56hFX6QcBNmaHTGZSUONxVtnvzGCawgZuD3apjaBjMg==" saltValue="e+I6FvlAlEoB2ysA33gFsg==" spinCount="100000" sheet="1" autoFilter="0" pivotTables="0"/>
  <autoFilter ref="B17:BF23" xr:uid="{00000000-0009-0000-0000-000008000000}"/>
  <mergeCells count="16">
    <mergeCell ref="BG16:BS16"/>
    <mergeCell ref="BT16:CF16"/>
    <mergeCell ref="AF16:AJ16"/>
    <mergeCell ref="U16:Y16"/>
    <mergeCell ref="BB16:BF16"/>
    <mergeCell ref="AK16:AP16"/>
    <mergeCell ref="AQ16:AV16"/>
    <mergeCell ref="AW16:BA16"/>
    <mergeCell ref="B2:C5"/>
    <mergeCell ref="D2:F5"/>
    <mergeCell ref="O16:T16"/>
    <mergeCell ref="Z16:AE16"/>
    <mergeCell ref="G2:H2"/>
    <mergeCell ref="G3:H3"/>
    <mergeCell ref="G4:H4"/>
    <mergeCell ref="G5:H5"/>
  </mergeCells>
  <phoneticPr fontId="14" type="noConversion"/>
  <dataValidations disablePrompts="1" xWindow="864" yWindow="348" count="11">
    <dataValidation allowBlank="1" showInputMessage="1" showErrorMessage="1" promptTitle="Producto" prompt="Tipo de campo: Selección mutiple del catalogo_x000a_Producto (bien o servicio) que dará cuenta del logro de la meta y con la cual se cuantificará y realizará seguimiento a la misma" sqref="H17" xr:uid="{00000000-0002-0000-0800-000000000000}"/>
    <dataValidation allowBlank="1" showInputMessage="1" showErrorMessage="1" promptTitle="Meta indicador de propósito" prompt="Tipo de campo: Numerico_x000a_Indique el valor numérico de la meta a alcanzar, para el año 1" sqref="O17:S17 U17:Y17 AK17:AO17" xr:uid="{00000000-0002-0000-0800-000001000000}"/>
    <dataValidation allowBlank="1" showInputMessage="1" showErrorMessage="1" promptTitle="Tota cuatrienio ind propósito" prompt="Tipo de campo: Numerico_x000a_Sumatoria total de las metas de indicador de propósito" sqref="T17 AP17" xr:uid="{00000000-0002-0000-0800-000002000000}"/>
    <dataValidation type="list" errorStyle="warning" allowBlank="1" showInputMessage="1" showErrorMessage="1" sqref="L18:M23" xr:uid="{00000000-0002-0000-0800-000003000000}">
      <formula1>"SI, NO"</formula1>
    </dataValidation>
    <dataValidation type="decimal" allowBlank="1" showInputMessage="1" showErrorMessage="1" sqref="N18:N23" xr:uid="{00000000-0002-0000-0800-000004000000}">
      <formula1>0</formula1>
      <formula2>1</formula2>
    </dataValidation>
    <dataValidation type="decimal" errorStyle="warning" allowBlank="1" showInputMessage="1" showErrorMessage="1" prompt="Relacione el valor esperado de cumplimiento para las metas del proyecto de inversión." sqref="U18:Y23" xr:uid="{00000000-0002-0000-0800-000005000000}">
      <formula1>0</formula1>
      <formula2>1</formula2>
    </dataValidation>
    <dataValidation errorStyle="warning" allowBlank="1" showInputMessage="1" showErrorMessage="1" prompt="Relacione para cada una de las vigencias las magnitudes ejecutadas de las metas del proyecto de inversión." sqref="AM23 AN23 AL23 AO18:AO23 AL18:AN22 AK18:AK23" xr:uid="{00000000-0002-0000-0800-000006000000}"/>
    <dataValidation errorStyle="warning" allowBlank="1" showInputMessage="1" showErrorMessage="1" sqref="E18:H23 J18:K23" xr:uid="{00000000-0002-0000-0800-000007000000}"/>
    <dataValidation allowBlank="1" showInputMessage="1" showErrorMessage="1" prompt="Relacione las magnitudes de la meta sectorial del proyecto de inversión." sqref="T18:T23 AP18:AP23" xr:uid="{00000000-0002-0000-0800-000008000000}"/>
    <dataValidation errorStyle="warning" allowBlank="1" showInputMessage="1" showErrorMessage="1" prompt="Relacione para cada una de las vigencias las magnitudes programadas de las metas del proyecto de inversión." sqref="O18:S23" xr:uid="{00000000-0002-0000-0800-000009000000}"/>
    <dataValidation allowBlank="1" showInputMessage="1" showErrorMessage="1" prompt="Recuerde: el porcentaje sale de la programación de la descripción de la meta y de lo ejecutado durante el cuatrienio" sqref="CI17" xr:uid="{00000000-0002-0000-0800-00000A000000}"/>
  </dataValidations>
  <pageMargins left="0.7" right="0.7" top="0.75" bottom="0.75" header="0.3" footer="0.3"/>
  <pageSetup orientation="portrait" r:id="rId1"/>
  <ignoredErrors>
    <ignoredError sqref="AE18:AE23 T18:T23 AV18:AV23 D18:D23" unlockedFormula="1"/>
  </ignoredError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2:AK25"/>
  <sheetViews>
    <sheetView showGridLines="0" topLeftCell="U18" zoomScaleNormal="100" workbookViewId="0">
      <selection activeCell="K21" sqref="K21"/>
    </sheetView>
  </sheetViews>
  <sheetFormatPr baseColWidth="10" defaultColWidth="11.54296875" defaultRowHeight="13.8" x14ac:dyDescent="0.3"/>
  <cols>
    <col min="1" max="1" width="7.1796875" style="7" customWidth="1"/>
    <col min="2" max="3" width="10.08984375" style="7" customWidth="1"/>
    <col min="4" max="4" width="18.81640625" style="7" customWidth="1"/>
    <col min="5" max="5" width="9.54296875" style="7" customWidth="1"/>
    <col min="6" max="6" width="31.81640625" style="7" customWidth="1"/>
    <col min="7" max="7" width="15.36328125" style="7" customWidth="1"/>
    <col min="8" max="8" width="19" style="7" customWidth="1"/>
    <col min="9" max="9" width="10.54296875" style="7" customWidth="1"/>
    <col min="10" max="10" width="22.1796875" style="7" customWidth="1"/>
    <col min="11" max="12" width="12.81640625" style="7" customWidth="1"/>
    <col min="13" max="13" width="9.453125" style="7" customWidth="1"/>
    <col min="14" max="19" width="10.81640625" style="7" customWidth="1"/>
    <col min="20" max="25" width="15.81640625" style="7" customWidth="1"/>
    <col min="26" max="31" width="10.81640625" style="7" customWidth="1"/>
    <col min="32" max="37" width="12.81640625" style="7" customWidth="1"/>
    <col min="38" max="16384" width="11.54296875" style="7"/>
  </cols>
  <sheetData>
    <row r="2" spans="1:37" s="39" customFormat="1" ht="24" customHeight="1" x14ac:dyDescent="0.35">
      <c r="B2" s="406"/>
      <c r="C2" s="406"/>
      <c r="D2" s="521" t="s">
        <v>683</v>
      </c>
      <c r="E2" s="521"/>
      <c r="F2" s="521"/>
      <c r="G2" s="521"/>
      <c r="H2" s="521"/>
      <c r="I2" s="522"/>
      <c r="J2" s="510" t="s">
        <v>684</v>
      </c>
      <c r="K2" s="510"/>
      <c r="L2"/>
      <c r="N2"/>
      <c r="O2"/>
      <c r="P2"/>
      <c r="Q2"/>
      <c r="R2"/>
      <c r="S2"/>
      <c r="T2"/>
    </row>
    <row r="3" spans="1:37" s="39" customFormat="1" ht="20.399999999999999" x14ac:dyDescent="0.35">
      <c r="B3" s="406"/>
      <c r="C3" s="406"/>
      <c r="D3" s="523"/>
      <c r="E3" s="523"/>
      <c r="F3" s="523"/>
      <c r="G3" s="523"/>
      <c r="H3" s="523"/>
      <c r="I3" s="524"/>
      <c r="J3" s="510" t="s">
        <v>685</v>
      </c>
      <c r="K3" s="510"/>
      <c r="L3"/>
      <c r="N3"/>
      <c r="O3"/>
      <c r="P3"/>
      <c r="Q3"/>
      <c r="R3"/>
      <c r="S3"/>
      <c r="T3"/>
    </row>
    <row r="4" spans="1:37" s="39" customFormat="1" ht="20.25" customHeight="1" x14ac:dyDescent="0.35">
      <c r="B4" s="406"/>
      <c r="C4" s="406"/>
      <c r="D4" s="523"/>
      <c r="E4" s="523"/>
      <c r="F4" s="523"/>
      <c r="G4" s="523"/>
      <c r="H4" s="523"/>
      <c r="I4" s="524"/>
      <c r="J4" s="511" t="s">
        <v>686</v>
      </c>
      <c r="K4" s="511"/>
      <c r="L4"/>
      <c r="N4"/>
      <c r="O4"/>
      <c r="P4"/>
      <c r="Q4"/>
      <c r="R4"/>
      <c r="S4"/>
      <c r="T4"/>
    </row>
    <row r="5" spans="1:37" s="39" customFormat="1" ht="20.399999999999999" x14ac:dyDescent="0.35">
      <c r="B5" s="406"/>
      <c r="C5" s="406"/>
      <c r="D5" s="525"/>
      <c r="E5" s="525"/>
      <c r="F5" s="525"/>
      <c r="G5" s="525"/>
      <c r="H5" s="525"/>
      <c r="I5" s="526"/>
      <c r="J5" s="510" t="s">
        <v>847</v>
      </c>
      <c r="K5" s="510"/>
      <c r="L5"/>
      <c r="N5"/>
      <c r="O5"/>
      <c r="P5"/>
      <c r="Q5"/>
      <c r="R5"/>
      <c r="S5"/>
      <c r="T5"/>
    </row>
    <row r="12" spans="1:37" ht="14.4" thickBot="1" x14ac:dyDescent="0.35">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row>
    <row r="13" spans="1:37" s="14" customFormat="1" ht="25.8" thickBot="1" x14ac:dyDescent="0.5">
      <c r="A13" s="527" t="s">
        <v>848</v>
      </c>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row>
    <row r="16" spans="1:37" ht="17.25" customHeight="1" x14ac:dyDescent="0.35">
      <c r="A16" s="49"/>
      <c r="B16" s="49"/>
      <c r="C16" s="49"/>
      <c r="D16" s="49"/>
      <c r="E16" s="49"/>
      <c r="F16" s="49"/>
      <c r="G16" s="49"/>
      <c r="H16" s="49"/>
      <c r="I16" s="49"/>
      <c r="J16" s="49"/>
      <c r="K16" s="49"/>
      <c r="L16" s="49"/>
      <c r="M16" s="49"/>
      <c r="N16" s="49"/>
      <c r="O16" s="49"/>
      <c r="P16" s="49"/>
      <c r="Q16" s="49"/>
      <c r="R16" s="49"/>
      <c r="S16" s="49"/>
      <c r="T16" s="529" t="s">
        <v>745</v>
      </c>
      <c r="U16" s="529"/>
      <c r="V16" s="529"/>
      <c r="W16" s="529"/>
      <c r="X16" s="529"/>
      <c r="Y16" s="529"/>
      <c r="Z16" s="49"/>
      <c r="AA16" s="49"/>
      <c r="AB16" s="49"/>
      <c r="AC16" s="49"/>
      <c r="AD16" s="49"/>
      <c r="AE16" s="49"/>
      <c r="AF16" s="530" t="s">
        <v>747</v>
      </c>
      <c r="AG16" s="530"/>
      <c r="AH16" s="530"/>
      <c r="AI16" s="530"/>
      <c r="AJ16" s="530"/>
      <c r="AK16" s="530"/>
    </row>
    <row r="17" spans="1:37" ht="18" x14ac:dyDescent="0.35">
      <c r="A17" s="49"/>
      <c r="B17" s="49"/>
      <c r="C17" s="49"/>
      <c r="D17" s="49"/>
      <c r="E17" s="49"/>
      <c r="F17" s="49"/>
      <c r="G17" s="49"/>
      <c r="H17" s="49"/>
      <c r="I17" s="49"/>
      <c r="J17" s="49"/>
      <c r="K17" s="49"/>
      <c r="L17" s="49"/>
      <c r="M17" s="49"/>
      <c r="N17" s="529" t="s">
        <v>849</v>
      </c>
      <c r="O17" s="529"/>
      <c r="P17" s="529"/>
      <c r="Q17" s="529"/>
      <c r="R17" s="529"/>
      <c r="S17" s="529"/>
      <c r="T17" s="529" t="s">
        <v>750</v>
      </c>
      <c r="U17" s="529"/>
      <c r="V17" s="529"/>
      <c r="W17" s="529"/>
      <c r="X17" s="529"/>
      <c r="Y17" s="529"/>
      <c r="Z17" s="530" t="s">
        <v>850</v>
      </c>
      <c r="AA17" s="530"/>
      <c r="AB17" s="530"/>
      <c r="AC17" s="530"/>
      <c r="AD17" s="530"/>
      <c r="AE17" s="530"/>
      <c r="AF17" s="530" t="s">
        <v>750</v>
      </c>
      <c r="AG17" s="530"/>
      <c r="AH17" s="530"/>
      <c r="AI17" s="530"/>
      <c r="AJ17" s="530"/>
      <c r="AK17" s="530"/>
    </row>
    <row r="18" spans="1:37" ht="82.8" x14ac:dyDescent="0.3">
      <c r="A18" s="49"/>
      <c r="B18" s="10" t="s">
        <v>851</v>
      </c>
      <c r="C18" s="10" t="s">
        <v>788</v>
      </c>
      <c r="D18" s="10" t="s">
        <v>21</v>
      </c>
      <c r="E18" s="10" t="s">
        <v>852</v>
      </c>
      <c r="F18" s="10" t="s">
        <v>34</v>
      </c>
      <c r="G18" s="10" t="s">
        <v>853</v>
      </c>
      <c r="H18" s="10" t="s">
        <v>35</v>
      </c>
      <c r="I18" s="10" t="s">
        <v>32</v>
      </c>
      <c r="J18" s="10" t="s">
        <v>854</v>
      </c>
      <c r="K18" s="10" t="s">
        <v>855</v>
      </c>
      <c r="L18" s="10" t="s">
        <v>856</v>
      </c>
      <c r="M18" s="10" t="s">
        <v>857</v>
      </c>
      <c r="N18" s="10" t="s">
        <v>858</v>
      </c>
      <c r="O18" s="10" t="s">
        <v>859</v>
      </c>
      <c r="P18" s="10" t="s">
        <v>860</v>
      </c>
      <c r="Q18" s="10" t="s">
        <v>861</v>
      </c>
      <c r="R18" s="10" t="s">
        <v>862</v>
      </c>
      <c r="S18" s="10" t="s">
        <v>863</v>
      </c>
      <c r="T18" s="10" t="s">
        <v>752</v>
      </c>
      <c r="U18" s="10" t="s">
        <v>753</v>
      </c>
      <c r="V18" s="10" t="s">
        <v>754</v>
      </c>
      <c r="W18" s="10" t="s">
        <v>755</v>
      </c>
      <c r="X18" s="10" t="s">
        <v>756</v>
      </c>
      <c r="Y18" s="10" t="s">
        <v>757</v>
      </c>
      <c r="Z18" s="10" t="s">
        <v>864</v>
      </c>
      <c r="AA18" s="10" t="s">
        <v>865</v>
      </c>
      <c r="AB18" s="10" t="s">
        <v>866</v>
      </c>
      <c r="AC18" s="10" t="s">
        <v>867</v>
      </c>
      <c r="AD18" s="10" t="s">
        <v>868</v>
      </c>
      <c r="AE18" s="10" t="s">
        <v>869</v>
      </c>
      <c r="AF18" s="10" t="s">
        <v>763</v>
      </c>
      <c r="AG18" s="10" t="s">
        <v>764</v>
      </c>
      <c r="AH18" s="10" t="s">
        <v>765</v>
      </c>
      <c r="AI18" s="10" t="s">
        <v>766</v>
      </c>
      <c r="AJ18" s="10" t="s">
        <v>767</v>
      </c>
      <c r="AK18" s="10" t="s">
        <v>768</v>
      </c>
    </row>
    <row r="19" spans="1:37" s="363" customFormat="1" ht="124.2" x14ac:dyDescent="0.35">
      <c r="A19" s="359" t="str">
        <f>MetasPDD[[#This Row],[ID meta PDD]]&amp;MetasPDD[[#This Row],[No. Indicador]]</f>
        <v>77444143</v>
      </c>
      <c r="B19" s="11" t="str">
        <f t="shared" ref="B19:B24" si="0">C19&amp;E19</f>
        <v>774441</v>
      </c>
      <c r="C19" s="11">
        <f>Proyecto!$B$19</f>
        <v>7744</v>
      </c>
      <c r="D19" s="11" t="str">
        <f>Proyecto!$D$19</f>
        <v>Generación de Oportunidades para el Desarrollo Integral de la Niñez y la Adolescencia de Bogotá</v>
      </c>
      <c r="E19" s="193">
        <v>41</v>
      </c>
      <c r="F19" s="11" t="str">
        <f>(VLOOKUP(MetasPDD[[#This Row],[ID meta PDD]],ESTRATÉGICO!B3:AA110,18,0))</f>
        <v>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v>
      </c>
      <c r="G19" s="193">
        <v>43</v>
      </c>
      <c r="H19" s="193" t="s">
        <v>222</v>
      </c>
      <c r="I19" s="11" t="str">
        <f>VLOOKUP(MetasPDD[[#This Row],[ID meta PDD]],ESTRATÉGICO!B3:AA110,20,0)</f>
        <v>Creciente</v>
      </c>
      <c r="J19" s="193" t="s">
        <v>870</v>
      </c>
      <c r="K19" s="193" t="s">
        <v>871</v>
      </c>
      <c r="L19" s="193">
        <v>1</v>
      </c>
      <c r="M19" s="193">
        <v>1</v>
      </c>
      <c r="N19" s="197">
        <v>0.1</v>
      </c>
      <c r="O19" s="193">
        <v>0.45</v>
      </c>
      <c r="P19" s="193">
        <v>0.65</v>
      </c>
      <c r="Q19" s="193">
        <v>0.85</v>
      </c>
      <c r="R19" s="194">
        <v>1</v>
      </c>
      <c r="S19" s="194">
        <f>IFERROR(IF(MetasPDD[[#This Row],[Tipo de meta]]="SUMA",SUM(MetasPDD[[#This Row],[Magnitud programada indicador propósito 2020]:[Magnitud programada indicador propósito 2024]]),
IF(MetasPDD[[#This Row],[Tipo de meta]]="Creciente",MAX(MetasPDD[[#This Row],[Magnitud programada indicador propósito 2020]:[Magnitud programada indicador propósito 2024]]),
AVERAGE(MetasPDD[[#This Row],[Magnitud programada indicador propósito 2020]:[Magnitud programada indicador propósito 2024]]))),"...")</f>
        <v>1</v>
      </c>
      <c r="T19" s="120">
        <f>SUMIFS(presuvigencias[Suma de APROPIACION],presuvigencias[LLAVEPDD],MetasPDD[[#This Row],[ID meta PDD]],presuvigencias[vigencia],"2020")</f>
        <v>1078169886</v>
      </c>
      <c r="U19" s="120">
        <f>SUMIFS(presuvigencias[Suma de APROPIACION],presuvigencias[LLAVEPDD],MetasPDD[[#This Row],[ID meta PDD]],presuvigencias[vigencia],"2021")</f>
        <v>1689958915</v>
      </c>
      <c r="V19" s="120">
        <f>SUMIFS(presuvigencias[Suma de APROPIACION],presuvigencias[LLAVEPDD],MetasPDD[[#This Row],[ID meta PDD]],presuvigencias[vigencia],"2022")</f>
        <v>1768323258</v>
      </c>
      <c r="W19" s="120">
        <f>SUMIFS(presuvigencias[Suma de APROPIACION],presuvigencias[LLAVEPDD],MetasPDD[[#This Row],[ID meta PDD]],presuvigencias[vigencia],"2023")</f>
        <v>1525955692</v>
      </c>
      <c r="X19" s="120">
        <f>VLOOKUP(MetasPDD[[#This Row],[ID meta PDD]],EJECUCIÓN!$AE$13:$AM$18,4,0)</f>
        <v>0</v>
      </c>
      <c r="Y19" s="19">
        <f>+SUM(MetasPDD[[#This Row],[Presupuesto programado 2020]:[Presupuesto programado 2024]])</f>
        <v>6062407751</v>
      </c>
      <c r="Z19" s="197">
        <v>9.7699999999999995E-2</v>
      </c>
      <c r="AA19" s="193">
        <v>0.45</v>
      </c>
      <c r="AB19" s="193">
        <v>0.65</v>
      </c>
      <c r="AC19" s="360">
        <v>0.85</v>
      </c>
      <c r="AD19" s="11">
        <f>VLOOKUP(A19,EJECUCIÓN!$K$32:$R$378,7,0)</f>
        <v>0</v>
      </c>
      <c r="AE19" s="361">
        <f>IFERROR(IF(MetasPDD[[#This Row],[Tipo de meta]]="SUMA",SUM(MetasPDD[[#This Row],[Magnitud ejecutada indicador propósito 2020]:[Magnitud ejecutada indicador propósito 2024]]),
IF(MetasPDD[[#This Row],[Tipo de meta]]="Creciente",MAX(MetasPDD[[#This Row],[Magnitud ejecutada indicador propósito 2020]:[Magnitud ejecutada indicador propósito 2024]]),
AVERAGE(MetasPDD[[#This Row],[Magnitud ejecutada indicador propósito 2020]:[Magnitud ejecutada indicador propósito 2024]]))),"...")</f>
        <v>0.85</v>
      </c>
      <c r="AF19" s="96">
        <f>SUMIFS(presuvigencias[Suma de CRP],presuvigencias[LLAVEPDD],MetasPDD[[#This Row],[ID meta PDD]],presuvigencias[vigencia],"2020")</f>
        <v>851177778</v>
      </c>
      <c r="AG19" s="96">
        <f>SUMIFS(presuvigencias[Suma de CRP],presuvigencias[LLAVEPDD],MetasPDD[[#This Row],[ID meta PDD]],presuvigencias[vigencia],"2021")</f>
        <v>1689958915</v>
      </c>
      <c r="AH19" s="120">
        <f>SUMIFS(presuvigencias[Suma de CRP],presuvigencias[LLAVEPDD],MetasPDD[[#This Row],[ID meta PDD]],presuvigencias[vigencia],"2022")</f>
        <v>1757351424</v>
      </c>
      <c r="AI19" s="120">
        <f>SUMIFS(presuvigencias[Suma de CRP],presuvigencias[LLAVEPDD],MetasPDD[[#This Row],[ID meta PDD]],presuvigencias[vigencia],"2023")</f>
        <v>1525955692</v>
      </c>
      <c r="AJ19" s="120">
        <f>VLOOKUP(MetasPDD[[#This Row],[ID meta PDD]],EJECUCIÓN!$AE$13:$AM$18,7,0)</f>
        <v>0</v>
      </c>
      <c r="AK19" s="362">
        <f>+SUM(MetasPDD[[#This Row],[Presupuesto comprometido 2020]:[Presupuesto comprometido 2024]])</f>
        <v>5824443809</v>
      </c>
    </row>
    <row r="20" spans="1:37" s="363" customFormat="1" ht="124.2" x14ac:dyDescent="0.35">
      <c r="A20" s="359" t="str">
        <f>MetasPDD[[#This Row],[ID meta PDD]]&amp;MetasPDD[[#This Row],[No. Indicador]]</f>
        <v>77444244</v>
      </c>
      <c r="B20" s="11" t="str">
        <f t="shared" si="0"/>
        <v>774442</v>
      </c>
      <c r="C20" s="11">
        <f>Proyecto!$B$19</f>
        <v>7744</v>
      </c>
      <c r="D20" s="11" t="str">
        <f>Proyecto!$D$19</f>
        <v>Generación de Oportunidades para el Desarrollo Integral de la Niñez y la Adolescencia de Bogotá</v>
      </c>
      <c r="E20" s="193">
        <v>42</v>
      </c>
      <c r="F20" s="11" t="str">
        <f>(VLOOKUP(MetasPDD[[#This Row],[ID meta PDD]],ESTRATÉGICO!B4:AA111,18,0))</f>
        <v>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v>
      </c>
      <c r="G20" s="193">
        <v>44</v>
      </c>
      <c r="H20" s="193" t="s">
        <v>226</v>
      </c>
      <c r="I20" s="11" t="str">
        <f>VLOOKUP(MetasPDD[[#This Row],[ID meta PDD]],ESTRATÉGICO!B4:AA111,20,0)</f>
        <v>Constante</v>
      </c>
      <c r="J20" s="193" t="s">
        <v>872</v>
      </c>
      <c r="K20" s="193" t="s">
        <v>873</v>
      </c>
      <c r="L20" s="193">
        <v>71000</v>
      </c>
      <c r="M20" s="193">
        <v>71000</v>
      </c>
      <c r="N20" s="193">
        <v>67000</v>
      </c>
      <c r="O20" s="193">
        <v>71000</v>
      </c>
      <c r="P20" s="193">
        <v>71000</v>
      </c>
      <c r="Q20" s="193">
        <v>71000</v>
      </c>
      <c r="R20" s="194">
        <v>71000</v>
      </c>
      <c r="S20" s="194">
        <f>IFERROR(IF(MetasPDD[[#This Row],[Tipo de meta]]="SUMA",SUM(MetasPDD[[#This Row],[Magnitud programada indicador propósito 2020]:[Magnitud programada indicador propósito 2024]]),
IF(MetasPDD[[#This Row],[Tipo de meta]]="Creciente",MAX(MetasPDD[[#This Row],[Magnitud programada indicador propósito 2020]:[Magnitud programada indicador propósito 2024]]),
AVERAGE(MetasPDD[[#This Row],[Magnitud programada indicador propósito 2020]:[Magnitud programada indicador propósito 2024]]))),"...")</f>
        <v>70200</v>
      </c>
      <c r="T20" s="120">
        <f>SUMIFS(presuvigencias[Suma de APROPIACION],presuvigencias[LLAVEPDD],MetasPDD[[#This Row],[ID meta PDD]],presuvigencias[vigencia],"2020")</f>
        <v>67775094938</v>
      </c>
      <c r="U20" s="120">
        <f>SUMIFS(presuvigencias[Suma de APROPIACION],presuvigencias[LLAVEPDD],MetasPDD[[#This Row],[ID meta PDD]],presuvigencias[vigencia],"2021")</f>
        <v>217162900888</v>
      </c>
      <c r="V20" s="120">
        <f>SUMIFS(presuvigencias[Suma de APROPIACION],presuvigencias[LLAVEPDD],MetasPDD[[#This Row],[ID meta PDD]],presuvigencias[vigencia],"2022")</f>
        <v>176985985497</v>
      </c>
      <c r="W20" s="120">
        <f>SUMIFS(presuvigencias[Suma de APROPIACION],presuvigencias[LLAVEPDD],MetasPDD[[#This Row],[ID meta PDD]],presuvigencias[vigencia],"2023")</f>
        <v>193341553259</v>
      </c>
      <c r="X20" s="120">
        <f>VLOOKUP(MetasPDD[[#This Row],[ID meta PDD]],EJECUCIÓN!$AE$13:$AM$18,4,0)</f>
        <v>0</v>
      </c>
      <c r="Y20" s="19">
        <f>+SUM(MetasPDD[[#This Row],[Presupuesto programado 2020]:[Presupuesto programado 2024]])</f>
        <v>655265534582</v>
      </c>
      <c r="Z20" s="193">
        <v>68142</v>
      </c>
      <c r="AA20" s="193">
        <v>74263</v>
      </c>
      <c r="AB20" s="193">
        <v>81365</v>
      </c>
      <c r="AC20" s="364">
        <v>66393</v>
      </c>
      <c r="AD20" s="11">
        <f>VLOOKUP(A20,EJECUCIÓN!$K$32:$R$378,7,0)</f>
        <v>0</v>
      </c>
      <c r="AE20" s="361">
        <f>IFERROR(IF(MetasPDD[[#This Row],[Tipo de meta]]="SUMA",SUM(MetasPDD[[#This Row],[Magnitud ejecutada indicador propósito 2020]:[Magnitud ejecutada indicador propósito 2024]]),
IF(MetasPDD[[#This Row],[Tipo de meta]]="Creciente",MAX(MetasPDD[[#This Row],[Magnitud ejecutada indicador propósito 2020]:[Magnitud ejecutada indicador propósito 2024]]),
AVERAGE(MetasPDD[[#This Row],[Magnitud ejecutada indicador propósito 2020]:[Magnitud ejecutada indicador propósito 2024]]))),"...")</f>
        <v>58032.6</v>
      </c>
      <c r="AF20" s="96">
        <f>SUMIFS(presuvigencias[Suma de CRP],presuvigencias[LLAVEPDD],MetasPDD[[#This Row],[ID meta PDD]],presuvigencias[vigencia],"2020")</f>
        <v>58718622628</v>
      </c>
      <c r="AG20" s="96">
        <f>SUMIFS(presuvigencias[Suma de CRP],presuvigencias[LLAVEPDD],MetasPDD[[#This Row],[ID meta PDD]],presuvigencias[vigencia],"2021")</f>
        <v>204604780288.25</v>
      </c>
      <c r="AH20" s="120">
        <f>SUMIFS(presuvigencias[Suma de CRP],presuvigencias[LLAVEPDD],MetasPDD[[#This Row],[ID meta PDD]],presuvigencias[vigencia],"2022")</f>
        <v>173886281477.98001</v>
      </c>
      <c r="AI20" s="120">
        <f>SUMIFS(presuvigencias[Suma de CRP],presuvigencias[LLAVEPDD],MetasPDD[[#This Row],[ID meta PDD]],presuvigencias[vigencia],"2023")</f>
        <v>190434487060.04999</v>
      </c>
      <c r="AJ20" s="120">
        <f>VLOOKUP(MetasPDD[[#This Row],[ID meta PDD]],EJECUCIÓN!$AE$13:$AM$18,7,0)</f>
        <v>0</v>
      </c>
      <c r="AK20" s="362">
        <f>+SUM(MetasPDD[[#This Row],[Presupuesto comprometido 2020]:[Presupuesto comprometido 2024]])</f>
        <v>627644171454.28003</v>
      </c>
    </row>
    <row r="21" spans="1:37" s="363" customFormat="1" ht="165.6" x14ac:dyDescent="0.35">
      <c r="A21" s="359" t="str">
        <f>MetasPDD[[#This Row],[ID meta PDD]]&amp;MetasPDD[[#This Row],[No. Indicador]]</f>
        <v>77444345</v>
      </c>
      <c r="B21" s="11" t="str">
        <f t="shared" si="0"/>
        <v>774443</v>
      </c>
      <c r="C21" s="11">
        <f>Proyecto!$B$19</f>
        <v>7744</v>
      </c>
      <c r="D21" s="11" t="str">
        <f>Proyecto!$D$19</f>
        <v>Generación de Oportunidades para el Desarrollo Integral de la Niñez y la Adolescencia de Bogotá</v>
      </c>
      <c r="E21" s="193">
        <v>43</v>
      </c>
      <c r="F21" s="11" t="str">
        <f>(VLOOKUP(MetasPDD[[#This Row],[ID meta PDD]],ESTRATÉGICO!B5:AA112,18,0))</f>
        <v>Atender con enfoque diferencial y de manera flexible a 15000 niñas, niños y adolescentes del distrito en riesgo de trabajo infantil y violencias sexuales; y migrantes en riesgo de vulneración de sus derechos</v>
      </c>
      <c r="G21" s="193">
        <v>45</v>
      </c>
      <c r="H21" s="193" t="s">
        <v>234</v>
      </c>
      <c r="I21" s="11" t="str">
        <f>VLOOKUP(MetasPDD[[#This Row],[ID meta PDD]],ESTRATÉGICO!B5:AA112,20,0)</f>
        <v>Creciente</v>
      </c>
      <c r="J21" s="193" t="s">
        <v>874</v>
      </c>
      <c r="K21" s="193" t="s">
        <v>875</v>
      </c>
      <c r="L21" s="193">
        <v>17500</v>
      </c>
      <c r="M21" s="365">
        <v>17500</v>
      </c>
      <c r="N21" s="366">
        <v>5300</v>
      </c>
      <c r="O21" s="366">
        <v>9698</v>
      </c>
      <c r="P21" s="193">
        <v>12300</v>
      </c>
      <c r="Q21" s="366">
        <v>16800</v>
      </c>
      <c r="R21" s="367">
        <v>17500</v>
      </c>
      <c r="S21" s="194">
        <f>IFERROR(IF(MetasPDD[[#This Row],[Tipo de meta]]="SUMA",SUM(MetasPDD[[#This Row],[Magnitud programada indicador propósito 2020]:[Magnitud programada indicador propósito 2024]]),
IF(MetasPDD[[#This Row],[Tipo de meta]]="Creciente",MAX(MetasPDD[[#This Row],[Magnitud programada indicador propósito 2020]:[Magnitud programada indicador propósito 2024]]),
AVERAGE(MetasPDD[[#This Row],[Magnitud programada indicador propósito 2020]:[Magnitud programada indicador propósito 2024]]))),"...")</f>
        <v>17500</v>
      </c>
      <c r="T21" s="120">
        <f>SUMIFS(presuvigencias[Suma de APROPIACION],presuvigencias[LLAVEPDD],MetasPDD[[#This Row],[ID meta PDD]],presuvigencias[vigencia],"2020")</f>
        <v>5999030659</v>
      </c>
      <c r="U21" s="120">
        <f>SUMIFS(presuvigencias[Suma de APROPIACION],presuvigencias[LLAVEPDD],MetasPDD[[#This Row],[ID meta PDD]],presuvigencias[vigencia],"2021")</f>
        <v>12476980969</v>
      </c>
      <c r="V21" s="120">
        <f>SUMIFS(presuvigencias[Suma de APROPIACION],presuvigencias[LLAVEPDD],MetasPDD[[#This Row],[ID meta PDD]],presuvigencias[vigencia],"2022")</f>
        <v>14193363318</v>
      </c>
      <c r="W21" s="120">
        <f>SUMIFS(presuvigencias[Suma de APROPIACION],presuvigencias[LLAVEPDD],MetasPDD[[#This Row],[ID meta PDD]],presuvigencias[vigencia],"2023")</f>
        <v>13527863855</v>
      </c>
      <c r="X21" s="120">
        <f>VLOOKUP(MetasPDD[[#This Row],[ID meta PDD]],EJECUCIÓN!$AE$13:$AM$18,4,0)</f>
        <v>0</v>
      </c>
      <c r="Y21" s="19">
        <f>+SUM(MetasPDD[[#This Row],[Presupuesto programado 2020]:[Presupuesto programado 2024]])</f>
        <v>46197238801</v>
      </c>
      <c r="Z21" s="366">
        <v>6012</v>
      </c>
      <c r="AA21" s="368">
        <v>9698</v>
      </c>
      <c r="AB21" s="368">
        <v>14499</v>
      </c>
      <c r="AC21" s="369">
        <v>20022</v>
      </c>
      <c r="AD21" s="11">
        <f>VLOOKUP(A21,EJECUCIÓN!$K$32:$R$378,7,0)</f>
        <v>0</v>
      </c>
      <c r="AE21" s="370">
        <f>IFERROR(IF(MetasPDD[[#This Row],[Tipo de meta]]="SUMA",SUM(MetasPDD[[#This Row],[Magnitud ejecutada indicador propósito 2020]:[Magnitud ejecutada indicador propósito 2024]]),
IF(MetasPDD[[#This Row],[Tipo de meta]]="Creciente",MAX(MetasPDD[[#This Row],[Magnitud ejecutada indicador propósito 2020]:[Magnitud ejecutada indicador propósito 2024]]),
AVERAGE(MetasPDD[[#This Row],[Magnitud ejecutada indicador propósito 2020]:[Magnitud ejecutada indicador propósito 2024]]))),"...")</f>
        <v>20022</v>
      </c>
      <c r="AF21" s="96">
        <f>SUMIFS(presuvigencias[Suma de CRP],presuvigencias[LLAVEPDD],MetasPDD[[#This Row],[ID meta PDD]],presuvigencias[vigencia],"2020")</f>
        <v>5116936976</v>
      </c>
      <c r="AG21" s="96">
        <f>SUMIFS(presuvigencias[Suma de CRP],presuvigencias[LLAVEPDD],MetasPDD[[#This Row],[ID meta PDD]],presuvigencias[vigencia],"2021")</f>
        <v>12424602444.75</v>
      </c>
      <c r="AH21" s="120">
        <f>SUMIFS(presuvigencias[Suma de CRP],presuvigencias[LLAVEPDD],MetasPDD[[#This Row],[ID meta PDD]],presuvigencias[vigencia],"2022")</f>
        <v>14080219050.02</v>
      </c>
      <c r="AI21" s="120">
        <f>SUMIFS(presuvigencias[Suma de CRP],presuvigencias[LLAVEPDD],MetasPDD[[#This Row],[ID meta PDD]],presuvigencias[vigencia],"2023")</f>
        <v>13353072518.950001</v>
      </c>
      <c r="AJ21" s="120">
        <f>VLOOKUP(MetasPDD[[#This Row],[ID meta PDD]],EJECUCIÓN!$AE$13:$AM$18,7,0)</f>
        <v>0</v>
      </c>
      <c r="AK21" s="362">
        <f>+SUM(MetasPDD[[#This Row],[Presupuesto comprometido 2020]:[Presupuesto comprometido 2024]])</f>
        <v>44974830989.720001</v>
      </c>
    </row>
    <row r="22" spans="1:37" s="363" customFormat="1" ht="82.8" x14ac:dyDescent="0.35">
      <c r="A22" s="359" t="str">
        <f>MetasPDD[[#This Row],[ID meta PDD]]&amp;MetasPDD[[#This Row],[No. Indicador]]</f>
        <v>77444749</v>
      </c>
      <c r="B22" s="11" t="str">
        <f t="shared" si="0"/>
        <v>774447</v>
      </c>
      <c r="C22" s="11">
        <f>Proyecto!$B$19</f>
        <v>7744</v>
      </c>
      <c r="D22" s="11" t="str">
        <f>Proyecto!$D$19</f>
        <v>Generación de Oportunidades para el Desarrollo Integral de la Niñez y la Adolescencia de Bogotá</v>
      </c>
      <c r="E22" s="193">
        <v>47</v>
      </c>
      <c r="F22" s="11" t="str">
        <f>(VLOOKUP(MetasPDD[[#This Row],[ID meta PDD]],ESTRATÉGICO!B6:AA113,18,0))</f>
        <v>Contribuir a la construcción de la memoria, la convivencia y la reconciliación en el marco del acuerdo de paz, a través de la atención de 8300 niños, niñas y adolescentes víctimas y afectados por el conflicto armado, desde un enfoque territorial</v>
      </c>
      <c r="G22" s="193">
        <v>49</v>
      </c>
      <c r="H22" s="193" t="s">
        <v>240</v>
      </c>
      <c r="I22" s="11" t="str">
        <f>VLOOKUP(MetasPDD[[#This Row],[ID meta PDD]],ESTRATÉGICO!B6:AA113,20,0)</f>
        <v>Creciente</v>
      </c>
      <c r="J22" s="193" t="s">
        <v>876</v>
      </c>
      <c r="K22" s="193" t="s">
        <v>873</v>
      </c>
      <c r="L22" s="193">
        <v>8300</v>
      </c>
      <c r="M22" s="365">
        <v>8300</v>
      </c>
      <c r="N22" s="366">
        <v>1000</v>
      </c>
      <c r="O22" s="366">
        <v>2923</v>
      </c>
      <c r="P22" s="193">
        <v>4500</v>
      </c>
      <c r="Q22" s="366">
        <v>7000</v>
      </c>
      <c r="R22" s="367">
        <v>8300</v>
      </c>
      <c r="S22" s="194">
        <f>IFERROR(IF(MetasPDD[[#This Row],[Tipo de meta]]="SUMA",SUM(MetasPDD[[#This Row],[Magnitud programada indicador propósito 2020]:[Magnitud programada indicador propósito 2024]]),
IF(MetasPDD[[#This Row],[Tipo de meta]]="Creciente",MAX(MetasPDD[[#This Row],[Magnitud programada indicador propósito 2020]:[Magnitud programada indicador propósito 2024]]),
AVERAGE(MetasPDD[[#This Row],[Magnitud programada indicador propósito 2020]:[Magnitud programada indicador propósito 2024]]))),"...")</f>
        <v>8300</v>
      </c>
      <c r="T22" s="120">
        <f>SUMIFS(presuvigencias[Suma de APROPIACION],presuvigencias[LLAVEPDD],MetasPDD[[#This Row],[ID meta PDD]],presuvigencias[vigencia],"2020")</f>
        <v>1005541600</v>
      </c>
      <c r="U22" s="120">
        <f>SUMIFS(presuvigencias[Suma de APROPIACION],presuvigencias[LLAVEPDD],MetasPDD[[#This Row],[ID meta PDD]],presuvigencias[vigencia],"2021")</f>
        <v>2362904900</v>
      </c>
      <c r="V22" s="120">
        <f>SUMIFS(presuvigencias[Suma de APROPIACION],presuvigencias[LLAVEPDD],MetasPDD[[#This Row],[ID meta PDD]],presuvigencias[vigencia],"2022")</f>
        <v>2326725245</v>
      </c>
      <c r="W22" s="120">
        <f>SUMIFS(presuvigencias[Suma de APROPIACION],presuvigencias[LLAVEPDD],MetasPDD[[#This Row],[ID meta PDD]],presuvigencias[vigencia],"2023")</f>
        <v>2308634075</v>
      </c>
      <c r="X22" s="120">
        <f>VLOOKUP(MetasPDD[[#This Row],[ID meta PDD]],EJECUCIÓN!$AE$13:$AM$18,4,0)</f>
        <v>0</v>
      </c>
      <c r="Y22" s="19">
        <f>+SUM(MetasPDD[[#This Row],[Presupuesto programado 2020]:[Presupuesto programado 2024]])</f>
        <v>8003805820</v>
      </c>
      <c r="Z22" s="366">
        <v>1133</v>
      </c>
      <c r="AA22" s="368">
        <v>2923</v>
      </c>
      <c r="AB22" s="368">
        <v>4696</v>
      </c>
      <c r="AC22" s="369">
        <v>7475</v>
      </c>
      <c r="AD22" s="11">
        <f>VLOOKUP(A22,EJECUCIÓN!$K$32:$R$378,7,0)</f>
        <v>0</v>
      </c>
      <c r="AE22" s="370">
        <f>IFERROR(IF(MetasPDD[[#This Row],[Tipo de meta]]="SUMA",SUM(MetasPDD[[#This Row],[Magnitud ejecutada indicador propósito 2020]:[Magnitud ejecutada indicador propósito 2024]]),
IF(MetasPDD[[#This Row],[Tipo de meta]]="Creciente",MAX(MetasPDD[[#This Row],[Magnitud ejecutada indicador propósito 2020]:[Magnitud ejecutada indicador propósito 2024]]),
AVERAGE(MetasPDD[[#This Row],[Magnitud ejecutada indicador propósito 2020]:[Magnitud ejecutada indicador propósito 2024]]))),"...")</f>
        <v>7475</v>
      </c>
      <c r="AF22" s="96">
        <f>SUMIFS(presuvigencias[Suma de CRP],presuvigencias[LLAVEPDD],MetasPDD[[#This Row],[ID meta PDD]],presuvigencias[vigencia],"2020")</f>
        <v>897477200</v>
      </c>
      <c r="AG22" s="96">
        <f>SUMIFS(presuvigencias[Suma de CRP],presuvigencias[LLAVEPDD],MetasPDD[[#This Row],[ID meta PDD]],presuvigencias[vigencia],"2021")</f>
        <v>2362904900</v>
      </c>
      <c r="AH22" s="120">
        <f>SUMIFS(presuvigencias[Suma de CRP],presuvigencias[LLAVEPDD],MetasPDD[[#This Row],[ID meta PDD]],presuvigencias[vigencia],"2022")</f>
        <v>2315878707</v>
      </c>
      <c r="AI22" s="120">
        <f>SUMIFS(presuvigencias[Suma de CRP],presuvigencias[LLAVEPDD],MetasPDD[[#This Row],[ID meta PDD]],presuvigencias[vigencia],"2023")</f>
        <v>2287613142</v>
      </c>
      <c r="AJ22" s="120">
        <f>VLOOKUP(MetasPDD[[#This Row],[ID meta PDD]],EJECUCIÓN!$AE$13:$AM$18,7,0)</f>
        <v>0</v>
      </c>
      <c r="AK22" s="362">
        <f>+SUM(MetasPDD[[#This Row],[Presupuesto comprometido 2020]:[Presupuesto comprometido 2024]])</f>
        <v>7863873949</v>
      </c>
    </row>
    <row r="23" spans="1:37" s="9" customFormat="1" ht="113.25" hidden="1" customHeight="1" x14ac:dyDescent="0.35">
      <c r="A23" s="204" t="str">
        <f>MetasPDD[[#This Row],[ID meta PDD]]&amp;MetasPDD[[#This Row],[No. Indicador]]</f>
        <v>7744</v>
      </c>
      <c r="B23" s="11" t="str">
        <f t="shared" si="0"/>
        <v>7744</v>
      </c>
      <c r="C23" s="11">
        <f>Proyecto!$B$19</f>
        <v>7744</v>
      </c>
      <c r="D23" s="11" t="str">
        <f>Proyecto!$D$19</f>
        <v>Generación de Oportunidades para el Desarrollo Integral de la Niñez y la Adolescencia de Bogotá</v>
      </c>
      <c r="E23" s="193"/>
      <c r="F23" s="11" t="e">
        <f>(VLOOKUP(MetasPDD[[#This Row],[ID meta PDD]],ESTRATÉGICO!B7:AA114,18,0))</f>
        <v>#N/A</v>
      </c>
      <c r="G23" s="193"/>
      <c r="H23" s="193"/>
      <c r="I23" s="11" t="e">
        <f>VLOOKUP(MetasPDD[[#This Row],[ID meta PDD]],ESTRATÉGICO!B7:AA114,20,0)</f>
        <v>#N/A</v>
      </c>
      <c r="J23" s="193"/>
      <c r="K23" s="193"/>
      <c r="L23" s="193"/>
      <c r="M23" s="193"/>
      <c r="N23" s="193"/>
      <c r="O23" s="193"/>
      <c r="P23" s="193"/>
      <c r="Q23" s="193"/>
      <c r="R23" s="193"/>
      <c r="S23" s="194"/>
      <c r="T23" s="120">
        <f>SUMIFS(presuvigencias[Suma de APROPIACION],presuvigencias[LLAVEPDD],MetasPDD[[#This Row],[ID meta PDD]],presuvigencias[vigencia],"2020")</f>
        <v>0</v>
      </c>
      <c r="U23" s="120">
        <f>SUMIFS(presuvigencias[Suma de APROPIACION],presuvigencias[LLAVEPDD],MetasPDD[[#This Row],[ID meta PDD]],presuvigencias[vigencia],"2021")</f>
        <v>0</v>
      </c>
      <c r="V23" s="120">
        <f>SUMIFS(presuvigencias[Suma de APROPIACION],presuvigencias[LLAVEPDD],MetasPDD[[#This Row],[ID meta PDD]],presuvigencias[vigencia],"2022")</f>
        <v>0</v>
      </c>
      <c r="W23" s="120">
        <f>SUMIFS(presuvigencias[Suma de APROPIACION],presuvigencias[LLAVEPDD],MetasPDD[[#This Row],[ID meta PDD]],presuvigencias[vigencia],"2023")</f>
        <v>0</v>
      </c>
      <c r="X23" s="120" t="e">
        <f>VLOOKUP(MetasPDD[[#This Row],[ID meta PDD]],EJECUCIÓN!$AE$13:$AM$18,4,0)</f>
        <v>#N/A</v>
      </c>
      <c r="Y23" s="19" t="e">
        <f>+SUM(MetasPDD[[#This Row],[Presupuesto programado 2020]:[Presupuesto programado 2024]])</f>
        <v>#N/A</v>
      </c>
      <c r="Z23" s="196"/>
      <c r="AA23" s="197"/>
      <c r="AB23" s="197"/>
      <c r="AC23" s="197"/>
      <c r="AD23" s="11">
        <f>VLOOKUP(A23,EJECUCIÓN!$K$32:$R$378,7,0)</f>
        <v>0</v>
      </c>
      <c r="AE23" s="136" t="str">
        <f>IFERROR(IF(MetasPDD[[#This Row],[Tipo de meta]]="SUMA",SUM(MetasPDD[[#This Row],[Magnitud ejecutada indicador propósito 2020]:[Magnitud ejecutada indicador propósito 2024]]),
IF(MetasPDD[[#This Row],[Tipo de meta]]="Creciente",MAX(MetasPDD[[#This Row],[Magnitud ejecutada indicador propósito 2020]:[Magnitud ejecutada indicador propósito 2024]]),
AVERAGE(MetasPDD[[#This Row],[Magnitud ejecutada indicador propósito 2020]:[Magnitud ejecutada indicador propósito 2024]]))),"...")</f>
        <v>...</v>
      </c>
      <c r="AF23" s="96">
        <f>SUMIFS(presuvigencias[Suma de CRP],presuvigencias[LLAVEPDD],MetasPDD[[#This Row],[ID meta PDD]],presuvigencias[vigencia],"2020")</f>
        <v>0</v>
      </c>
      <c r="AG23" s="96">
        <f>SUMIFS(presuvigencias[Suma de CRP],presuvigencias[LLAVEPDD],MetasPDD[[#This Row],[ID meta PDD]],presuvigencias[vigencia],"2021")</f>
        <v>0</v>
      </c>
      <c r="AH23" s="120">
        <f>SUMIFS(presuvigencias[Suma de CRP],presuvigencias[LLAVEPDD],MetasPDD[[#This Row],[ID meta PDD]],presuvigencias[vigencia],"2022")</f>
        <v>0</v>
      </c>
      <c r="AI23" s="120">
        <f>SUMIFS(presuvigencias[Suma de CRP],presuvigencias[LLAVEPDD],MetasPDD[[#This Row],[ID meta PDD]],presuvigencias[vigencia],"2023")</f>
        <v>0</v>
      </c>
      <c r="AJ23" s="120" t="e">
        <f>VLOOKUP(MetasPDD[[#This Row],[ID meta PDD]],EJECUCIÓN!$AE$13:$AM$18,7,0)</f>
        <v>#N/A</v>
      </c>
      <c r="AK23" s="19" t="e">
        <f>+SUM(MetasPDD[[#This Row],[Presupuesto comprometido 2020]:[Presupuesto comprometido 2024]])</f>
        <v>#N/A</v>
      </c>
    </row>
    <row r="24" spans="1:37" s="9" customFormat="1" hidden="1" x14ac:dyDescent="0.35">
      <c r="A24" s="204" t="str">
        <f>MetasPDD[[#This Row],[ID meta PDD]]&amp;MetasPDD[[#This Row],[No. Indicador]]</f>
        <v>7744</v>
      </c>
      <c r="B24" s="229" t="str">
        <f t="shared" si="0"/>
        <v>7744</v>
      </c>
      <c r="C24" s="229">
        <f>Proyecto!$B$19</f>
        <v>7744</v>
      </c>
      <c r="D24" s="229" t="str">
        <f>Proyecto!$D$19</f>
        <v>Generación de Oportunidades para el Desarrollo Integral de la Niñez y la Adolescencia de Bogotá</v>
      </c>
      <c r="E24" s="230"/>
      <c r="F24" s="229" t="e">
        <f>(VLOOKUP(MetasPDD[[#This Row],[ID meta PDD]],ESTRATÉGICO!B8:AA115,18,0))</f>
        <v>#N/A</v>
      </c>
      <c r="G24" s="230"/>
      <c r="H24" s="230"/>
      <c r="I24" s="229" t="e">
        <f>VLOOKUP(MetasPDD[[#This Row],[ID meta PDD]],ESTRATÉGICO!B8:AA115,20,0)</f>
        <v>#N/A</v>
      </c>
      <c r="J24" s="230"/>
      <c r="K24" s="230"/>
      <c r="L24" s="230"/>
      <c r="M24" s="236"/>
      <c r="N24" s="237"/>
      <c r="O24" s="237"/>
      <c r="P24" s="237"/>
      <c r="Q24" s="237"/>
      <c r="R24" s="237"/>
      <c r="S24" s="239"/>
      <c r="T24" s="232">
        <f>SUMIFS(presuvigencias[Suma de APROPIACION],presuvigencias[LLAVEPDD],MetasPDD[[#This Row],[ID meta PDD]],presuvigencias[vigencia],"2020")</f>
        <v>0</v>
      </c>
      <c r="U24" s="232">
        <f>SUMIFS(presuvigencias[Suma de APROPIACION],presuvigencias[LLAVEPDD],MetasPDD[[#This Row],[ID meta PDD]],presuvigencias[vigencia],"2021")</f>
        <v>0</v>
      </c>
      <c r="V24" s="232">
        <f>SUMIFS(presuvigencias[Suma de APROPIACION],presuvigencias[LLAVEPDD],MetasPDD[[#This Row],[ID meta PDD]],presuvigencias[vigencia],"2022")</f>
        <v>0</v>
      </c>
      <c r="W24" s="232">
        <f>SUMIFS(presuvigencias[Suma de APROPIACION],presuvigencias[LLAVEPDD],MetasPDD[[#This Row],[ID meta PDD]],presuvigencias[vigencia],"2023")</f>
        <v>0</v>
      </c>
      <c r="X24" s="232" t="e">
        <f>VLOOKUP(MetasPDD[[#This Row],[ID meta PDD]],EJECUCIÓN!$AE$13:$AM$18,4,0)</f>
        <v>#N/A</v>
      </c>
      <c r="Y24" s="235" t="e">
        <f>+SUM(MetasPDD[[#This Row],[Presupuesto programado 2020]:[Presupuesto programado 2024]])</f>
        <v>#N/A</v>
      </c>
      <c r="Z24" s="237"/>
      <c r="AA24" s="236"/>
      <c r="AB24" s="236"/>
      <c r="AC24" s="236"/>
      <c r="AD24" s="229">
        <f>VLOOKUP(A24,EJECUCIÓN!$K$32:$R$378,7,0)</f>
        <v>0</v>
      </c>
      <c r="AE24" s="238" t="str">
        <f>IFERROR(IF(MetasPDD[[#This Row],[Tipo de meta]]="SUMA",SUM(MetasPDD[[#This Row],[Magnitud ejecutada indicador propósito 2020]:[Magnitud ejecutada indicador propósito 2024]]),
IF(MetasPDD[[#This Row],[Tipo de meta]]="Creciente",MAX(MetasPDD[[#This Row],[Magnitud ejecutada indicador propósito 2020]:[Magnitud ejecutada indicador propósito 2024]]),
AVERAGE(MetasPDD[[#This Row],[Magnitud ejecutada indicador propósito 2020]:[Magnitud ejecutada indicador propósito 2024]]))),"...")</f>
        <v>...</v>
      </c>
      <c r="AF24" s="234">
        <f>SUMIFS(presuvigencias[Suma de CRP],presuvigencias[LLAVEPDD],MetasPDD[[#This Row],[ID meta PDD]],presuvigencias[vigencia],"2020")</f>
        <v>0</v>
      </c>
      <c r="AG24" s="234">
        <f>SUMIFS(presuvigencias[Suma de CRP],presuvigencias[LLAVEPDD],MetasPDD[[#This Row],[ID meta PDD]],presuvigencias[vigencia],"2021")</f>
        <v>0</v>
      </c>
      <c r="AH24" s="232">
        <f>SUMIFS(presuvigencias[Suma de CRP],presuvigencias[LLAVEPDD],MetasPDD[[#This Row],[ID meta PDD]],presuvigencias[vigencia],"2022")</f>
        <v>0</v>
      </c>
      <c r="AI24" s="232">
        <f>SUMIFS(presuvigencias[Suma de CRP],presuvigencias[LLAVEPDD],MetasPDD[[#This Row],[ID meta PDD]],presuvigencias[vigencia],"2023")</f>
        <v>0</v>
      </c>
      <c r="AJ24" s="232" t="e">
        <f>VLOOKUP(MetasPDD[[#This Row],[ID meta PDD]],EJECUCIÓN!$AE$13:$AM$18,7,0)</f>
        <v>#N/A</v>
      </c>
      <c r="AK24" s="235" t="e">
        <f>+SUM(MetasPDD[[#This Row],[Presupuesto comprometido 2020]:[Presupuesto comprometido 2024]])</f>
        <v>#N/A</v>
      </c>
    </row>
    <row r="25" spans="1:37" x14ac:dyDescent="0.3">
      <c r="A25" s="49"/>
      <c r="B25" s="20" t="s">
        <v>845</v>
      </c>
      <c r="C25" s="20"/>
      <c r="D25" s="20"/>
      <c r="E25" s="10">
        <f>SUBTOTAL(102,MetasPDD[No. Meta sectorial])</f>
        <v>4</v>
      </c>
      <c r="F25" s="10"/>
      <c r="G25" s="10"/>
      <c r="H25" s="10"/>
      <c r="I25" s="10"/>
      <c r="J25" s="10"/>
      <c r="K25" s="10"/>
      <c r="L25" s="10"/>
      <c r="M25" s="10"/>
      <c r="N25" s="10"/>
      <c r="O25" s="10"/>
      <c r="P25" s="10"/>
      <c r="Q25" s="10"/>
      <c r="R25" s="10"/>
      <c r="S25" s="10"/>
      <c r="T25" s="306">
        <f>SUBTOTAL(109,MetasPDD[Presupuesto programado 2020])</f>
        <v>75857837083</v>
      </c>
      <c r="U25" s="306">
        <f>SUBTOTAL(109,MetasPDD[Presupuesto programado 2021])</f>
        <v>233692745672</v>
      </c>
      <c r="V25" s="306">
        <f>SUBTOTAL(109,MetasPDD[Presupuesto programado 2022])</f>
        <v>195274397318</v>
      </c>
      <c r="W25" s="306">
        <f>SUBTOTAL(109,MetasPDD[Presupuesto programado 2023])</f>
        <v>210704006881</v>
      </c>
      <c r="X25" s="306">
        <f>SUBTOTAL(109,MetasPDD[Presupuesto programado 2024])</f>
        <v>0</v>
      </c>
      <c r="Y25" s="307">
        <f>SUBTOTAL(109,MetasPDD[Total presupuesto programado cuatrienio])</f>
        <v>715528986954</v>
      </c>
      <c r="Z25" s="306"/>
      <c r="AA25" s="306"/>
      <c r="AB25" s="306"/>
      <c r="AC25" s="306"/>
      <c r="AD25" s="306"/>
      <c r="AE25" s="306"/>
      <c r="AF25" s="306">
        <f>SUBTOTAL(109,MetasPDD[Presupuesto comprometido 2020])</f>
        <v>65584214582</v>
      </c>
      <c r="AG25" s="306">
        <f>SUBTOTAL(109,MetasPDD[Presupuesto comprometido 2021])</f>
        <v>221082246548</v>
      </c>
      <c r="AH25" s="306">
        <f>SUBTOTAL(109,MetasPDD[Presupuesto comprometido 2022])</f>
        <v>192039730659</v>
      </c>
      <c r="AI25" s="306">
        <f>SUBTOTAL(109,MetasPDD[Presupuesto comprometido 2023])</f>
        <v>207601128413</v>
      </c>
      <c r="AJ25" s="306">
        <f>SUBTOTAL(109,MetasPDD[Presupuesto comprometido 2024])</f>
        <v>0</v>
      </c>
      <c r="AK25" s="307">
        <f>SUBTOTAL(109,MetasPDD[Total presupuesto comprometido cuatrienio])</f>
        <v>686307320202</v>
      </c>
    </row>
  </sheetData>
  <sheetProtection algorithmName="SHA-512" hashValue="2NzzaAikJvXcpYRVSWYA4l7FfbBAJTN+ybIHV5gJfD4dDZfqwiI/ptAA0pgktQd463Iw3Gz+sGTjMge1dVcjJw==" saltValue="SDu8xa3bvA4rCyuTyQTFUA==" spinCount="100000" sheet="1" formatCells="0" formatColumns="0" formatRows="0" insertRows="0" sort="0" autoFilter="0" pivotTables="0"/>
  <mergeCells count="13">
    <mergeCell ref="B2:C5"/>
    <mergeCell ref="D2:I5"/>
    <mergeCell ref="A13:AK13"/>
    <mergeCell ref="N17:S17"/>
    <mergeCell ref="T17:Y17"/>
    <mergeCell ref="T16:Y16"/>
    <mergeCell ref="AF16:AK16"/>
    <mergeCell ref="AF17:AK17"/>
    <mergeCell ref="Z17:AE17"/>
    <mergeCell ref="J2:K2"/>
    <mergeCell ref="J3:K3"/>
    <mergeCell ref="J4:K4"/>
    <mergeCell ref="J5:K5"/>
  </mergeCells>
  <phoneticPr fontId="14" type="noConversion"/>
  <dataValidations xWindow="1215" yWindow="721" count="8">
    <dataValidation allowBlank="1" showInputMessage="1" showErrorMessage="1" promptTitle="Tota cuatrienio ind propósito" prompt="Tipo de campo: Numerico_x000a_Sumatoria total de las metas de indicador de propósito" sqref="S18 AE18" xr:uid="{00000000-0002-0000-0900-000000000000}"/>
    <dataValidation allowBlank="1" showInputMessage="1" showErrorMessage="1" promptTitle="Meta indicador de propósito" prompt="Tipo de campo: Numerico_x000a_Indique el valor numérico de la meta a alcanzar, para el año 1" sqref="N18:R18 Z18:AD18" xr:uid="{00000000-0002-0000-0900-000001000000}"/>
    <dataValidation allowBlank="1" showInputMessage="1" showErrorMessage="1" promptTitle="TIPO INDICADOR" prompt="Relacione el tipo de indicador tal y como se aparece en el sistema SEGPLAN." sqref="I18" xr:uid="{00000000-0002-0000-0900-000002000000}"/>
    <dataValidation errorStyle="warning" allowBlank="1" showInputMessage="1" showErrorMessage="1" promptTitle="Tipo Indicador" prompt="Elija el tipo de indicador de la meta sectorial." sqref="I19:I24" xr:uid="{00000000-0002-0000-0900-000003000000}"/>
    <dataValidation errorStyle="warning" allowBlank="1" showInputMessage="1" showErrorMessage="1" prompt="Relacione las metas sectoriales a las que da cumplimiento el pryecto de inversión." sqref="F19:H24" xr:uid="{00000000-0002-0000-0900-000004000000}"/>
    <dataValidation type="list" errorStyle="warning" operator="lessThan" allowBlank="1" showInputMessage="1" showErrorMessage="1" promptTitle="Meta Sectorial" prompt="Elija la meta sectorial del proyecto de inversión." sqref="E19:E24" xr:uid="{00000000-0002-0000-0900-000005000000}">
      <formula1>Metasect</formula1>
    </dataValidation>
    <dataValidation allowBlank="1" showInputMessage="1" showErrorMessage="1" prompt="Relacione las magnitudes de la meta sectorial del proyecto de inversión." sqref="S23:S24" xr:uid="{00000000-0002-0000-0900-000006000000}"/>
    <dataValidation errorStyle="warning" allowBlank="1" showInputMessage="1" showErrorMessage="1" prompt="Relacione las magnitudes ejecutadas de la meta sectorial del proyecto de inversión." sqref="Z19:AD24" xr:uid="{00000000-0002-0000-0900-000007000000}"/>
  </dataValidations>
  <pageMargins left="0.7" right="0.7" top="0.75" bottom="0.75" header="0.3" footer="0.3"/>
  <pageSetup paperSize="9" orientation="portrait" r:id="rId1"/>
  <ignoredErrors>
    <ignoredError sqref="D23:D24 D19" evalError="1"/>
  </ignoredError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W34"/>
  <sheetViews>
    <sheetView showGridLines="0" topLeftCell="I13" zoomScale="115" zoomScaleNormal="115" workbookViewId="0">
      <selection activeCell="U31" sqref="U31"/>
    </sheetView>
  </sheetViews>
  <sheetFormatPr baseColWidth="10" defaultColWidth="11.54296875" defaultRowHeight="13.8" x14ac:dyDescent="0.3"/>
  <cols>
    <col min="1" max="1" width="7.1796875" style="183" customWidth="1"/>
    <col min="2" max="2" width="11.81640625" style="7" customWidth="1"/>
    <col min="3" max="3" width="14.1796875" style="7" customWidth="1"/>
    <col min="4" max="4" width="18.81640625" style="7" customWidth="1"/>
    <col min="5" max="5" width="9.1796875" style="7" customWidth="1"/>
    <col min="6" max="6" width="27.81640625" style="7" customWidth="1"/>
    <col min="7" max="7" width="18.453125" style="7" customWidth="1"/>
    <col min="8" max="8" width="19.81640625" style="7" customWidth="1"/>
    <col min="9" max="9" width="19.36328125" style="7" customWidth="1"/>
    <col min="10" max="11" width="12.1796875" style="21" customWidth="1"/>
    <col min="12" max="21" width="10.81640625" style="7" customWidth="1"/>
    <col min="22" max="22" width="14.1796875" style="7" bestFit="1" customWidth="1"/>
    <col min="23" max="23" width="10.81640625" style="7" customWidth="1"/>
    <col min="24" max="16384" width="11.54296875" style="7"/>
  </cols>
  <sheetData>
    <row r="1" spans="1:23" x14ac:dyDescent="0.3">
      <c r="A1" s="49"/>
      <c r="B1" s="49"/>
      <c r="C1" s="49"/>
      <c r="D1" s="49"/>
      <c r="E1" s="49"/>
      <c r="F1" s="49"/>
      <c r="G1" s="49"/>
      <c r="H1" s="49"/>
      <c r="I1" s="49"/>
      <c r="J1" s="121"/>
      <c r="K1" s="121"/>
      <c r="L1" s="49"/>
      <c r="M1" s="49"/>
      <c r="N1" s="49"/>
      <c r="O1" s="49"/>
      <c r="P1" s="49"/>
      <c r="Q1" s="49"/>
      <c r="R1" s="49"/>
      <c r="S1" s="49"/>
      <c r="T1" s="49"/>
      <c r="U1" s="49"/>
      <c r="V1" s="49"/>
      <c r="W1" s="49"/>
    </row>
    <row r="2" spans="1:23" s="39" customFormat="1" ht="24" customHeight="1" x14ac:dyDescent="0.35">
      <c r="B2" s="406"/>
      <c r="C2" s="406"/>
      <c r="D2" s="521" t="s">
        <v>683</v>
      </c>
      <c r="E2" s="521"/>
      <c r="F2" s="521"/>
      <c r="G2" s="521"/>
      <c r="H2" s="522"/>
      <c r="I2" s="510" t="s">
        <v>684</v>
      </c>
      <c r="J2" s="510"/>
      <c r="K2"/>
      <c r="M2"/>
      <c r="N2"/>
      <c r="O2"/>
      <c r="P2"/>
      <c r="Q2"/>
    </row>
    <row r="3" spans="1:23" s="39" customFormat="1" ht="20.399999999999999" x14ac:dyDescent="0.35">
      <c r="B3" s="406"/>
      <c r="C3" s="406"/>
      <c r="D3" s="523"/>
      <c r="E3" s="523"/>
      <c r="F3" s="523"/>
      <c r="G3" s="523"/>
      <c r="H3" s="524"/>
      <c r="I3" s="510" t="s">
        <v>685</v>
      </c>
      <c r="J3" s="510"/>
      <c r="K3"/>
      <c r="M3"/>
      <c r="N3"/>
      <c r="O3"/>
      <c r="P3"/>
      <c r="Q3"/>
    </row>
    <row r="4" spans="1:23" s="39" customFormat="1" ht="20.25" customHeight="1" x14ac:dyDescent="0.35">
      <c r="B4" s="406"/>
      <c r="C4" s="406"/>
      <c r="D4" s="523"/>
      <c r="E4" s="523"/>
      <c r="F4" s="523"/>
      <c r="G4" s="523"/>
      <c r="H4" s="524"/>
      <c r="I4" s="511" t="s">
        <v>686</v>
      </c>
      <c r="J4" s="511"/>
      <c r="K4"/>
      <c r="M4"/>
      <c r="N4"/>
      <c r="O4"/>
      <c r="P4"/>
      <c r="Q4"/>
    </row>
    <row r="5" spans="1:23" s="39" customFormat="1" ht="20.399999999999999" x14ac:dyDescent="0.35">
      <c r="B5" s="406"/>
      <c r="C5" s="406"/>
      <c r="D5" s="525"/>
      <c r="E5" s="525"/>
      <c r="F5" s="525"/>
      <c r="G5" s="525"/>
      <c r="H5" s="526"/>
      <c r="I5" s="510" t="s">
        <v>877</v>
      </c>
      <c r="J5" s="510"/>
      <c r="K5"/>
      <c r="M5"/>
      <c r="N5"/>
      <c r="O5"/>
      <c r="P5"/>
      <c r="Q5"/>
    </row>
    <row r="6" spans="1:23" x14ac:dyDescent="0.3">
      <c r="A6" s="49"/>
      <c r="B6" s="49"/>
      <c r="C6" s="49"/>
      <c r="D6" s="49"/>
      <c r="E6" s="49"/>
      <c r="F6" s="49"/>
      <c r="G6" s="49"/>
      <c r="H6" s="49"/>
      <c r="I6" s="49"/>
      <c r="J6" s="121"/>
      <c r="K6" s="121"/>
      <c r="L6" s="49"/>
      <c r="M6" s="49"/>
      <c r="N6" s="49"/>
      <c r="O6" s="49"/>
      <c r="P6" s="49"/>
      <c r="Q6" s="49"/>
      <c r="R6" s="49"/>
      <c r="S6" s="49"/>
      <c r="T6" s="49"/>
      <c r="U6" s="49"/>
      <c r="V6" s="49"/>
      <c r="W6" s="49"/>
    </row>
    <row r="7" spans="1:23" x14ac:dyDescent="0.3">
      <c r="A7" s="49"/>
      <c r="B7" s="49"/>
      <c r="C7" s="49"/>
      <c r="D7" s="49"/>
      <c r="E7" s="49"/>
      <c r="F7" s="49"/>
      <c r="G7" s="49"/>
      <c r="H7" s="49"/>
      <c r="I7" s="49"/>
      <c r="J7" s="121"/>
      <c r="K7" s="121"/>
      <c r="L7" s="49"/>
      <c r="M7" s="49"/>
      <c r="N7" s="49"/>
      <c r="O7" s="49"/>
      <c r="P7" s="49"/>
      <c r="Q7" s="49"/>
      <c r="R7" s="49"/>
      <c r="S7" s="49"/>
      <c r="T7" s="49"/>
      <c r="U7" s="49"/>
      <c r="V7" s="49"/>
      <c r="W7" s="49"/>
    </row>
    <row r="8" spans="1:23" x14ac:dyDescent="0.3">
      <c r="A8" s="49"/>
      <c r="B8" s="49"/>
      <c r="C8" s="49"/>
      <c r="D8" s="49"/>
      <c r="E8" s="49"/>
      <c r="F8" s="49"/>
      <c r="G8" s="49"/>
      <c r="H8" s="49"/>
      <c r="I8" s="49"/>
      <c r="J8" s="121"/>
      <c r="K8" s="121"/>
      <c r="L8" s="49"/>
      <c r="M8" s="49"/>
      <c r="N8" s="49"/>
      <c r="O8" s="49"/>
      <c r="P8" s="49"/>
      <c r="Q8" s="49"/>
      <c r="R8" s="49"/>
      <c r="S8" s="49"/>
      <c r="T8" s="49"/>
      <c r="U8" s="49"/>
      <c r="V8" s="49"/>
      <c r="W8" s="49"/>
    </row>
    <row r="9" spans="1:23" x14ac:dyDescent="0.3">
      <c r="A9" s="49"/>
      <c r="B9" s="49"/>
      <c r="C9" s="49"/>
      <c r="D9" s="49"/>
      <c r="E9" s="49"/>
      <c r="F9" s="49"/>
      <c r="G9" s="49"/>
      <c r="H9" s="49"/>
      <c r="I9" s="49"/>
      <c r="J9" s="121"/>
      <c r="K9" s="121"/>
      <c r="L9" s="49"/>
      <c r="M9" s="49"/>
      <c r="N9" s="49"/>
      <c r="O9" s="49"/>
      <c r="P9" s="49"/>
      <c r="Q9" s="49"/>
      <c r="R9" s="49"/>
      <c r="S9" s="49"/>
      <c r="T9" s="49"/>
      <c r="U9" s="49"/>
      <c r="V9" s="49"/>
      <c r="W9" s="49"/>
    </row>
    <row r="10" spans="1:23" x14ac:dyDescent="0.3">
      <c r="A10" s="49"/>
      <c r="B10" s="49"/>
      <c r="C10" s="49"/>
      <c r="D10" s="49"/>
      <c r="E10" s="49"/>
      <c r="F10" s="49"/>
      <c r="G10" s="49"/>
      <c r="H10" s="49"/>
      <c r="I10" s="49"/>
      <c r="J10" s="121"/>
      <c r="K10" s="121"/>
      <c r="L10" s="49"/>
      <c r="M10" s="49"/>
      <c r="N10" s="49"/>
      <c r="O10" s="49"/>
      <c r="P10" s="49"/>
      <c r="Q10" s="49"/>
      <c r="R10" s="49"/>
      <c r="S10" s="49"/>
      <c r="T10" s="49"/>
      <c r="U10" s="49"/>
      <c r="V10" s="49"/>
      <c r="W10" s="49"/>
    </row>
    <row r="11" spans="1:23" x14ac:dyDescent="0.3">
      <c r="A11" s="49"/>
      <c r="B11" s="49"/>
      <c r="C11" s="49"/>
      <c r="D11" s="49"/>
      <c r="E11" s="49"/>
      <c r="F11" s="49"/>
      <c r="G11" s="49"/>
      <c r="H11" s="49"/>
      <c r="I11" s="49"/>
      <c r="J11" s="121"/>
      <c r="K11" s="121"/>
      <c r="L11" s="49"/>
      <c r="M11" s="49"/>
      <c r="N11" s="49"/>
      <c r="O11" s="49"/>
      <c r="P11" s="49"/>
      <c r="Q11" s="49"/>
      <c r="R11" s="49"/>
      <c r="S11" s="49"/>
      <c r="T11" s="49"/>
      <c r="U11" s="49"/>
      <c r="V11" s="49"/>
      <c r="W11" s="49"/>
    </row>
    <row r="12" spans="1:23" ht="14.4" thickBot="1" x14ac:dyDescent="0.35">
      <c r="A12" s="49"/>
      <c r="B12" s="49"/>
      <c r="C12" s="49"/>
      <c r="D12" s="49"/>
      <c r="E12" s="49"/>
      <c r="F12" s="49"/>
      <c r="G12" s="49"/>
      <c r="H12" s="49"/>
      <c r="I12" s="49"/>
      <c r="J12" s="121"/>
      <c r="K12" s="121"/>
      <c r="L12" s="49"/>
      <c r="M12" s="49"/>
      <c r="N12" s="49"/>
      <c r="O12" s="49"/>
      <c r="P12" s="49"/>
      <c r="Q12" s="49"/>
      <c r="R12" s="49"/>
      <c r="S12" s="49"/>
      <c r="T12" s="49"/>
      <c r="U12" s="49"/>
      <c r="V12" s="49"/>
      <c r="W12" s="49"/>
    </row>
    <row r="13" spans="1:23" s="14" customFormat="1" ht="25.8" thickBot="1" x14ac:dyDescent="0.5">
      <c r="A13" s="527" t="s">
        <v>878</v>
      </c>
      <c r="B13" s="528"/>
      <c r="C13" s="528"/>
      <c r="D13" s="528"/>
      <c r="E13" s="528"/>
      <c r="F13" s="528"/>
      <c r="G13" s="528"/>
      <c r="H13" s="528"/>
      <c r="I13" s="528"/>
      <c r="J13" s="528"/>
      <c r="K13" s="528"/>
      <c r="L13" s="528"/>
      <c r="M13" s="528"/>
      <c r="N13" s="528"/>
      <c r="O13" s="528"/>
      <c r="P13" s="528"/>
      <c r="Q13" s="528"/>
      <c r="R13" s="528"/>
      <c r="S13" s="528"/>
      <c r="T13" s="528"/>
      <c r="U13" s="528"/>
      <c r="V13" s="528"/>
      <c r="W13" s="528"/>
    </row>
    <row r="14" spans="1:23" x14ac:dyDescent="0.3">
      <c r="A14" s="49"/>
      <c r="B14" s="49"/>
      <c r="C14" s="49"/>
      <c r="D14" s="49"/>
      <c r="E14" s="49"/>
      <c r="F14" s="49"/>
      <c r="G14" s="49"/>
      <c r="H14" s="49"/>
      <c r="I14" s="49"/>
      <c r="J14" s="121"/>
      <c r="K14" s="121"/>
      <c r="L14" s="49"/>
      <c r="M14" s="49"/>
      <c r="N14" s="49"/>
      <c r="O14" s="49"/>
      <c r="P14" s="49"/>
      <c r="Q14" s="49"/>
      <c r="R14" s="49"/>
      <c r="S14" s="49"/>
      <c r="T14" s="49"/>
      <c r="U14" s="49"/>
      <c r="V14" s="49"/>
      <c r="W14" s="49"/>
    </row>
    <row r="15" spans="1:23" x14ac:dyDescent="0.3">
      <c r="A15" s="49"/>
      <c r="B15" s="49"/>
      <c r="C15" s="49"/>
      <c r="D15" s="49"/>
      <c r="E15" s="49"/>
      <c r="F15" s="49"/>
      <c r="G15" s="49"/>
      <c r="H15" s="49"/>
      <c r="I15" s="49"/>
      <c r="J15" s="121"/>
      <c r="K15" s="121"/>
      <c r="L15" s="49"/>
      <c r="M15" s="49"/>
      <c r="N15" s="49"/>
      <c r="O15" s="49"/>
      <c r="P15" s="49"/>
      <c r="Q15" s="49"/>
      <c r="R15" s="49"/>
      <c r="S15" s="49"/>
      <c r="T15" s="49"/>
      <c r="U15" s="49"/>
      <c r="V15" s="49"/>
      <c r="W15" s="49"/>
    </row>
    <row r="16" spans="1:23" ht="18" x14ac:dyDescent="0.35">
      <c r="A16" s="49"/>
      <c r="B16" s="49"/>
      <c r="C16" s="49"/>
      <c r="D16" s="49"/>
      <c r="E16" s="49"/>
      <c r="F16" s="49"/>
      <c r="G16" s="49"/>
      <c r="H16" s="49"/>
      <c r="I16" s="49"/>
      <c r="J16" s="121"/>
      <c r="K16" s="121"/>
      <c r="L16" s="529" t="s">
        <v>879</v>
      </c>
      <c r="M16" s="529"/>
      <c r="N16" s="529"/>
      <c r="O16" s="529"/>
      <c r="P16" s="529"/>
      <c r="Q16" s="529"/>
      <c r="R16" s="530" t="s">
        <v>880</v>
      </c>
      <c r="S16" s="530"/>
      <c r="T16" s="530"/>
      <c r="U16" s="530"/>
      <c r="V16" s="530"/>
      <c r="W16" s="530"/>
    </row>
    <row r="17" spans="1:23" ht="82.8" x14ac:dyDescent="0.3">
      <c r="A17" s="49"/>
      <c r="B17" s="10" t="s">
        <v>881</v>
      </c>
      <c r="C17" s="10" t="s">
        <v>788</v>
      </c>
      <c r="D17" s="10" t="s">
        <v>21</v>
      </c>
      <c r="E17" s="10" t="s">
        <v>27</v>
      </c>
      <c r="F17" s="10" t="s">
        <v>28</v>
      </c>
      <c r="G17" s="10" t="s">
        <v>37</v>
      </c>
      <c r="H17" s="10" t="s">
        <v>38</v>
      </c>
      <c r="I17" s="10" t="s">
        <v>39</v>
      </c>
      <c r="J17" s="10" t="s">
        <v>40</v>
      </c>
      <c r="K17" s="10" t="s">
        <v>882</v>
      </c>
      <c r="L17" s="10" t="s">
        <v>883</v>
      </c>
      <c r="M17" s="10" t="s">
        <v>884</v>
      </c>
      <c r="N17" s="10" t="s">
        <v>885</v>
      </c>
      <c r="O17" s="10" t="s">
        <v>886</v>
      </c>
      <c r="P17" s="10" t="s">
        <v>887</v>
      </c>
      <c r="Q17" s="10" t="s">
        <v>888</v>
      </c>
      <c r="R17" s="10" t="s">
        <v>889</v>
      </c>
      <c r="S17" s="10" t="s">
        <v>890</v>
      </c>
      <c r="T17" s="10" t="s">
        <v>891</v>
      </c>
      <c r="U17" s="10" t="s">
        <v>892</v>
      </c>
      <c r="V17" s="10" t="s">
        <v>893</v>
      </c>
      <c r="W17" s="10" t="s">
        <v>894</v>
      </c>
    </row>
    <row r="18" spans="1:23" s="149" customFormat="1" x14ac:dyDescent="0.35">
      <c r="A18" s="242"/>
      <c r="B18" s="229" t="str">
        <f>ProductosMGA[[#This Row],[Código proyecto]]&amp;ProductosMGA[[#This Row],[Código producto MGA]]</f>
        <v>77444102035</v>
      </c>
      <c r="C18" s="229">
        <f>Proyecto!$B$19</f>
        <v>7744</v>
      </c>
      <c r="D18" s="243" t="str">
        <f>Proyecto!$D$19</f>
        <v>Generación de Oportunidades para el Desarrollo Integral de la Niñez y la Adolescencia de Bogotá</v>
      </c>
      <c r="E18" s="229">
        <v>1</v>
      </c>
      <c r="F18" s="243" t="str">
        <f>VLOOKUP(ProductosMGA[[#This Row],[ID Producto]],ESTRATÉGICO!A3:AA110,13,0)</f>
        <v xml:space="preserve">Movilizar los diferentes sectores distritales, nacionales, actores sociales y políticos, y las familias, para generar la actualización de la política pública de infancia y adolescencia con enfoque diferencial y de género, acorde a las realidades territoriales, económicas y sociales de las niñas, niños y adolescentes, teniendo en cuenta los impactos de la emergencia social y sanitaria sobre esta población. 
</v>
      </c>
      <c r="G18" s="231">
        <v>4102035</v>
      </c>
      <c r="H18" s="243" t="str">
        <f>VLOOKUP(ProductosMGA[[#This Row],[ID Producto]],ESTRATÉGICO!A3:AA110,23,0)</f>
        <v>Documentos de lineamientos técnicos</v>
      </c>
      <c r="I18" s="243" t="str">
        <f>VLOOKUP(ProductosMGA[[#This Row],[ID Producto]],ESTRATÉGICO!A3:AA110,24,0)</f>
        <v>Documentos de lineamientos técnicos realizados</v>
      </c>
      <c r="J18" s="243" t="str">
        <f>VLOOKUP(ProductosMGA[[#This Row],[ID Producto]],ESTRATÉGICO!A3:AA110,25,0)</f>
        <v>Número</v>
      </c>
      <c r="K18" s="230" t="s">
        <v>843</v>
      </c>
      <c r="L18" s="230">
        <v>1</v>
      </c>
      <c r="M18" s="230">
        <v>1</v>
      </c>
      <c r="N18" s="230">
        <v>1</v>
      </c>
      <c r="O18" s="230">
        <v>1</v>
      </c>
      <c r="P18" s="231">
        <v>1</v>
      </c>
      <c r="Q18" s="244">
        <f>IF(ProductosMGA[[#This Row],[¿Es acumulativo?]]="SI",SUM(ProductosMGA[[#This Row],[Magnitud programada indicador de producto 2020]:[Magnitud programada indicador de producto 2024]]),MAX(ProductosMGA[[#This Row],[Magnitud programada indicador de producto 2020]:[Magnitud programada indicador de producto 2024]]))</f>
        <v>5</v>
      </c>
      <c r="R18" s="241">
        <v>1</v>
      </c>
      <c r="S18" s="241">
        <v>1</v>
      </c>
      <c r="T18" s="241">
        <v>1</v>
      </c>
      <c r="U18" s="231">
        <v>0.82089999999999996</v>
      </c>
      <c r="V18" s="229">
        <f>VLOOKUP(ProductosMGA[[#This Row],[Código producto MGA]],EJECUCIÓN!$B$47:$K$53,10,0)</f>
        <v>0</v>
      </c>
      <c r="W18" s="244">
        <f>IF(ProductosMGA[[#This Row],[¿Es acumulativo?]]="SI",SUM(ProductosMGA[[#This Row],[Magnitud ejecutada indicador de producto 2020]:[Magnitud ejecutada indicador de producto 2024]]),MAX(ProductosMGA[[#This Row],[Magnitud ejecutada indicador de producto 2020]:[Magnitud ejecutada indicador de producto 2024]]))</f>
        <v>3.8209</v>
      </c>
    </row>
    <row r="19" spans="1:23" s="149" customFormat="1" x14ac:dyDescent="0.35">
      <c r="A19" s="242"/>
      <c r="B19" s="229" t="str">
        <f>ProductosMGA[[#This Row],[Código proyecto]]&amp;ProductosMGA[[#This Row],[Código producto MGA]]</f>
        <v>77444102001</v>
      </c>
      <c r="C19" s="229">
        <f>Proyecto!$B$19</f>
        <v>7744</v>
      </c>
      <c r="D19" s="243" t="str">
        <f>Proyecto!$D$19</f>
        <v>Generación de Oportunidades para el Desarrollo Integral de la Niñez y la Adolescencia de Bogotá</v>
      </c>
      <c r="E19" s="229">
        <v>2</v>
      </c>
      <c r="F19" s="243" t="str">
        <f>VLOOKUP(ProductosMGA[[#This Row],[ID Producto]],ESTRATÉGICO!A4:AA111,13,0)</f>
        <v>Generar con enfoque diferencial y de género  programas, servicios o estrategias con ambientes protectores y enriquecidos que promuevan el desarrollo integral y el goce efectivo de derechos de la primera infancia desde la gestación, en coherencia con los preceptos de la educación inicial, involucrando a las familias, la comunidad y las redes de apoyo.</v>
      </c>
      <c r="G19" s="231" t="s">
        <v>895</v>
      </c>
      <c r="H19" s="243" t="str">
        <f>VLOOKUP(ProductosMGA[[#This Row],[ID Producto]],ESTRATÉGICO!A4:AA111,23,0)</f>
        <v>Servicio de atención integral a la primera infancia</v>
      </c>
      <c r="I19" s="243" t="str">
        <f>VLOOKUP(ProductosMGA[[#This Row],[ID Producto]],ESTRATÉGICO!A4:AA111,24,0)</f>
        <v xml:space="preserve">Niños y niñas atendidos en Servicio integrales </v>
      </c>
      <c r="J19" s="243" t="str">
        <f>VLOOKUP(ProductosMGA[[#This Row],[ID Producto]],ESTRATÉGICO!A4:AA111,25,0)</f>
        <v>Número</v>
      </c>
      <c r="K19" s="230" t="s">
        <v>844</v>
      </c>
      <c r="L19" s="230">
        <v>67000</v>
      </c>
      <c r="M19" s="230">
        <v>71000</v>
      </c>
      <c r="N19" s="230">
        <v>71000</v>
      </c>
      <c r="O19" s="230">
        <v>71000</v>
      </c>
      <c r="P19" s="231">
        <v>71000</v>
      </c>
      <c r="Q19" s="244">
        <f>IF(ProductosMGA[[#This Row],[¿Es acumulativo?]]="SI",SUM(ProductosMGA[[#This Row],[Magnitud programada indicador de producto 2020]:[Magnitud programada indicador de producto 2024]]),MAX(ProductosMGA[[#This Row],[Magnitud programada indicador de producto 2020]:[Magnitud programada indicador de producto 2024]]))</f>
        <v>71000</v>
      </c>
      <c r="R19" s="233">
        <v>68142</v>
      </c>
      <c r="S19" s="230">
        <v>74263</v>
      </c>
      <c r="T19" s="233">
        <v>81365</v>
      </c>
      <c r="U19" s="231">
        <v>66393</v>
      </c>
      <c r="V19" s="229">
        <f>VLOOKUP(ProductosMGA[[#This Row],[Código producto MGA]],EJECUCIÓN!$B$47:$K$53,10,0)</f>
        <v>0</v>
      </c>
      <c r="W19" s="244">
        <f>IF(ProductosMGA[[#This Row],[¿Es acumulativo?]]="SI",SUM(ProductosMGA[[#This Row],[Magnitud ejecutada indicador de producto 2020]:[Magnitud ejecutada indicador de producto 2024]]),MAX(ProductosMGA[[#This Row],[Magnitud ejecutada indicador de producto 2020]:[Magnitud ejecutada indicador de producto 2024]]))</f>
        <v>81365</v>
      </c>
    </row>
    <row r="20" spans="1:23" s="149" customFormat="1" x14ac:dyDescent="0.35">
      <c r="A20" s="242"/>
      <c r="B20" s="229" t="str">
        <f>ProductosMGA[[#This Row],[Código proyecto]]&amp;ProductosMGA[[#This Row],[Código producto MGA]]</f>
        <v>77444102045</v>
      </c>
      <c r="C20" s="229">
        <f>Proyecto!$B$19</f>
        <v>7744</v>
      </c>
      <c r="D20" s="243" t="str">
        <f>Proyecto!$D$19</f>
        <v>Generación de Oportunidades para el Desarrollo Integral de la Niñez y la Adolescencia de Bogotá</v>
      </c>
      <c r="E20" s="229">
        <v>3</v>
      </c>
      <c r="F20" s="243" t="str">
        <f>VLOOKUP(ProductosMGA[[#This Row],[ID Producto]],ESTRATÉGICO!A5:AA112,13,0)</f>
        <v>Brindar una atención con enfoque diferencial y de género pertinente a niñas, niños y adolescentes que han estado o presentan riesgo de vulneraciones como el trabajo infantil o violencias sexuales incluyendo acciones para la población de grupos étnicos, víctimas y afectados por el conflicto armado y migrante vulnerable.</v>
      </c>
      <c r="G20" s="231">
        <v>4102045</v>
      </c>
      <c r="H20" s="243" t="str">
        <f>VLOOKUP(ProductosMGA[[#This Row],[ID Producto]],ESTRATÉGICO!A5:AA112,23,0)</f>
        <v>Servicios de educación informal a niños, niñas, adolescentes y jóvenes para el reconocimiento de sus derechos</v>
      </c>
      <c r="I20" s="243" t="str">
        <f>VLOOKUP(ProductosMGA[[#This Row],[ID Producto]],ESTRATÉGICO!A5:AA112,24,0)</f>
        <v>Personas capacitadas</v>
      </c>
      <c r="J20" s="243" t="str">
        <f>VLOOKUP(ProductosMGA[[#This Row],[ID Producto]],ESTRATÉGICO!A5:AA112,25,0)</f>
        <v>Número</v>
      </c>
      <c r="K20" s="230" t="s">
        <v>844</v>
      </c>
      <c r="L20" s="230">
        <v>5300</v>
      </c>
      <c r="M20" s="230">
        <v>9698</v>
      </c>
      <c r="N20" s="230">
        <v>14499</v>
      </c>
      <c r="O20" s="230">
        <v>2022</v>
      </c>
      <c r="P20" s="231">
        <v>21200</v>
      </c>
      <c r="Q20" s="244">
        <f>IF(ProductosMGA[[#This Row],[¿Es acumulativo?]]="SI",SUM(ProductosMGA[[#This Row],[Magnitud programada indicador de producto 2020]:[Magnitud programada indicador de producto 2024]]),MAX(ProductosMGA[[#This Row],[Magnitud programada indicador de producto 2020]:[Magnitud programada indicador de producto 2024]]))</f>
        <v>21200</v>
      </c>
      <c r="R20" s="233">
        <v>6012</v>
      </c>
      <c r="S20" s="230">
        <v>9698</v>
      </c>
      <c r="T20" s="233">
        <v>14499</v>
      </c>
      <c r="U20" s="300">
        <v>20022</v>
      </c>
      <c r="V20" s="229">
        <f>VLOOKUP(ProductosMGA[[#This Row],[Código producto MGA]],EJECUCIÓN!$B$47:$K$53,10,0)</f>
        <v>0</v>
      </c>
      <c r="W20" s="244">
        <f>IF(ProductosMGA[[#This Row],[¿Es acumulativo?]]="SI",SUM(ProductosMGA[[#This Row],[Magnitud ejecutada indicador de producto 2020]:[Magnitud ejecutada indicador de producto 2024]]),MAX(ProductosMGA[[#This Row],[Magnitud ejecutada indicador de producto 2020]:[Magnitud ejecutada indicador de producto 2024]]))</f>
        <v>20022</v>
      </c>
    </row>
    <row r="21" spans="1:23" s="149" customFormat="1" x14ac:dyDescent="0.35">
      <c r="A21" s="242"/>
      <c r="B21" s="229" t="str">
        <f>ProductosMGA[[#This Row],[Código proyecto]]&amp;ProductosMGA[[#This Row],[Código producto MGA]]</f>
        <v>77444102038</v>
      </c>
      <c r="C21" s="229">
        <f>Proyecto!$B$19</f>
        <v>7744</v>
      </c>
      <c r="D21" s="243" t="str">
        <f>Proyecto!$D$19</f>
        <v>Generación de Oportunidades para el Desarrollo Integral de la Niñez y la Adolescencia de Bogotá</v>
      </c>
      <c r="E21" s="229">
        <v>4</v>
      </c>
      <c r="F21" s="243" t="str">
        <f>VLOOKUP(ProductosMGA[[#This Row],[ID Producto]],ESTRATÉGICO!A6:AA113,13,0)</f>
        <v>Construir con enfoque diferencial y de género procesos territoriales para la atención de las niñas, niños y adolescentes víctimas y afectados por el conflicto, contribuyendo a la memoria, la verdad, la convivencia y la reconciliación en el marco del acuerdo de paz.</v>
      </c>
      <c r="G21" s="231">
        <v>4102038</v>
      </c>
      <c r="H21" s="243" t="str">
        <f>VLOOKUP(ProductosMGA[[#This Row],[ID Producto]],ESTRATÉGICO!A6:AA113,23,0)</f>
        <v>Servicio dirigidos a la atención de niños, niñas, adolescentes y jóvenes, con enfoque pedagógico y restaurativo encaminados a la inclusión social</v>
      </c>
      <c r="I21" s="243" t="str">
        <f>VLOOKUP(ProductosMGA[[#This Row],[ID Producto]],ESTRATÉGICO!A6:AA113,24,0)</f>
        <v>Niños, niñas, adolescentes y jóvenes atendidios en los servicios de restablecimiento en la administración de justicia</v>
      </c>
      <c r="J21" s="243" t="str">
        <f>VLOOKUP(ProductosMGA[[#This Row],[ID Producto]],ESTRATÉGICO!A6:AA113,25,0)</f>
        <v>Número</v>
      </c>
      <c r="K21" s="230" t="s">
        <v>843</v>
      </c>
      <c r="L21" s="230">
        <v>1000</v>
      </c>
      <c r="M21" s="230">
        <v>1923</v>
      </c>
      <c r="N21" s="230">
        <v>1773</v>
      </c>
      <c r="O21" s="230">
        <v>2779</v>
      </c>
      <c r="P21" s="231">
        <v>825</v>
      </c>
      <c r="Q21" s="244">
        <f>IF(ProductosMGA[[#This Row],[¿Es acumulativo?]]="SI",SUM(ProductosMGA[[#This Row],[Magnitud programada indicador de producto 2020]:[Magnitud programada indicador de producto 2024]]),MAX(ProductosMGA[[#This Row],[Magnitud programada indicador de producto 2020]:[Magnitud programada indicador de producto 2024]]))</f>
        <v>8300</v>
      </c>
      <c r="R21" s="233">
        <v>1133</v>
      </c>
      <c r="S21" s="230">
        <v>1790</v>
      </c>
      <c r="T21" s="233">
        <v>1773</v>
      </c>
      <c r="U21" s="300">
        <v>2779</v>
      </c>
      <c r="V21" s="229">
        <f>VLOOKUP(ProductosMGA[[#This Row],[Código producto MGA]],EJECUCIÓN!$B$47:$K$53,10,0)</f>
        <v>0</v>
      </c>
      <c r="W21" s="244">
        <f>IF(ProductosMGA[[#This Row],[¿Es acumulativo?]]="SI",SUM(ProductosMGA[[#This Row],[Magnitud ejecutada indicador de producto 2020]:[Magnitud ejecutada indicador de producto 2024]]),MAX(ProductosMGA[[#This Row],[Magnitud ejecutada indicador de producto 2020]:[Magnitud ejecutada indicador de producto 2024]]))</f>
        <v>7475</v>
      </c>
    </row>
    <row r="22" spans="1:23" s="17" customFormat="1" ht="70.5" hidden="1" customHeight="1" x14ac:dyDescent="0.35">
      <c r="A22" s="182"/>
      <c r="B22" s="11" t="str">
        <f>ProductosMGA[[#This Row],[Código proyecto]]&amp;ProductosMGA[[#This Row],[Código producto MGA]]</f>
        <v>7744</v>
      </c>
      <c r="C22" s="11">
        <f>Proyecto!$B$19</f>
        <v>7744</v>
      </c>
      <c r="D22" s="12" t="str">
        <f>Proyecto!$D$19</f>
        <v>Generación de Oportunidades para el Desarrollo Integral de la Niñez y la Adolescencia de Bogotá</v>
      </c>
      <c r="E22" s="11" t="e">
        <f>VLOOKUP(ProductosMGA[[#This Row],[ID Producto]],ESTRATÉGICO!A7:AA114,12,0)</f>
        <v>#N/A</v>
      </c>
      <c r="F22" s="12" t="e">
        <f>VLOOKUP(ProductosMGA[[#This Row],[ID Producto]],ESTRATÉGICO!A7:AA114,13,0)</f>
        <v>#N/A</v>
      </c>
      <c r="G22" s="194"/>
      <c r="H22" s="12" t="e">
        <f>VLOOKUP(ProductosMGA[[#This Row],[ID Producto]],ESTRATÉGICO!A7:AA114,23,0)</f>
        <v>#N/A</v>
      </c>
      <c r="I22" s="12" t="e">
        <f>VLOOKUP(ProductosMGA[[#This Row],[ID Producto]],ESTRATÉGICO!A7:AA114,24,0)</f>
        <v>#N/A</v>
      </c>
      <c r="J22" s="12" t="e">
        <f>VLOOKUP(ProductosMGA[[#This Row],[ID Producto]],ESTRATÉGICO!A7:AA114,25,0)</f>
        <v>#N/A</v>
      </c>
      <c r="K22" s="193"/>
      <c r="L22" s="193"/>
      <c r="M22" s="193"/>
      <c r="N22" s="193"/>
      <c r="O22" s="193"/>
      <c r="P22" s="193"/>
      <c r="Q22" s="18">
        <f>IF(ProductosMGA[[#This Row],[¿Es acumulativo?]]="SI",SUM(ProductosMGA[[#This Row],[Magnitud programada indicador de producto 2020]:[Magnitud programada indicador de producto 2024]]),MAX(ProductosMGA[[#This Row],[Magnitud programada indicador de producto 2020]:[Magnitud programada indicador de producto 2024]]))</f>
        <v>0</v>
      </c>
      <c r="R22" s="195"/>
      <c r="S22" s="195"/>
      <c r="T22" s="195"/>
      <c r="U22" s="193"/>
      <c r="V22" s="11">
        <f>VLOOKUP(ProductosMGA[[#This Row],[Código producto MGA]],EJECUCIÓN!$B$47:$K$53,10,0)</f>
        <v>0</v>
      </c>
      <c r="W22" s="18">
        <f>IF(ProductosMGA[[#This Row],[¿Es acumulativo?]]="SI",SUM(ProductosMGA[[#This Row],[Magnitud ejecutada indicador de producto 2020]:[Magnitud ejecutada indicador de producto 2024]]),MAX(ProductosMGA[[#This Row],[Magnitud ejecutada indicador de producto 2020]:[Magnitud ejecutada indicador de producto 2024]]))</f>
        <v>0</v>
      </c>
    </row>
    <row r="23" spans="1:23" s="17" customFormat="1" ht="92.25" hidden="1" customHeight="1" x14ac:dyDescent="0.35">
      <c r="A23" s="182"/>
      <c r="B23" s="11" t="str">
        <f>ProductosMGA[[#This Row],[Código proyecto]]&amp;ProductosMGA[[#This Row],[Código producto MGA]]</f>
        <v>7744</v>
      </c>
      <c r="C23" s="11">
        <f>Proyecto!$B$19</f>
        <v>7744</v>
      </c>
      <c r="D23" s="12" t="str">
        <f>Proyecto!$D$19</f>
        <v>Generación de Oportunidades para el Desarrollo Integral de la Niñez y la Adolescencia de Bogotá</v>
      </c>
      <c r="E23" s="11" t="e">
        <f>VLOOKUP(ProductosMGA[[#This Row],[ID Producto]],ESTRATÉGICO!A8:AA115,12,0)</f>
        <v>#N/A</v>
      </c>
      <c r="F23" s="12" t="e">
        <f>VLOOKUP(ProductosMGA[[#This Row],[ID Producto]],ESTRATÉGICO!A8:AA115,13,0)</f>
        <v>#N/A</v>
      </c>
      <c r="G23" s="194"/>
      <c r="H23" s="12" t="e">
        <f>VLOOKUP(ProductosMGA[[#This Row],[ID Producto]],ESTRATÉGICO!A8:AA115,23,0)</f>
        <v>#N/A</v>
      </c>
      <c r="I23" s="12" t="e">
        <f>VLOOKUP(ProductosMGA[[#This Row],[ID Producto]],ESTRATÉGICO!A8:AA115,24,0)</f>
        <v>#N/A</v>
      </c>
      <c r="J23" s="12" t="e">
        <f>VLOOKUP(ProductosMGA[[#This Row],[ID Producto]],ESTRATÉGICO!A8:AA115,25,0)</f>
        <v>#N/A</v>
      </c>
      <c r="K23" s="193"/>
      <c r="L23" s="193"/>
      <c r="M23" s="193"/>
      <c r="N23" s="193"/>
      <c r="O23" s="193"/>
      <c r="P23" s="193"/>
      <c r="Q23" s="18">
        <f>IF(ProductosMGA[[#This Row],[¿Es acumulativo?]]="SI",SUM(ProductosMGA[[#This Row],[Magnitud programada indicador de producto 2020]:[Magnitud programada indicador de producto 2024]]),MAX(ProductosMGA[[#This Row],[Magnitud programada indicador de producto 2020]:[Magnitud programada indicador de producto 2024]]))</f>
        <v>0</v>
      </c>
      <c r="R23" s="195"/>
      <c r="S23" s="195"/>
      <c r="T23" s="195"/>
      <c r="U23" s="193"/>
      <c r="V23" s="11">
        <f>VLOOKUP(ProductosMGA[[#This Row],[Código producto MGA]],EJECUCIÓN!$B$47:$K$53,10,0)</f>
        <v>0</v>
      </c>
      <c r="W23" s="18">
        <f>IF(ProductosMGA[[#This Row],[¿Es acumulativo?]]="SI",SUM(ProductosMGA[[#This Row],[Magnitud ejecutada indicador de producto 2020]:[Magnitud ejecutada indicador de producto 2024]]),MAX(ProductosMGA[[#This Row],[Magnitud ejecutada indicador de producto 2020]:[Magnitud ejecutada indicador de producto 2024]]))</f>
        <v>0</v>
      </c>
    </row>
    <row r="24" spans="1:23" s="17" customFormat="1" ht="33" hidden="1" customHeight="1" x14ac:dyDescent="0.35">
      <c r="A24" s="182"/>
      <c r="B24" s="11" t="str">
        <f>ProductosMGA[[#This Row],[Código proyecto]]&amp;ProductosMGA[[#This Row],[Código producto MGA]]</f>
        <v>7744</v>
      </c>
      <c r="C24" s="11">
        <f>Proyecto!$B$19</f>
        <v>7744</v>
      </c>
      <c r="D24" s="12" t="str">
        <f>Proyecto!$D$19</f>
        <v>Generación de Oportunidades para el Desarrollo Integral de la Niñez y la Adolescencia de Bogotá</v>
      </c>
      <c r="E24" s="11" t="e">
        <f>VLOOKUP(ProductosMGA[[#This Row],[ID Producto]],ESTRATÉGICO!A9:AA116,12,0)</f>
        <v>#N/A</v>
      </c>
      <c r="F24" s="12" t="e">
        <f>VLOOKUP(ProductosMGA[[#This Row],[ID Producto]],ESTRATÉGICO!A9:AA116,13,0)</f>
        <v>#N/A</v>
      </c>
      <c r="G24" s="194"/>
      <c r="H24" s="12" t="e">
        <f>VLOOKUP(ProductosMGA[[#This Row],[ID Producto]],ESTRATÉGICO!A9:AA116,23,0)</f>
        <v>#N/A</v>
      </c>
      <c r="I24" s="12" t="e">
        <f>VLOOKUP(ProductosMGA[[#This Row],[ID Producto]],ESTRATÉGICO!A9:AA116,24,0)</f>
        <v>#N/A</v>
      </c>
      <c r="J24" s="12" t="e">
        <f>VLOOKUP(ProductosMGA[[#This Row],[ID Producto]],ESTRATÉGICO!A9:AA116,25,0)</f>
        <v>#N/A</v>
      </c>
      <c r="K24" s="193"/>
      <c r="L24" s="193"/>
      <c r="M24" s="193"/>
      <c r="N24" s="193"/>
      <c r="O24" s="193"/>
      <c r="P24" s="193"/>
      <c r="Q24" s="18">
        <f>IF(ProductosMGA[[#This Row],[¿Es acumulativo?]]="SI",SUM(ProductosMGA[[#This Row],[Magnitud programada indicador de producto 2020]:[Magnitud programada indicador de producto 2024]]),MAX(ProductosMGA[[#This Row],[Magnitud programada indicador de producto 2020]:[Magnitud programada indicador de producto 2024]]))</f>
        <v>0</v>
      </c>
      <c r="R24" s="195"/>
      <c r="S24" s="195"/>
      <c r="T24" s="195"/>
      <c r="U24" s="193"/>
      <c r="V24" s="11">
        <f>VLOOKUP(ProductosMGA[[#This Row],[Código producto MGA]],EJECUCIÓN!$B$47:$K$53,10,0)</f>
        <v>0</v>
      </c>
      <c r="W24" s="18">
        <f>IF(ProductosMGA[[#This Row],[¿Es acumulativo?]]="SI",SUM(ProductosMGA[[#This Row],[Magnitud ejecutada indicador de producto 2020]:[Magnitud ejecutada indicador de producto 2024]]),MAX(ProductosMGA[[#This Row],[Magnitud ejecutada indicador de producto 2020]:[Magnitud ejecutada indicador de producto 2024]]))</f>
        <v>0</v>
      </c>
    </row>
    <row r="25" spans="1:23" x14ac:dyDescent="0.3">
      <c r="B25" s="20" t="s">
        <v>845</v>
      </c>
      <c r="C25" s="20"/>
      <c r="D25" s="20"/>
      <c r="E25" s="10"/>
      <c r="F25" s="20"/>
      <c r="G25" s="10"/>
      <c r="H25" s="10"/>
      <c r="I25" s="10"/>
      <c r="J25" s="10"/>
      <c r="K25" s="10"/>
      <c r="L25" s="10"/>
      <c r="M25" s="10"/>
      <c r="N25" s="10"/>
      <c r="O25" s="10"/>
      <c r="P25" s="10"/>
      <c r="Q25" s="10"/>
      <c r="R25" s="20"/>
      <c r="S25" s="20"/>
      <c r="T25" s="20"/>
      <c r="U25" s="20"/>
      <c r="V25" s="20"/>
      <c r="W25" s="306">
        <f>SUBTOTAL(109,ProductosMGA[Total ejecución cuatrienio indicador de producto 2020-2024])</f>
        <v>108865.82090000001</v>
      </c>
    </row>
    <row r="26" spans="1:23" x14ac:dyDescent="0.3">
      <c r="B26" s="49"/>
      <c r="C26" s="49"/>
      <c r="D26" s="49"/>
      <c r="E26" s="49"/>
      <c r="F26" s="49"/>
      <c r="G26" s="49"/>
      <c r="H26" s="49"/>
      <c r="I26" s="49"/>
      <c r="J26" s="121"/>
      <c r="K26" s="121"/>
      <c r="L26" s="49"/>
      <c r="M26" s="49"/>
      <c r="N26" s="49"/>
      <c r="O26" s="49"/>
      <c r="P26" s="49"/>
      <c r="Q26" s="49"/>
      <c r="R26" s="49"/>
      <c r="S26" s="49"/>
      <c r="T26" s="123"/>
      <c r="U26" s="49"/>
      <c r="V26" s="49"/>
      <c r="W26" s="49"/>
    </row>
    <row r="34" spans="6:6" x14ac:dyDescent="0.3">
      <c r="F34" s="49"/>
    </row>
  </sheetData>
  <sheetProtection algorithmName="SHA-512" hashValue="4dBBpjXH1l4DhhyKxQl17JSwxrDU0alHIJY/Oi/fDbl1xGJBlG94ce9iBrOj/QdYeLRQA7fk25PczLN1+j+RmQ==" saltValue="uTkxFW/gnFtPDIt8HFAPJA==" spinCount="100000" sheet="1" formatCells="0" formatColumns="0" formatRows="0" insertRows="0" sort="0" autoFilter="0" pivotTables="0"/>
  <mergeCells count="9">
    <mergeCell ref="R16:W16"/>
    <mergeCell ref="A13:W13"/>
    <mergeCell ref="B2:C5"/>
    <mergeCell ref="D2:H5"/>
    <mergeCell ref="L16:Q16"/>
    <mergeCell ref="I2:J2"/>
    <mergeCell ref="I3:J3"/>
    <mergeCell ref="I4:J4"/>
    <mergeCell ref="I5:J5"/>
  </mergeCells>
  <phoneticPr fontId="14" type="noConversion"/>
  <dataValidations xWindow="1013" yWindow="721" count="13">
    <dataValidation allowBlank="1" showInputMessage="1" showErrorMessage="1" promptTitle="Producto" prompt="Tipo de campo: Selección mutiple del catalogo_x000a_Producto (bien o servicio) que dará cuenta del logro de la meta y con la cual se cuantificará y realizará seguimiento a la misma" sqref="H17" xr:uid="{00000000-0002-0000-0A00-000000000000}"/>
    <dataValidation allowBlank="1" showInputMessage="1" showErrorMessage="1" promptTitle="Indicador de producto" prompt="Tipo de campo: Selección mutiple del catalogo_x000a_Indicador de producto (bien o servicio) que dará cuenta del logro de la meta y con la cual se cuantificará y realizará seguimiento a la misma" sqref="I17" xr:uid="{00000000-0002-0000-0A00-000001000000}"/>
    <dataValidation allowBlank="1" showInputMessage="1" showErrorMessage="1" promptTitle="Unidad medida producto" prompt="Tipo de campo: Selección mutiple del catalogo_x000a_Unidad de medida del producto (bien o servicio) que dará cuenta del logro de la meta y con la cual se cuantificará y realizará seguimiento a la misma" sqref="J17:K17" xr:uid="{00000000-0002-0000-0A00-000002000000}"/>
    <dataValidation allowBlank="1" showInputMessage="1" showErrorMessage="1" promptTitle="Total cuatrienio meta producto" prompt="Tipo de campo: Numerico_x000a_Sumatoria total de las metas de producto que se espera alcanzar para la vigencia del Plan Distrital de Desarrollo" sqref="Q17 W17" xr:uid="{00000000-0002-0000-0A00-000003000000}"/>
    <dataValidation allowBlank="1" showInputMessage="1" showErrorMessage="1" promptTitle="Objetivos especificos" prompt="Tipo de campo: Texto_x000a_Indique el numero del objetivo especifico del proyecto de inversión, que permitirá llevar a cabo el cumplimiento del objetivo general" sqref="F17" xr:uid="{00000000-0002-0000-0A00-000004000000}"/>
    <dataValidation allowBlank="1" showInputMessage="1" showErrorMessage="1" promptTitle="Código Objetivos especificos" prompt="Tipo de campo: Numerico_x000a_Indique el numero del objetivo especifico del proyecto de inversión, que permitirá llevar a cabo el cumplimiento del objetivo general" sqref="E17" xr:uid="{00000000-0002-0000-0A00-000005000000}"/>
    <dataValidation type="list" errorStyle="warning" allowBlank="1" showInputMessage="1" showErrorMessage="1" sqref="K18:K24" xr:uid="{00000000-0002-0000-0A00-000006000000}">
      <formula1>"SI, NO"</formula1>
    </dataValidation>
    <dataValidation errorStyle="warning" allowBlank="1" showInputMessage="1" showErrorMessage="1" prompt="Relacione la información de los productos MGA que seleccionó el proyecto de inversión en la etapa de formulación." sqref="H18:H24" xr:uid="{00000000-0002-0000-0A00-000007000000}"/>
    <dataValidation allowBlank="1" showInputMessage="1" showErrorMessage="1" prompt="Relacione la magnitud de los indicadores de producto para cada una de las vigencias." sqref="M19:P21 L18:P18" xr:uid="{00000000-0002-0000-0A00-000008000000}"/>
    <dataValidation allowBlank="1" showInputMessage="1" showErrorMessage="1" promptTitle="Meta indicador de propósito" prompt="Tipo de campo: Numerico_x000a_Indique el valor numérico de la meta a alcanzar, para el año 1" sqref="L17:P17 R17:V17" xr:uid="{00000000-0002-0000-0A00-000009000000}"/>
    <dataValidation allowBlank="1" showInputMessage="1" showErrorMessage="1" prompt="Relacione la magnitud programada de los indicadores de producto para cada una de las vigencias." sqref="L19:L24 M22:P24" xr:uid="{00000000-0002-0000-0A00-00000A000000}"/>
    <dataValidation errorStyle="warning" allowBlank="1" showInputMessage="1" showErrorMessage="1" sqref="I18:J24 G18:G24 R18:V24" xr:uid="{00000000-0002-0000-0A00-00000B000000}"/>
    <dataValidation type="list" errorStyle="warning" allowBlank="1" showInputMessage="1" showErrorMessage="1" errorTitle="Código objetivo específico" error="Debe digitar un número entero" sqref="E18:E24" xr:uid="{00000000-0002-0000-0A00-00000C000000}">
      <formula1>cd</formula1>
    </dataValidation>
  </dataValidations>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tabColor theme="2"/>
  </sheetPr>
  <dimension ref="A2:BL47"/>
  <sheetViews>
    <sheetView showGridLines="0" topLeftCell="A4" zoomScaleNormal="100" workbookViewId="0">
      <selection activeCell="K35" sqref="K35"/>
    </sheetView>
  </sheetViews>
  <sheetFormatPr baseColWidth="10" defaultColWidth="11.54296875" defaultRowHeight="13.8" x14ac:dyDescent="0.3"/>
  <cols>
    <col min="1" max="1" width="7.81640625" style="7" customWidth="1"/>
    <col min="2" max="2" width="12.54296875" style="7" customWidth="1"/>
    <col min="3" max="3" width="11.36328125" style="7" customWidth="1"/>
    <col min="4" max="4" width="17.08984375" style="7" customWidth="1"/>
    <col min="5" max="5" width="6.90625" style="7" customWidth="1"/>
    <col min="6" max="6" width="33.1796875" style="7" customWidth="1"/>
    <col min="7" max="7" width="9.54296875" style="7" customWidth="1"/>
    <col min="8" max="8" width="11.08984375" style="7" customWidth="1"/>
    <col min="9" max="9" width="36" style="7" customWidth="1"/>
    <col min="10" max="10" width="14.08984375" style="7" customWidth="1"/>
    <col min="11" max="11" width="12.36328125" style="7" customWidth="1"/>
    <col min="12" max="13" width="17.08984375" style="7" customWidth="1"/>
    <col min="14" max="18" width="8.08984375" style="7" customWidth="1"/>
    <col min="19" max="19" width="8.08984375" style="7" hidden="1" customWidth="1"/>
    <col min="20" max="20" width="9.81640625" style="7" hidden="1" customWidth="1"/>
    <col min="21" max="25" width="8.08984375" style="7" hidden="1" customWidth="1"/>
    <col min="26" max="29" width="7.81640625" style="7" customWidth="1"/>
    <col min="30" max="31" width="11.36328125" style="7" customWidth="1"/>
    <col min="32" max="38" width="7.81640625" style="7" hidden="1" customWidth="1"/>
    <col min="39" max="39" width="7.81640625" style="7" customWidth="1"/>
    <col min="40" max="40" width="11.54296875" style="7"/>
    <col min="41" max="41" width="12.6328125" style="7" customWidth="1"/>
    <col min="42" max="42" width="13.81640625" style="7" customWidth="1"/>
    <col min="43" max="43" width="12.81640625" style="7" customWidth="1"/>
    <col min="44" max="44" width="12.08984375" style="7" customWidth="1"/>
    <col min="45" max="45" width="12.36328125" style="7" customWidth="1"/>
    <col min="46" max="46" width="12.453125" style="7" customWidth="1"/>
    <col min="47" max="47" width="12.08984375" style="7" customWidth="1"/>
    <col min="48" max="48" width="13.54296875" style="7" customWidth="1"/>
    <col min="49" max="49" width="15.81640625" style="7" customWidth="1"/>
    <col min="50" max="50" width="13.81640625" style="7" customWidth="1"/>
    <col min="51" max="51" width="15.1796875" style="7" customWidth="1"/>
    <col min="52" max="52" width="14.90625" style="7" customWidth="1"/>
    <col min="53" max="53" width="12.1796875" style="7" customWidth="1"/>
    <col min="54" max="54" width="13.1796875" style="7" customWidth="1"/>
    <col min="55" max="55" width="12.36328125" style="7" customWidth="1"/>
    <col min="56" max="56" width="11.6328125" style="7" customWidth="1"/>
    <col min="57" max="57" width="12" style="7" customWidth="1"/>
    <col min="58" max="58" width="12.08984375" style="7" customWidth="1"/>
    <col min="59" max="59" width="11.6328125" style="7" customWidth="1"/>
    <col min="60" max="60" width="13.1796875" style="7" customWidth="1"/>
    <col min="61" max="61" width="15.1796875" style="7" customWidth="1"/>
    <col min="62" max="62" width="13.453125" style="7" customWidth="1"/>
    <col min="63" max="63" width="14.90625" style="7" customWidth="1"/>
    <col min="64" max="64" width="14.453125" style="7" customWidth="1"/>
    <col min="65" max="16384" width="11.54296875" style="7"/>
  </cols>
  <sheetData>
    <row r="2" spans="1:64" s="39" customFormat="1" ht="24" customHeight="1" x14ac:dyDescent="0.35">
      <c r="B2" s="420"/>
      <c r="C2" s="407" t="s">
        <v>683</v>
      </c>
      <c r="D2" s="407"/>
      <c r="E2" s="407"/>
      <c r="F2" s="407"/>
      <c r="G2" s="510" t="s">
        <v>684</v>
      </c>
      <c r="H2" s="510"/>
      <c r="J2"/>
      <c r="K2"/>
      <c r="L2"/>
      <c r="M2"/>
      <c r="N2"/>
      <c r="O2"/>
      <c r="P2"/>
    </row>
    <row r="3" spans="1:64" s="39" customFormat="1" ht="20.399999999999999" x14ac:dyDescent="0.35">
      <c r="B3" s="421"/>
      <c r="C3" s="407"/>
      <c r="D3" s="407"/>
      <c r="E3" s="407"/>
      <c r="F3" s="407"/>
      <c r="G3" s="510" t="s">
        <v>685</v>
      </c>
      <c r="H3" s="510"/>
      <c r="J3"/>
      <c r="K3"/>
      <c r="L3"/>
      <c r="M3"/>
      <c r="N3"/>
      <c r="O3"/>
      <c r="P3"/>
    </row>
    <row r="4" spans="1:64" s="39" customFormat="1" ht="36" customHeight="1" x14ac:dyDescent="0.35">
      <c r="B4" s="421"/>
      <c r="C4" s="407"/>
      <c r="D4" s="407"/>
      <c r="E4" s="407"/>
      <c r="F4" s="407"/>
      <c r="G4" s="511" t="s">
        <v>686</v>
      </c>
      <c r="H4" s="511"/>
      <c r="J4"/>
      <c r="K4"/>
      <c r="L4"/>
      <c r="M4"/>
      <c r="N4"/>
      <c r="O4"/>
      <c r="P4"/>
    </row>
    <row r="5" spans="1:64" s="39" customFormat="1" ht="20.399999999999999" x14ac:dyDescent="0.35">
      <c r="B5" s="422"/>
      <c r="C5" s="407"/>
      <c r="D5" s="407"/>
      <c r="E5" s="407"/>
      <c r="F5" s="407"/>
      <c r="G5" s="510" t="s">
        <v>896</v>
      </c>
      <c r="H5" s="510"/>
      <c r="J5"/>
      <c r="K5"/>
      <c r="L5"/>
      <c r="M5"/>
      <c r="N5"/>
      <c r="O5"/>
      <c r="P5"/>
    </row>
    <row r="12" spans="1:64" ht="14.4" thickBot="1" x14ac:dyDescent="0.35">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s="14" customFormat="1" ht="25.8" thickBot="1" x14ac:dyDescent="0.5">
      <c r="A13" s="527" t="s">
        <v>897</v>
      </c>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32"/>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6" spans="1:64" ht="18" x14ac:dyDescent="0.35">
      <c r="A16" s="49"/>
      <c r="B16" s="49"/>
      <c r="C16" s="49"/>
      <c r="D16" s="49"/>
      <c r="E16" s="49"/>
      <c r="F16" s="49"/>
      <c r="G16" s="49"/>
      <c r="H16" s="49"/>
      <c r="I16" s="49"/>
      <c r="J16" s="49"/>
      <c r="K16" s="49"/>
      <c r="L16" s="49"/>
      <c r="M16" s="49"/>
      <c r="N16" s="529" t="s">
        <v>898</v>
      </c>
      <c r="O16" s="529"/>
      <c r="P16" s="529"/>
      <c r="Q16" s="529"/>
      <c r="R16" s="529"/>
      <c r="S16" s="529"/>
      <c r="T16" s="529"/>
      <c r="U16" s="529"/>
      <c r="V16" s="529"/>
      <c r="W16" s="529"/>
      <c r="X16" s="529"/>
      <c r="Y16" s="529"/>
      <c r="Z16" s="529"/>
      <c r="AA16" s="530" t="s">
        <v>899</v>
      </c>
      <c r="AB16" s="530"/>
      <c r="AC16" s="530"/>
      <c r="AD16" s="530"/>
      <c r="AE16" s="530"/>
      <c r="AF16" s="530"/>
      <c r="AG16" s="530"/>
      <c r="AH16" s="530"/>
      <c r="AI16" s="530"/>
      <c r="AJ16" s="530"/>
      <c r="AK16" s="530"/>
      <c r="AL16" s="530"/>
      <c r="AM16" s="530"/>
      <c r="AN16" s="49"/>
      <c r="AO16" s="531" t="s">
        <v>900</v>
      </c>
      <c r="AP16" s="531"/>
      <c r="AQ16" s="531"/>
      <c r="AR16" s="531"/>
      <c r="AS16" s="531"/>
      <c r="AT16" s="531"/>
      <c r="AU16" s="531"/>
      <c r="AV16" s="531"/>
      <c r="AW16" s="531"/>
      <c r="AX16" s="531"/>
      <c r="AY16" s="531"/>
      <c r="AZ16" s="531"/>
      <c r="BA16" s="516" t="s">
        <v>901</v>
      </c>
      <c r="BB16" s="516"/>
      <c r="BC16" s="516"/>
      <c r="BD16" s="516"/>
      <c r="BE16" s="516"/>
      <c r="BF16" s="516"/>
      <c r="BG16" s="516"/>
      <c r="BH16" s="516"/>
      <c r="BI16" s="516"/>
      <c r="BJ16" s="516"/>
      <c r="BK16" s="516"/>
      <c r="BL16" s="516"/>
    </row>
    <row r="17" spans="1:64" s="8" customFormat="1" ht="78.75" customHeight="1" x14ac:dyDescent="0.3">
      <c r="A17" s="52" t="s">
        <v>902</v>
      </c>
      <c r="B17" s="205" t="s">
        <v>903</v>
      </c>
      <c r="C17" s="206" t="s">
        <v>788</v>
      </c>
      <c r="D17" s="206" t="s">
        <v>21</v>
      </c>
      <c r="E17" s="206" t="s">
        <v>30</v>
      </c>
      <c r="F17" s="206" t="s">
        <v>31</v>
      </c>
      <c r="G17" s="206" t="s">
        <v>904</v>
      </c>
      <c r="H17" s="215" t="s">
        <v>905</v>
      </c>
      <c r="I17" s="206" t="s">
        <v>906</v>
      </c>
      <c r="J17" s="206" t="s">
        <v>907</v>
      </c>
      <c r="K17" s="206" t="s">
        <v>908</v>
      </c>
      <c r="L17" s="206" t="s">
        <v>909</v>
      </c>
      <c r="M17" s="206" t="s">
        <v>910</v>
      </c>
      <c r="N17" s="206" t="s">
        <v>814</v>
      </c>
      <c r="O17" s="206" t="s">
        <v>815</v>
      </c>
      <c r="P17" s="206" t="s">
        <v>816</v>
      </c>
      <c r="Q17" s="206" t="s">
        <v>817</v>
      </c>
      <c r="R17" s="206" t="s">
        <v>818</v>
      </c>
      <c r="S17" s="206" t="s">
        <v>819</v>
      </c>
      <c r="T17" s="206" t="s">
        <v>820</v>
      </c>
      <c r="U17" s="206" t="s">
        <v>821</v>
      </c>
      <c r="V17" s="206" t="s">
        <v>822</v>
      </c>
      <c r="W17" s="206" t="s">
        <v>823</v>
      </c>
      <c r="X17" s="206" t="s">
        <v>824</v>
      </c>
      <c r="Y17" s="206" t="s">
        <v>825</v>
      </c>
      <c r="Z17" s="206" t="s">
        <v>911</v>
      </c>
      <c r="AA17" s="206" t="s">
        <v>827</v>
      </c>
      <c r="AB17" s="206" t="s">
        <v>828</v>
      </c>
      <c r="AC17" s="206" t="s">
        <v>829</v>
      </c>
      <c r="AD17" s="206" t="s">
        <v>830</v>
      </c>
      <c r="AE17" s="206" t="s">
        <v>831</v>
      </c>
      <c r="AF17" s="206" t="s">
        <v>832</v>
      </c>
      <c r="AG17" s="206" t="s">
        <v>833</v>
      </c>
      <c r="AH17" s="206" t="s">
        <v>834</v>
      </c>
      <c r="AI17" s="206" t="s">
        <v>835</v>
      </c>
      <c r="AJ17" s="206" t="s">
        <v>836</v>
      </c>
      <c r="AK17" s="206" t="s">
        <v>837</v>
      </c>
      <c r="AL17" s="206" t="s">
        <v>838</v>
      </c>
      <c r="AM17" s="206" t="s">
        <v>912</v>
      </c>
      <c r="AN17" s="216" t="s">
        <v>913</v>
      </c>
      <c r="AO17" s="137" t="s">
        <v>914</v>
      </c>
      <c r="AP17" s="137" t="s">
        <v>915</v>
      </c>
      <c r="AQ17" s="137" t="s">
        <v>916</v>
      </c>
      <c r="AR17" s="137" t="s">
        <v>917</v>
      </c>
      <c r="AS17" s="137" t="s">
        <v>918</v>
      </c>
      <c r="AT17" s="137" t="s">
        <v>919</v>
      </c>
      <c r="AU17" s="137" t="s">
        <v>920</v>
      </c>
      <c r="AV17" s="137" t="s">
        <v>921</v>
      </c>
      <c r="AW17" s="137" t="s">
        <v>922</v>
      </c>
      <c r="AX17" s="137" t="s">
        <v>923</v>
      </c>
      <c r="AY17" s="137" t="s">
        <v>924</v>
      </c>
      <c r="AZ17" s="137" t="s">
        <v>925</v>
      </c>
      <c r="BA17" s="137" t="s">
        <v>926</v>
      </c>
      <c r="BB17" s="137" t="s">
        <v>927</v>
      </c>
      <c r="BC17" s="137" t="s">
        <v>928</v>
      </c>
      <c r="BD17" s="137" t="s">
        <v>929</v>
      </c>
      <c r="BE17" s="137" t="s">
        <v>930</v>
      </c>
      <c r="BF17" s="137" t="s">
        <v>931</v>
      </c>
      <c r="BG17" s="137" t="s">
        <v>932</v>
      </c>
      <c r="BH17" s="137" t="s">
        <v>933</v>
      </c>
      <c r="BI17" s="137" t="s">
        <v>934</v>
      </c>
      <c r="BJ17" s="137" t="s">
        <v>935</v>
      </c>
      <c r="BK17" s="137" t="s">
        <v>936</v>
      </c>
      <c r="BL17" s="137" t="s">
        <v>937</v>
      </c>
    </row>
    <row r="18" spans="1:64" s="149" customFormat="1" ht="124.2" x14ac:dyDescent="0.35">
      <c r="A18" s="228" t="str">
        <f>Actividades!$C18&amp;Actividades!$E18</f>
        <v>77441</v>
      </c>
      <c r="B18" s="326" t="str">
        <f>Actividades!$C18&amp;Actividades!$E18&amp;Actividades!$G18</f>
        <v>774411</v>
      </c>
      <c r="C18" s="327">
        <f>Proyecto!$B$19</f>
        <v>7744</v>
      </c>
      <c r="D18" s="328" t="str">
        <f>Proyecto!$D$19</f>
        <v>Generación de Oportunidades para el Desarrollo Integral de la Niñez y la Adolescencia de Bogotá</v>
      </c>
      <c r="E18" s="329">
        <v>1</v>
      </c>
      <c r="F18" s="327" t="str">
        <f>VLOOKUP(A18,ESTRATÉGICO!$C$3:$AA$110,14,0)</f>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v>
      </c>
      <c r="G18" s="329">
        <v>1</v>
      </c>
      <c r="H18" s="329">
        <v>1</v>
      </c>
      <c r="I18" s="327" t="str">
        <f>VLOOKUP(Actividades!$B18,'ACTIVIDADES PAA'!$A$2:$G$184,7,0)</f>
        <v>Liderar la actualización, movilización, implementación y seguimiento de la Política Pública de Infancia y Adolescencia de Bogotá (2021-2032), con las voces de las niñas, niños y adolescentes, en articulación con las familias, actores públic</v>
      </c>
      <c r="J18" s="318" t="s">
        <v>938</v>
      </c>
      <c r="K18" s="286">
        <v>0.08</v>
      </c>
      <c r="L18" s="287" t="s">
        <v>939</v>
      </c>
      <c r="M18" s="287">
        <v>45443</v>
      </c>
      <c r="N18" s="288">
        <f>+SUMIFS(Tareas[Programación Plan de actividades
Enero],
Tareas[N° de Actividad
(Consecutivo por meta)],Actividades!$G18,
Tareas[No Meta proyecto],Actividades!$E18)</f>
        <v>0</v>
      </c>
      <c r="O18" s="288">
        <f>+SUMIFS(Tareas[Programación Plan de actividades
Febrero],
Tareas[N° de Actividad
(Consecutivo por meta)],Actividades!$G18,
Tareas[No Meta proyecto],Actividades!$E18)</f>
        <v>0</v>
      </c>
      <c r="P18" s="288">
        <f>+SUMIFS(Tareas[Programación Plan de actividades
Marzo],
Tareas[N° de Actividad
(Consecutivo por meta)],Actividades!$G18,
Tareas[No Meta proyecto],Actividades!$E18)</f>
        <v>0.55000000000000004</v>
      </c>
      <c r="Q18" s="288">
        <f>+SUMIFS(Tareas[Programación Plan de actividades
Abril],
Tareas[N° de Actividad
(Consecutivo por meta)],Actividades!$G18,
Tareas[No Meta proyecto],Actividades!$E18)</f>
        <v>0.3</v>
      </c>
      <c r="R18" s="288">
        <f>+SUMIFS(Tareas[Programación Plan de actividades
Mayo],
Tareas[N° de Actividad
(Consecutivo por meta)],Actividades!$G18,
Tareas[No Meta proyecto],Actividades!$E18)</f>
        <v>0.15</v>
      </c>
      <c r="S18" s="288">
        <f>+SUMIFS(Tareas[Programación Plan de actividades
Junio],
Tareas[Fecha de inicio de la tarea DD/MM/AAAA],Actividades!$G18,
Tareas[Descripción de la tarea],Actividades!$E18)</f>
        <v>0</v>
      </c>
      <c r="T18" s="288">
        <f>+SUMIFS(Tareas[Programación Plan de actividades
Julio],
Tareas[Fecha de finalización de la tarea DD/MM/AAAA],Actividades!$G18,
Tareas[Responsable de la tarea],Actividades!$E18)</f>
        <v>0</v>
      </c>
      <c r="U18" s="288">
        <f>+SUMIFS(Tareas[Programación Plan de actividades
Agosto],
Tareas[¿Responde a una meta SIRBE? 
SI/NO],Actividades!$G18,
Tareas[Fecha de inicio de la tarea DD/MM/AAAA],Actividades!$E18)</f>
        <v>0</v>
      </c>
      <c r="V18" s="288">
        <f>+SUMIFS(Tareas[Programación Plan de actividades
Septiembre],
Tareas[Ponderación de la tarea (Deben sumar el 100% de la actividad) ],Actividades!$G18,
Tareas[Fecha de finalización de la tarea DD/MM/AAAA],Actividades!$E18)</f>
        <v>0</v>
      </c>
      <c r="W18" s="288">
        <f>+SUMIFS(Tareas[Programación Plan de actividades
Octubre],
Tareas[Programación Plan de actividades
Enero],Actividades!$G18,
Tareas[¿Responde a una meta SIRBE? 
SI/NO],Actividades!$E18)</f>
        <v>0</v>
      </c>
      <c r="X18" s="288">
        <f>+SUMIFS(Tareas[Programación Plan de actividades
Noviembre],
Tareas[Programación Plan de actividades
Febrero],Actividades!$G18,
Tareas[Ponderación de la tarea (Deben sumar el 100% de la actividad) ],Actividades!$E18)</f>
        <v>0</v>
      </c>
      <c r="Y18" s="288">
        <f>+SUMIFS(Tareas[Programación Plan de actividades
Diciembre],
Tareas[Programación Plan de actividades
Marzo],Actividades!$G18,
Tareas[Programación Plan de actividades
Enero],Actividades!$E18)</f>
        <v>0</v>
      </c>
      <c r="Z18" s="371">
        <f>+SUM(Actividades!$N18:$R18)</f>
        <v>1</v>
      </c>
      <c r="AA18" s="288">
        <f>+SUMIFS(Tareas[Población programada enero],
Tareas[Programación Plan de actividades
Mayo],Actividades!$G18,
Tareas[Programación Plan de actividades
Marzo],Actividades!$E18)</f>
        <v>0</v>
      </c>
      <c r="AB18" s="288">
        <f>+SUMIFS(Tareas[Población programada febrero],
Tareas[Programación Plan de actividades
Junio],Actividades!$G18,
Tareas[Programación Plan de actividades
Abril],Actividades!$E18)</f>
        <v>0</v>
      </c>
      <c r="AC18" s="288">
        <f>+SUMIFS(Tareas[Población programada marzo],
Tareas[Programación Plan de actividades
Julio],Actividades!$G18,
Tareas[Programación Plan de actividades
Mayo],Actividades!$E18)</f>
        <v>0</v>
      </c>
      <c r="AD18" s="288">
        <f>+SUMIFS(Tareas[Población programada abril],
Tareas[Programación Plan de actividades
Agosto],Actividades!$G18,
Tareas[Programación Plan de actividades
Junio],Actividades!$E18)</f>
        <v>0</v>
      </c>
      <c r="AE18" s="288">
        <f>+SUMIFS(Tareas[Población programada mayo],
Tareas[Programación Plan de actividades
Septiembre],Actividades!$G18,
Tareas[Programación Plan de actividades
Julio],Actividades!$E18)</f>
        <v>0</v>
      </c>
      <c r="AF18" s="288">
        <f>+SUMIFS(Tareas[Población programada junio],
Tareas[Programación Plan de actividades
Octubre],Actividades!$G18,
Tareas[Programación Plan de actividades
Agosto],Actividades!$E18)</f>
        <v>0</v>
      </c>
      <c r="AG18" s="288">
        <f>+SUMIFS(Tareas[Población programada julio],
Tareas[Programación Plan de actividades
Noviembre],Actividades!$G18,
Tareas[Programación Plan de actividades
Septiembre],Actividades!$E18)</f>
        <v>0</v>
      </c>
      <c r="AH18" s="288">
        <f>+SUMIFS(Tareas[Población programada agosto],
Tareas[Programación Plan de actividades
Diciembre],Actividades!$G18,
Tareas[Programación Plan de actividades
Octubre],Actividades!$E18)</f>
        <v>0</v>
      </c>
      <c r="AI18" s="288">
        <f>+SUMIFS(Tareas[Población programada septiembre],
Tareas[Total programado plan de actividades],Actividades!$G18,
Tareas[Programación Plan de actividades
Noviembre],Actividades!$E18)</f>
        <v>0</v>
      </c>
      <c r="AJ18" s="288">
        <f>+SUMIFS(Tareas[Población programada octubre],
Tareas[Población programada enero],Actividades!$G18,
Tareas[Programación Plan de actividades
Diciembre],Actividades!$E18)</f>
        <v>0</v>
      </c>
      <c r="AK18" s="288">
        <f>+SUMIFS(Tareas[Población programada noviembre],
Tareas[Población programada febrero],Actividades!$G18,
Tareas[Total programado plan de actividades],Actividades!$E18)</f>
        <v>0</v>
      </c>
      <c r="AL18" s="288">
        <f>+SUMIFS(Tareas[Población programada diciembre],
Tareas[Población programada marzo],Actividades!$G18,
Tareas[Población programada enero],Actividades!$E18)</f>
        <v>0</v>
      </c>
      <c r="AM18" s="371">
        <f>+SUM(Actividades!$AA18:$AL18)</f>
        <v>0</v>
      </c>
      <c r="AN18" s="372">
        <f>IFERROR(Actividades!$AM18/Actividades!$Z18,"No Programado")</f>
        <v>0</v>
      </c>
      <c r="AO18" s="288">
        <f>+Actividades!$N18*Actividades!$K18</f>
        <v>0</v>
      </c>
      <c r="AP18" s="288">
        <f>+Actividades!$O18*Actividades!$K18</f>
        <v>0</v>
      </c>
      <c r="AQ18" s="288">
        <f>+Actividades!$P18*Actividades!$K18</f>
        <v>4.4000000000000004E-2</v>
      </c>
      <c r="AR18" s="288">
        <f>+Actividades!$Q18*Actividades!$K18</f>
        <v>2.4E-2</v>
      </c>
      <c r="AS18" s="288">
        <f>+Actividades!$R18*Actividades!$K18</f>
        <v>1.2E-2</v>
      </c>
      <c r="AT18" s="288">
        <f>+Actividades!$S18*Actividades!$K18</f>
        <v>0</v>
      </c>
      <c r="AU18" s="288">
        <f>+Actividades!$T18*Actividades!$K18</f>
        <v>0</v>
      </c>
      <c r="AV18" s="288">
        <f>+Actividades!$U18*Actividades!$K18</f>
        <v>0</v>
      </c>
      <c r="AW18" s="288">
        <f>+Actividades!$V18*Actividades!$K18</f>
        <v>0</v>
      </c>
      <c r="AX18" s="288">
        <f>+Actividades!$W18*Actividades!$K18</f>
        <v>0</v>
      </c>
      <c r="AY18" s="288">
        <f>+Actividades!$X18*Actividades!$K18</f>
        <v>0</v>
      </c>
      <c r="AZ18" s="288">
        <f>+Actividades!$Y18*Actividades!$K18</f>
        <v>0</v>
      </c>
      <c r="BA18" s="288">
        <f>Actividades!$AA18*Actividades!$K18</f>
        <v>0</v>
      </c>
      <c r="BB18" s="288">
        <f>Actividades!$AB18*Actividades!$K18</f>
        <v>0</v>
      </c>
      <c r="BC18" s="288">
        <f>Actividades!$AC18*Actividades!$K18</f>
        <v>0</v>
      </c>
      <c r="BD18" s="288">
        <f>Actividades!$AD18*Actividades!$K18</f>
        <v>0</v>
      </c>
      <c r="BE18" s="288">
        <f>Actividades!$AE18*Actividades!$K18</f>
        <v>0</v>
      </c>
      <c r="BF18" s="288">
        <f>Actividades!$AF18*Actividades!$K18</f>
        <v>0</v>
      </c>
      <c r="BG18" s="288">
        <f>Actividades!$AG18*Actividades!$K18</f>
        <v>0</v>
      </c>
      <c r="BH18" s="288">
        <f>Actividades!$AH18*Actividades!$K18</f>
        <v>0</v>
      </c>
      <c r="BI18" s="288">
        <f>Actividades!$AI18*Actividades!$K18</f>
        <v>0</v>
      </c>
      <c r="BJ18" s="288">
        <f>Actividades!$AJ18*Actividades!$K18</f>
        <v>0</v>
      </c>
      <c r="BK18" s="288">
        <f>Actividades!$AK18*Actividades!$K18</f>
        <v>0</v>
      </c>
      <c r="BL18" s="288">
        <f>Actividades!$AL18*Actividades!$K18</f>
        <v>0</v>
      </c>
    </row>
    <row r="19" spans="1:64" s="149" customFormat="1" ht="124.2" x14ac:dyDescent="0.35">
      <c r="A19" s="228" t="str">
        <f>Actividades!$C19&amp;Actividades!$E19</f>
        <v>77441</v>
      </c>
      <c r="B19" s="326" t="str">
        <f>Actividades!$C19&amp;Actividades!$E19&amp;Actividades!$G19</f>
        <v>774412</v>
      </c>
      <c r="C19" s="327">
        <f>Proyecto!$B$19</f>
        <v>7744</v>
      </c>
      <c r="D19" s="328" t="str">
        <f>Proyecto!$D$19</f>
        <v>Generación de Oportunidades para el Desarrollo Integral de la Niñez y la Adolescencia de Bogotá</v>
      </c>
      <c r="E19" s="329">
        <v>1</v>
      </c>
      <c r="F19" s="327" t="str">
        <f>VLOOKUP(A19,ESTRATÉGICO!$C$3:$AA$110,14,0)</f>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v>
      </c>
      <c r="G19" s="329">
        <v>2</v>
      </c>
      <c r="H19" s="329">
        <v>2</v>
      </c>
      <c r="I19" s="327" t="str">
        <f>VLOOKUP(Actividades!$B19,'ACTIVIDADES PAA'!$A$2:$G$184,7,0)</f>
        <v>Fortalecer los 20 consejos consultivos de participacion infantil y el consejo  Distrital de participacion infantil, con el fin de movilizar a los niñas, niños y adolescentes para su participacion e incidencia en los entornos hogar, educativo</v>
      </c>
      <c r="J19" s="318" t="s">
        <v>938</v>
      </c>
      <c r="K19" s="286">
        <v>0.05</v>
      </c>
      <c r="L19" s="287">
        <v>45352</v>
      </c>
      <c r="M19" s="287">
        <v>45443</v>
      </c>
      <c r="N19" s="288">
        <f>+SUMIFS(Tareas[Programación Plan de actividades
Enero],
Tareas[N° de Actividad
(Consecutivo por meta)],Actividades!$G19,
Tareas[No Meta proyecto],Actividades!$E19)</f>
        <v>0</v>
      </c>
      <c r="O19" s="288">
        <f>+SUMIFS(Tareas[Programación Plan de actividades
Febrero],
Tareas[N° de Actividad
(Consecutivo por meta)],Actividades!$G19,
Tareas[No Meta proyecto],Actividades!$E19)</f>
        <v>0</v>
      </c>
      <c r="P19" s="288">
        <f>+SUMIFS(Tareas[Programación Plan de actividades
Marzo],
Tareas[N° de Actividad
(Consecutivo por meta)],Actividades!$G19,
Tareas[No Meta proyecto],Actividades!$E19)</f>
        <v>0.36</v>
      </c>
      <c r="Q19" s="288">
        <f>+SUMIFS(Tareas[Programación Plan de actividades
Abril],
Tareas[N° de Actividad
(Consecutivo por meta)],Actividades!$G19,
Tareas[No Meta proyecto],Actividades!$E19)</f>
        <v>0.12</v>
      </c>
      <c r="R19" s="288">
        <f>+SUMIFS(Tareas[Programación Plan de actividades
Mayo],
Tareas[N° de Actividad
(Consecutivo por meta)],Actividades!$G19,
Tareas[No Meta proyecto],Actividades!$E19)</f>
        <v>0.52</v>
      </c>
      <c r="S19" s="288">
        <f>+SUMIFS(Tareas[Programación Plan de actividades
Junio],
Tareas[Fecha de inicio de la tarea DD/MM/AAAA],Actividades!$G19,
Tareas[Descripción de la tarea],Actividades!$E19)</f>
        <v>0</v>
      </c>
      <c r="T19" s="288">
        <f>+SUMIFS(Tareas[Programación Plan de actividades
Julio],
Tareas[Fecha de finalización de la tarea DD/MM/AAAA],Actividades!$G19,
Tareas[Responsable de la tarea],Actividades!$E19)</f>
        <v>0</v>
      </c>
      <c r="U19" s="288">
        <f>+SUMIFS(Tareas[Programación Plan de actividades
Agosto],
Tareas[¿Responde a una meta SIRBE? 
SI/NO],Actividades!$G19,
Tareas[Fecha de inicio de la tarea DD/MM/AAAA],Actividades!$E19)</f>
        <v>0</v>
      </c>
      <c r="V19" s="288">
        <f>+SUMIFS(Tareas[Programación Plan de actividades
Septiembre],
Tareas[Ponderación de la tarea (Deben sumar el 100% de la actividad) ],Actividades!$G19,
Tareas[Fecha de finalización de la tarea DD/MM/AAAA],Actividades!$E19)</f>
        <v>0</v>
      </c>
      <c r="W19" s="288">
        <f>+SUMIFS(Tareas[Programación Plan de actividades
Octubre],
Tareas[Programación Plan de actividades
Enero],Actividades!$G19,
Tareas[¿Responde a una meta SIRBE? 
SI/NO],Actividades!$E19)</f>
        <v>0</v>
      </c>
      <c r="X19" s="288">
        <f>+SUMIFS(Tareas[Programación Plan de actividades
Noviembre],
Tareas[Programación Plan de actividades
Febrero],Actividades!$G19,
Tareas[Ponderación de la tarea (Deben sumar el 100% de la actividad) ],Actividades!$E19)</f>
        <v>0</v>
      </c>
      <c r="Y19" s="288">
        <f>+SUMIFS(Tareas[Programación Plan de actividades
Diciembre],
Tareas[Programación Plan de actividades
Marzo],Actividades!$G19,
Tareas[Programación Plan de actividades
Enero],Actividades!$E19)</f>
        <v>0</v>
      </c>
      <c r="Z19" s="371">
        <f>+SUM(Actividades!$N19:$R19)</f>
        <v>1</v>
      </c>
      <c r="AA19" s="288">
        <f>+SUMIFS(Tareas[Población programada enero],
Tareas[Programación Plan de actividades
Mayo],Actividades!$G19,
Tareas[Programación Plan de actividades
Marzo],Actividades!$E19)</f>
        <v>0</v>
      </c>
      <c r="AB19" s="288">
        <f>+SUMIFS(Tareas[Población programada febrero],
Tareas[Programación Plan de actividades
Junio],Actividades!$G19,
Tareas[Programación Plan de actividades
Abril],Actividades!$E19)</f>
        <v>0</v>
      </c>
      <c r="AC19" s="288">
        <f>+SUMIFS(Tareas[Población programada marzo],
Tareas[Programación Plan de actividades
Julio],Actividades!$G19,
Tareas[Programación Plan de actividades
Mayo],Actividades!$E19)</f>
        <v>0</v>
      </c>
      <c r="AD19" s="288">
        <f>+SUMIFS(Tareas[Población programada abril],
Tareas[Programación Plan de actividades
Agosto],Actividades!$G19,
Tareas[Programación Plan de actividades
Junio],Actividades!$E19)</f>
        <v>0</v>
      </c>
      <c r="AE19" s="288">
        <f>+SUMIFS(Tareas[Población programada mayo],
Tareas[Programación Plan de actividades
Septiembre],Actividades!$G19,
Tareas[Programación Plan de actividades
Julio],Actividades!$E19)</f>
        <v>0</v>
      </c>
      <c r="AF19" s="288">
        <f>+SUMIFS(Tareas[Población programada junio],
Tareas[Programación Plan de actividades
Octubre],Actividades!$G19,
Tareas[Programación Plan de actividades
Agosto],Actividades!$E19)</f>
        <v>0</v>
      </c>
      <c r="AG19" s="288">
        <f>+SUMIFS(Tareas[Población programada julio],
Tareas[Programación Plan de actividades
Noviembre],Actividades!$G19,
Tareas[Programación Plan de actividades
Septiembre],Actividades!$E19)</f>
        <v>0</v>
      </c>
      <c r="AH19" s="288">
        <f>+SUMIFS(Tareas[Población programada agosto],
Tareas[Programación Plan de actividades
Diciembre],Actividades!$G19,
Tareas[Programación Plan de actividades
Octubre],Actividades!$E19)</f>
        <v>0</v>
      </c>
      <c r="AI19" s="288">
        <f>+SUMIFS(Tareas[Población programada septiembre],
Tareas[Total programado plan de actividades],Actividades!$G19,
Tareas[Programación Plan de actividades
Noviembre],Actividades!$E19)</f>
        <v>0</v>
      </c>
      <c r="AJ19" s="288">
        <f>+SUMIFS(Tareas[Población programada octubre],
Tareas[Población programada enero],Actividades!$G19,
Tareas[Programación Plan de actividades
Diciembre],Actividades!$E19)</f>
        <v>0</v>
      </c>
      <c r="AK19" s="288">
        <f>+SUMIFS(Tareas[Población programada noviembre],
Tareas[Población programada febrero],Actividades!$G19,
Tareas[Total programado plan de actividades],Actividades!$E19)</f>
        <v>0</v>
      </c>
      <c r="AL19" s="288">
        <f>+SUMIFS(Tareas[Población programada diciembre],
Tareas[Población programada marzo],Actividades!$G19,
Tareas[Población programada enero],Actividades!$E19)</f>
        <v>0</v>
      </c>
      <c r="AM19" s="371">
        <f>+SUM(Actividades!$AA19:$AL19)</f>
        <v>0</v>
      </c>
      <c r="AN19" s="372">
        <f>IFERROR(Actividades!$AM19/Actividades!$Z19,"No Programado")</f>
        <v>0</v>
      </c>
      <c r="AO19" s="288">
        <f>+Actividades!$N19*Actividades!$K19</f>
        <v>0</v>
      </c>
      <c r="AP19" s="288">
        <f>+Actividades!$O19*Actividades!$K19</f>
        <v>0</v>
      </c>
      <c r="AQ19" s="288">
        <f>+Actividades!$P19*Actividades!$K19</f>
        <v>1.7999999999999999E-2</v>
      </c>
      <c r="AR19" s="288">
        <f>+Actividades!$Q19*Actividades!$K19</f>
        <v>6.0000000000000001E-3</v>
      </c>
      <c r="AS19" s="288">
        <f>+Actividades!$R19*Actividades!$K19</f>
        <v>2.6000000000000002E-2</v>
      </c>
      <c r="AT19" s="288">
        <f>+Actividades!$S19*Actividades!$K19</f>
        <v>0</v>
      </c>
      <c r="AU19" s="288">
        <f>+Actividades!$T19*Actividades!$K19</f>
        <v>0</v>
      </c>
      <c r="AV19" s="288">
        <f>+Actividades!$U19*Actividades!$K19</f>
        <v>0</v>
      </c>
      <c r="AW19" s="288">
        <f>+Actividades!$V19*Actividades!$K19</f>
        <v>0</v>
      </c>
      <c r="AX19" s="288">
        <f>+Actividades!$W19*Actividades!$K19</f>
        <v>0</v>
      </c>
      <c r="AY19" s="288">
        <f>+Actividades!$X19*Actividades!$K19</f>
        <v>0</v>
      </c>
      <c r="AZ19" s="288">
        <f>+Actividades!$Y19*Actividades!$K19</f>
        <v>0</v>
      </c>
      <c r="BA19" s="288">
        <f>Actividades!$AA19*Actividades!$K19</f>
        <v>0</v>
      </c>
      <c r="BB19" s="288">
        <f>Actividades!$AB19*Actividades!$K19</f>
        <v>0</v>
      </c>
      <c r="BC19" s="288">
        <f>Actividades!$AC19*Actividades!$K19</f>
        <v>0</v>
      </c>
      <c r="BD19" s="288">
        <f>Actividades!$AD19*Actividades!$K19</f>
        <v>0</v>
      </c>
      <c r="BE19" s="288">
        <f>Actividades!$AE19*Actividades!$K19</f>
        <v>0</v>
      </c>
      <c r="BF19" s="288">
        <f>Actividades!$AF19*Actividades!$K19</f>
        <v>0</v>
      </c>
      <c r="BG19" s="288">
        <f>Actividades!$AG19*Actividades!$K19</f>
        <v>0</v>
      </c>
      <c r="BH19" s="288">
        <f>Actividades!$AH19*Actividades!$K19</f>
        <v>0</v>
      </c>
      <c r="BI19" s="288">
        <f>Actividades!$AI19*Actividades!$K19</f>
        <v>0</v>
      </c>
      <c r="BJ19" s="288">
        <f>Actividades!$AJ19*Actividades!$K19</f>
        <v>0</v>
      </c>
      <c r="BK19" s="288">
        <f>Actividades!$AK19*Actividades!$K19</f>
        <v>0</v>
      </c>
      <c r="BL19" s="288">
        <f>Actividades!$AL19*Actividades!$K19</f>
        <v>0</v>
      </c>
    </row>
    <row r="20" spans="1:64" s="149" customFormat="1" ht="48.75" customHeight="1" x14ac:dyDescent="0.35">
      <c r="A20" s="228" t="str">
        <f>Actividades!$C20&amp;Actividades!$E20</f>
        <v>77442</v>
      </c>
      <c r="B20" s="326" t="str">
        <f>Actividades!$C20&amp;Actividades!$E20&amp;Actividades!$G20</f>
        <v>774422</v>
      </c>
      <c r="C20" s="327">
        <f>Proyecto!$B$19</f>
        <v>7744</v>
      </c>
      <c r="D20" s="328" t="str">
        <f>Proyecto!$D$19</f>
        <v>Generación de Oportunidades para el Desarrollo Integral de la Niñez y la Adolescencia de Bogotá</v>
      </c>
      <c r="E20" s="329">
        <v>2</v>
      </c>
      <c r="F20" s="327" t="str">
        <f>VLOOKUP(A20,ESTRATÉGICO!$C$3:$AA$110,14,0)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20" s="329">
        <v>2</v>
      </c>
      <c r="H20" s="329">
        <v>4</v>
      </c>
      <c r="I20" s="327" t="str">
        <f>VLOOKUP(Actividades!$B20,'ACTIVIDADES PAA'!$A$2:$G$184,7,0)</f>
        <v>Realizar  seguimiento a la operacion de los servicios y fortalecer la implementacion de su linea tecnica, para garantizar el derecho al desarrollo integral en la primera infancia</v>
      </c>
      <c r="J20" s="318" t="s">
        <v>940</v>
      </c>
      <c r="K20" s="286">
        <v>0.05</v>
      </c>
      <c r="L20" s="287">
        <v>45323</v>
      </c>
      <c r="M20" s="287">
        <v>45443</v>
      </c>
      <c r="N20" s="288">
        <f>+SUMIFS(Tareas[Programación Plan de actividades
Enero],
Tareas[N° de Actividad
(Consecutivo por meta)],Actividades!$G20,
Tareas[No Meta proyecto],Actividades!$E20)</f>
        <v>0</v>
      </c>
      <c r="O20" s="288">
        <f>+SUMIFS(Tareas[Programación Plan de actividades
Febrero],
Tareas[N° de Actividad
(Consecutivo por meta)],Actividades!$G20,
Tareas[No Meta proyecto],Actividades!$E20)</f>
        <v>0</v>
      </c>
      <c r="P20" s="288">
        <f>+SUMIFS(Tareas[Programación Plan de actividades
Marzo],
Tareas[N° de Actividad
(Consecutivo por meta)],Actividades!$G20,
Tareas[No Meta proyecto],Actividades!$E20)</f>
        <v>0.25</v>
      </c>
      <c r="Q20" s="288">
        <f>+SUMIFS(Tareas[Programación Plan de actividades
Abril],
Tareas[N° de Actividad
(Consecutivo por meta)],Actividades!$G20,
Tareas[No Meta proyecto],Actividades!$E20)</f>
        <v>0</v>
      </c>
      <c r="R20" s="288">
        <f>+SUMIFS(Tareas[Programación Plan de actividades
Mayo],
Tareas[N° de Actividad
(Consecutivo por meta)],Actividades!$G20,
Tareas[No Meta proyecto],Actividades!$E20)</f>
        <v>0.75</v>
      </c>
      <c r="S20" s="288">
        <f>+SUMIFS(Tareas[Programación Plan de actividades
Junio],
Tareas[Fecha de inicio de la tarea DD/MM/AAAA],Actividades!$G20,
Tareas[Descripción de la tarea],Actividades!$E20)</f>
        <v>0</v>
      </c>
      <c r="T20" s="288">
        <f>+SUMIFS(Tareas[Programación Plan de actividades
Julio],
Tareas[Fecha de finalización de la tarea DD/MM/AAAA],Actividades!$G20,
Tareas[Responsable de la tarea],Actividades!$E20)</f>
        <v>0</v>
      </c>
      <c r="U20" s="288">
        <f>+SUMIFS(Tareas[Programación Plan de actividades
Agosto],
Tareas[¿Responde a una meta SIRBE? 
SI/NO],Actividades!$G20,
Tareas[Fecha de inicio de la tarea DD/MM/AAAA],Actividades!$E20)</f>
        <v>0</v>
      </c>
      <c r="V20" s="288">
        <f>+SUMIFS(Tareas[Programación Plan de actividades
Septiembre],
Tareas[Ponderación de la tarea (Deben sumar el 100% de la actividad) ],Actividades!$G20,
Tareas[Fecha de finalización de la tarea DD/MM/AAAA],Actividades!$E20)</f>
        <v>0</v>
      </c>
      <c r="W20" s="288">
        <f>+SUMIFS(Tareas[Programación Plan de actividades
Octubre],
Tareas[Programación Plan de actividades
Enero],Actividades!$G20,
Tareas[¿Responde a una meta SIRBE? 
SI/NO],Actividades!$E20)</f>
        <v>0</v>
      </c>
      <c r="X20" s="288">
        <f>+SUMIFS(Tareas[Programación Plan de actividades
Noviembre],
Tareas[Programación Plan de actividades
Febrero],Actividades!$G20,
Tareas[Ponderación de la tarea (Deben sumar el 100% de la actividad) ],Actividades!$E20)</f>
        <v>0</v>
      </c>
      <c r="Y20" s="288">
        <f>+SUMIFS(Tareas[Programación Plan de actividades
Diciembre],
Tareas[Programación Plan de actividades
Marzo],Actividades!$G20,
Tareas[Programación Plan de actividades
Enero],Actividades!$E20)</f>
        <v>0</v>
      </c>
      <c r="Z20" s="371">
        <f>+SUM(Actividades!$N20:$R20)</f>
        <v>1</v>
      </c>
      <c r="AA20" s="288">
        <f>+SUMIFS(Tareas[Población programada enero],
Tareas[Programación Plan de actividades
Mayo],Actividades!$G20,
Tareas[Programación Plan de actividades
Marzo],Actividades!$E20)</f>
        <v>0</v>
      </c>
      <c r="AB20" s="288">
        <f>+SUMIFS(Tareas[Población programada febrero],
Tareas[Programación Plan de actividades
Junio],Actividades!$G20,
Tareas[Programación Plan de actividades
Abril],Actividades!$E20)</f>
        <v>0</v>
      </c>
      <c r="AC20" s="288">
        <f>+SUMIFS(Tareas[Población programada marzo],
Tareas[Programación Plan de actividades
Julio],Actividades!$G20,
Tareas[Programación Plan de actividades
Mayo],Actividades!$E20)</f>
        <v>0</v>
      </c>
      <c r="AD20" s="288">
        <f>+SUMIFS(Tareas[Población programada abril],
Tareas[Programación Plan de actividades
Agosto],Actividades!$G20,
Tareas[Programación Plan de actividades
Junio],Actividades!$E20)</f>
        <v>0</v>
      </c>
      <c r="AE20" s="288">
        <f>+SUMIFS(Tareas[Población programada mayo],
Tareas[Programación Plan de actividades
Septiembre],Actividades!$G20,
Tareas[Programación Plan de actividades
Julio],Actividades!$E20)</f>
        <v>0</v>
      </c>
      <c r="AF20" s="288">
        <f>+SUMIFS(Tareas[Población programada junio],
Tareas[Programación Plan de actividades
Octubre],Actividades!$G20,
Tareas[Programación Plan de actividades
Agosto],Actividades!$E20)</f>
        <v>0</v>
      </c>
      <c r="AG20" s="288">
        <f>+SUMIFS(Tareas[Población programada julio],
Tareas[Programación Plan de actividades
Noviembre],Actividades!$G20,
Tareas[Programación Plan de actividades
Septiembre],Actividades!$E20)</f>
        <v>0</v>
      </c>
      <c r="AH20" s="288">
        <f>+SUMIFS(Tareas[Población programada agosto],
Tareas[Programación Plan de actividades
Diciembre],Actividades!$G20,
Tareas[Programación Plan de actividades
Octubre],Actividades!$E20)</f>
        <v>0</v>
      </c>
      <c r="AI20" s="288">
        <f>+SUMIFS(Tareas[Población programada septiembre],
Tareas[Total programado plan de actividades],Actividades!$G20,
Tareas[Programación Plan de actividades
Noviembre],Actividades!$E20)</f>
        <v>0</v>
      </c>
      <c r="AJ20" s="288">
        <f>+SUMIFS(Tareas[Población programada octubre],
Tareas[Población programada enero],Actividades!$G20,
Tareas[Programación Plan de actividades
Diciembre],Actividades!$E20)</f>
        <v>0</v>
      </c>
      <c r="AK20" s="288">
        <f>+SUMIFS(Tareas[Población programada noviembre],
Tareas[Población programada febrero],Actividades!$G20,
Tareas[Total programado plan de actividades],Actividades!$E20)</f>
        <v>0</v>
      </c>
      <c r="AL20" s="288">
        <f>+SUMIFS(Tareas[Población programada diciembre],
Tareas[Población programada marzo],Actividades!$G20,
Tareas[Población programada enero],Actividades!$E20)</f>
        <v>0</v>
      </c>
      <c r="AM20" s="371">
        <f>+SUM(Actividades!$AA20:$AL20)</f>
        <v>0</v>
      </c>
      <c r="AN20" s="372">
        <f>IFERROR(Actividades!$AM20/Actividades!$Z20,"No Programado")</f>
        <v>0</v>
      </c>
      <c r="AO20" s="288">
        <f>+Actividades!$N20*Actividades!$K20</f>
        <v>0</v>
      </c>
      <c r="AP20" s="288">
        <f>+Actividades!$O20*Actividades!$K20</f>
        <v>0</v>
      </c>
      <c r="AQ20" s="288">
        <f>+Actividades!$P20*Actividades!$K20</f>
        <v>1.2500000000000001E-2</v>
      </c>
      <c r="AR20" s="288">
        <f>+Actividades!$Q20*Actividades!$K20</f>
        <v>0</v>
      </c>
      <c r="AS20" s="288">
        <f>+Actividades!$R20*Actividades!$K20</f>
        <v>3.7500000000000006E-2</v>
      </c>
      <c r="AT20" s="288">
        <f>+Actividades!$S20*Actividades!$K20</f>
        <v>0</v>
      </c>
      <c r="AU20" s="288">
        <f>+Actividades!$T20*Actividades!$K20</f>
        <v>0</v>
      </c>
      <c r="AV20" s="288">
        <f>+Actividades!$U20*Actividades!$K20</f>
        <v>0</v>
      </c>
      <c r="AW20" s="288">
        <f>+Actividades!$V20*Actividades!$K20</f>
        <v>0</v>
      </c>
      <c r="AX20" s="288">
        <f>+Actividades!$W20*Actividades!$K20</f>
        <v>0</v>
      </c>
      <c r="AY20" s="288">
        <f>+Actividades!$X20*Actividades!$K20</f>
        <v>0</v>
      </c>
      <c r="AZ20" s="288">
        <f>+Actividades!$Y20*Actividades!$K20</f>
        <v>0</v>
      </c>
      <c r="BA20" s="288">
        <f>Actividades!$AA20*Actividades!$K20</f>
        <v>0</v>
      </c>
      <c r="BB20" s="288">
        <f>Actividades!$AB20*Actividades!$K20</f>
        <v>0</v>
      </c>
      <c r="BC20" s="288">
        <f>Actividades!$AC20*Actividades!$K20</f>
        <v>0</v>
      </c>
      <c r="BD20" s="288">
        <f>Actividades!$AD20*Actividades!$K20</f>
        <v>0</v>
      </c>
      <c r="BE20" s="288">
        <f>Actividades!$AE20*Actividades!$K20</f>
        <v>0</v>
      </c>
      <c r="BF20" s="288">
        <f>Actividades!$AF20*Actividades!$K20</f>
        <v>0</v>
      </c>
      <c r="BG20" s="288">
        <f>Actividades!$AG20*Actividades!$K20</f>
        <v>0</v>
      </c>
      <c r="BH20" s="288">
        <f>Actividades!$AH20*Actividades!$K20</f>
        <v>0</v>
      </c>
      <c r="BI20" s="288">
        <f>Actividades!$AI20*Actividades!$K20</f>
        <v>0</v>
      </c>
      <c r="BJ20" s="288">
        <f>Actividades!$AJ20*Actividades!$K20</f>
        <v>0</v>
      </c>
      <c r="BK20" s="288">
        <f>Actividades!$AK20*Actividades!$K20</f>
        <v>0</v>
      </c>
      <c r="BL20" s="288">
        <f>Actividades!$AL20*Actividades!$K20</f>
        <v>0</v>
      </c>
    </row>
    <row r="21" spans="1:64" s="149" customFormat="1" ht="110.4" x14ac:dyDescent="0.35">
      <c r="A21" s="228" t="str">
        <f>Actividades!$C21&amp;Actividades!$E21</f>
        <v>77442</v>
      </c>
      <c r="B21" s="326" t="str">
        <f>Actividades!$C21&amp;Actividades!$E21&amp;Actividades!$G21</f>
        <v>774423</v>
      </c>
      <c r="C21" s="327">
        <f>Proyecto!$B$19</f>
        <v>7744</v>
      </c>
      <c r="D21" s="327" t="str">
        <f>Proyecto!$D$19</f>
        <v>Generación de Oportunidades para el Desarrollo Integral de la Niñez y la Adolescencia de Bogotá</v>
      </c>
      <c r="E21" s="329">
        <v>2</v>
      </c>
      <c r="F21" s="327" t="str">
        <f>VLOOKUP(A21,ESTRATÉGICO!$C$3:$AA$110,14,0)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21" s="329">
        <v>3</v>
      </c>
      <c r="H21" s="329">
        <v>3</v>
      </c>
      <c r="I21" s="327" t="str">
        <f>VLOOKUP(Actividades!$B21,'ACTIVIDADES PAA'!$A$2:$G$184,7,0)</f>
        <v>Atender con enfoque diferencial a las ninas y ninos desde la gestacion a traves del servicio social creciendo en familia, generando en ellos espacios protectores para un crecimiento y desarrollo en el marco de la garantia de derechos.</v>
      </c>
      <c r="J21" s="318" t="s">
        <v>941</v>
      </c>
      <c r="K21" s="286">
        <v>0.06</v>
      </c>
      <c r="L21" s="287">
        <v>45323</v>
      </c>
      <c r="M21" s="287">
        <v>45443</v>
      </c>
      <c r="N21" s="288">
        <f>+SUMIFS(Tareas[Programación Plan de actividades
Enero],
Tareas[N° de Actividad
(Consecutivo por meta)],Actividades!$G21,
Tareas[No Meta proyecto],Actividades!$E21)</f>
        <v>0</v>
      </c>
      <c r="O21" s="288">
        <f>+SUMIFS(Tareas[Programación Plan de actividades
Febrero],
Tareas[N° de Actividad
(Consecutivo por meta)],Actividades!$G21,
Tareas[No Meta proyecto],Actividades!$E21)</f>
        <v>0.5</v>
      </c>
      <c r="P21" s="288">
        <f>+SUMIFS(Tareas[Programación Plan de actividades
Marzo],
Tareas[N° de Actividad
(Consecutivo por meta)],Actividades!$G21,
Tareas[No Meta proyecto],Actividades!$E21)</f>
        <v>0.5</v>
      </c>
      <c r="Q21" s="288">
        <f>+SUMIFS(Tareas[Programación Plan de actividades
Abril],
Tareas[N° de Actividad
(Consecutivo por meta)],Actividades!$G21,
Tareas[No Meta proyecto],Actividades!$E21)</f>
        <v>0</v>
      </c>
      <c r="R21" s="288">
        <f>+SUMIFS(Tareas[Programación Plan de actividades
Mayo],
Tareas[N° de Actividad
(Consecutivo por meta)],Actividades!$G21,
Tareas[No Meta proyecto],Actividades!$E21)</f>
        <v>0</v>
      </c>
      <c r="S21" s="288">
        <f>+SUMIFS(Tareas[Programación Plan de actividades
Junio],
Tareas[N° de Actividad
(Consecutivo por meta)],Actividades!$G21,
Tareas[No Meta proyecto],Actividades!$E21)</f>
        <v>0</v>
      </c>
      <c r="T21" s="288">
        <f>+SUMIFS(Tareas[Programación Plan de actividades
Julio],
Tareas[N° de Actividad
(Consecutivo por meta)],Actividades!$G21,
Tareas[No Meta proyecto],Actividades!$E21)</f>
        <v>0</v>
      </c>
      <c r="U21" s="288">
        <f>+SUMIFS(Tareas[Programación Plan de actividades
Agosto],
Tareas[N° de Actividad
(Consecutivo por meta)],Actividades!$G21,
Tareas[No Meta proyecto],Actividades!$E21)</f>
        <v>0</v>
      </c>
      <c r="V21" s="288">
        <f>+SUMIFS(Tareas[Programación Plan de actividades
Septiembre],
Tareas[N° de Actividad
(Consecutivo por meta)],Actividades!$G21,
Tareas[No Meta proyecto],Actividades!$E21)</f>
        <v>0</v>
      </c>
      <c r="W21" s="288">
        <f>+SUMIFS(Tareas[Programación Plan de actividades
Octubre],
Tareas[N° de Actividad
(Consecutivo por meta)],Actividades!$G21,
Tareas[No Meta proyecto],Actividades!$E21)</f>
        <v>0</v>
      </c>
      <c r="X21" s="288">
        <f>+SUMIFS(Tareas[Programación Plan de actividades
Noviembre],
Tareas[N° de Actividad
(Consecutivo por meta)],Actividades!$G21,
Tareas[No Meta proyecto],Actividades!$E21)</f>
        <v>0</v>
      </c>
      <c r="Y21" s="288">
        <f>+SUMIFS(Tareas[Programación Plan de actividades
Diciembre],
Tareas[N° de Actividad
(Consecutivo por meta)],Actividades!$G21,
Tareas[No Meta proyecto],Actividades!$E21)</f>
        <v>0</v>
      </c>
      <c r="Z21" s="371">
        <f>+SUM(Actividades!$N21:$Y21)</f>
        <v>1</v>
      </c>
      <c r="AA21" s="288">
        <f>+SUMIFS(Tareas[Ejecución Plan de actividades
Enero],
Tareas[N° de Actividad
(Consecutivo por meta)],Actividades!$G21,
Tareas[No Meta proyecto],Actividades!$E21)</f>
        <v>0</v>
      </c>
      <c r="AB21" s="288">
        <f>+SUMIFS(Tareas[Ejecución Plan de actividades
Febrero],
Tareas[N° de Actividad
(Consecutivo por meta)],Actividades!$G21,
Tareas[No Meta proyecto],Actividades!$E21)</f>
        <v>0</v>
      </c>
      <c r="AC21" s="288">
        <f>+SUMIFS(Tareas[Ejecución Plan de actividades
Marzo],
Tareas[N° de Actividad
(Consecutivo por meta)],Actividades!$G21,
Tareas[No Meta proyecto],Actividades!$E21)</f>
        <v>0</v>
      </c>
      <c r="AD21" s="288">
        <f>+SUMIFS(Tareas[Ejecución Plan de actividades
Abril],
Tareas[N° de Actividad
(Consecutivo por meta)],Actividades!$G21,
Tareas[No Meta proyecto],Actividades!$E21)</f>
        <v>0</v>
      </c>
      <c r="AE21" s="288">
        <f>+SUMIFS(Tareas[Ejecución Plan de actividades
Mayo],
Tareas[N° de Actividad
(Consecutivo por meta)],Actividades!$G21,
Tareas[No Meta proyecto],Actividades!$E21)</f>
        <v>0</v>
      </c>
      <c r="AF21" s="288">
        <f>+SUMIFS(Tareas[Ejecución Plan de actividades
Junio],
Tareas[N° de Actividad
(Consecutivo por meta)],Actividades!$G21,
Tareas[No Meta proyecto],Actividades!$E21)</f>
        <v>0</v>
      </c>
      <c r="AG21" s="288">
        <f>+SUMIFS(Tareas[Ejecución Plan de actividades
Julio],
Tareas[N° de Actividad
(Consecutivo por meta)],Actividades!$G21,
Tareas[No Meta proyecto],Actividades!$E21)</f>
        <v>0</v>
      </c>
      <c r="AH21" s="288">
        <f>+SUMIFS(Tareas[Ejecución Plan de actividades
Agosto],
Tareas[N° de Actividad
(Consecutivo por meta)],Actividades!$G21,
Tareas[No Meta proyecto],Actividades!$E21)</f>
        <v>0</v>
      </c>
      <c r="AI21" s="288">
        <f>+SUMIFS(Tareas[Ejecución Plan de actividades
Septiembre],
Tareas[N° de Actividad
(Consecutivo por meta)],Actividades!$G21,
Tareas[No Meta proyecto],Actividades!$E21)</f>
        <v>0</v>
      </c>
      <c r="AJ21" s="288">
        <f>+SUMIFS(Tareas[Ejecución Plan de actividades
Octubre],
Tareas[N° de Actividad
(Consecutivo por meta)],Actividades!$G21,
Tareas[No Meta proyecto],Actividades!$E21)</f>
        <v>0</v>
      </c>
      <c r="AK21" s="288">
        <f>+SUMIFS(Tareas[Ejecución Plan de actividades
Noviembre],
Tareas[N° de Actividad
(Consecutivo por meta)],Actividades!$G21,
Tareas[No Meta proyecto],Actividades!$E21)</f>
        <v>0</v>
      </c>
      <c r="AL21" s="288">
        <f>+SUMIFS(Tareas[Ejecución Plan de actividades
Diciembre],
Tareas[N° de Actividad
(Consecutivo por meta)],Actividades!$G21,
Tareas[No Meta proyecto],Actividades!$E21)</f>
        <v>0</v>
      </c>
      <c r="AM21" s="371">
        <f>+SUM(Actividades!$AA21:$AL21)</f>
        <v>0</v>
      </c>
      <c r="AN21" s="372">
        <f>IFERROR(Actividades!$AM21/Actividades!$Z21,"No Programado")</f>
        <v>0</v>
      </c>
      <c r="AO21" s="288">
        <f>+Actividades!$N21*Actividades!$K21</f>
        <v>0</v>
      </c>
      <c r="AP21" s="288">
        <f>+Actividades!$O21*Actividades!$K21</f>
        <v>0.03</v>
      </c>
      <c r="AQ21" s="288">
        <f>+Actividades!$P21*Actividades!$K21</f>
        <v>0.03</v>
      </c>
      <c r="AR21" s="288">
        <f>+Actividades!$Q21*Actividades!$K21</f>
        <v>0</v>
      </c>
      <c r="AS21" s="288">
        <f>+Actividades!$R21*Actividades!$K21</f>
        <v>0</v>
      </c>
      <c r="AT21" s="288">
        <f>+Actividades!$S21*Actividades!$K21</f>
        <v>0</v>
      </c>
      <c r="AU21" s="288">
        <f>+Actividades!$T21*Actividades!$K21</f>
        <v>0</v>
      </c>
      <c r="AV21" s="288">
        <f>+Actividades!$U21*Actividades!$K21</f>
        <v>0</v>
      </c>
      <c r="AW21" s="288">
        <f>+Actividades!$V21*Actividades!$K21</f>
        <v>0</v>
      </c>
      <c r="AX21" s="288">
        <f>+Actividades!$W21*Actividades!$K21</f>
        <v>0</v>
      </c>
      <c r="AY21" s="288">
        <f>+Actividades!$X21*Actividades!$K21</f>
        <v>0</v>
      </c>
      <c r="AZ21" s="288">
        <f>+Actividades!$Y21*Actividades!$K21</f>
        <v>0</v>
      </c>
      <c r="BA21" s="288">
        <f>Actividades!$AA21*Actividades!$K21</f>
        <v>0</v>
      </c>
      <c r="BB21" s="288">
        <f>Actividades!$AB21*Actividades!$K21</f>
        <v>0</v>
      </c>
      <c r="BC21" s="288">
        <f>Actividades!$AC21*Actividades!$K21</f>
        <v>0</v>
      </c>
      <c r="BD21" s="288">
        <f>Actividades!$AD21*Actividades!$K21</f>
        <v>0</v>
      </c>
      <c r="BE21" s="288">
        <f>Actividades!$AE21*Actividades!$K21</f>
        <v>0</v>
      </c>
      <c r="BF21" s="288">
        <f>Actividades!$AF21*Actividades!$K21</f>
        <v>0</v>
      </c>
      <c r="BG21" s="288">
        <f>Actividades!$AG21*Actividades!$K21</f>
        <v>0</v>
      </c>
      <c r="BH21" s="288">
        <f>Actividades!$AH21*Actividades!$K21</f>
        <v>0</v>
      </c>
      <c r="BI21" s="288">
        <f>Actividades!$AI21*Actividades!$K21</f>
        <v>0</v>
      </c>
      <c r="BJ21" s="288">
        <f>Actividades!$AJ21*Actividades!$K21</f>
        <v>0</v>
      </c>
      <c r="BK21" s="288">
        <f>Actividades!$AK21*Actividades!$K21</f>
        <v>0</v>
      </c>
      <c r="BL21" s="288">
        <f>Actividades!$AL21*Actividades!$K21</f>
        <v>0</v>
      </c>
    </row>
    <row r="22" spans="1:64" s="149" customFormat="1" ht="96" customHeight="1" x14ac:dyDescent="0.35">
      <c r="A22" s="228" t="str">
        <f>Actividades!$C22&amp;Actividades!$E22</f>
        <v>77442</v>
      </c>
      <c r="B22" s="326" t="str">
        <f>Actividades!$C22&amp;Actividades!$E22&amp;Actividades!$G22</f>
        <v>774424</v>
      </c>
      <c r="C22" s="327">
        <f>Proyecto!$B$19</f>
        <v>7744</v>
      </c>
      <c r="D22" s="327" t="str">
        <f>Proyecto!$D$19</f>
        <v>Generación de Oportunidades para el Desarrollo Integral de la Niñez y la Adolescencia de Bogotá</v>
      </c>
      <c r="E22" s="329">
        <v>2</v>
      </c>
      <c r="F22" s="327" t="str">
        <f>VLOOKUP(A22,ESTRATÉGICO!$C$3:$AA$110,14,0)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22" s="329">
        <v>4</v>
      </c>
      <c r="H22" s="329">
        <v>5</v>
      </c>
      <c r="I22" s="327" t="str">
        <f>VLOOKUP(Actividades!$B22,'ACTIVIDADES PAA'!$A$2:$G$184,7,0)</f>
        <v>Atender con enfoque diferencial y con proyectos pedagogicos actualizados a las ninas y ninos a traves del servicio social en Jardines Infantiles - Cupos Cofinanciados generando un acceso sin barreras y flexible segun las particularidades de</v>
      </c>
      <c r="J22" s="318" t="s">
        <v>942</v>
      </c>
      <c r="K22" s="286">
        <v>0.05</v>
      </c>
      <c r="L22" s="287">
        <v>45323</v>
      </c>
      <c r="M22" s="287">
        <v>45443</v>
      </c>
      <c r="N22" s="288">
        <f>+SUMIFS(Tareas[Programación Plan de actividades
Enero],
Tareas[N° de Actividad
(Consecutivo por meta)],Actividades!$G22,
Tareas[No Meta proyecto],Actividades!$E22)</f>
        <v>0</v>
      </c>
      <c r="O22" s="288">
        <f>+SUMIFS(Tareas[Programación Plan de actividades
Febrero],
Tareas[N° de Actividad
(Consecutivo por meta)],Actividades!$G22,
Tareas[No Meta proyecto],Actividades!$E22)</f>
        <v>0</v>
      </c>
      <c r="P22" s="288">
        <f>+SUMIFS(Tareas[Programación Plan de actividades
Marzo],
Tareas[N° de Actividad
(Consecutivo por meta)],Actividades!$G22,
Tareas[No Meta proyecto],Actividades!$E22)</f>
        <v>0.25</v>
      </c>
      <c r="Q22" s="288">
        <f>+SUMIFS(Tareas[Programación Plan de actividades
Abril],
Tareas[N° de Actividad
(Consecutivo por meta)],Actividades!$G22,
Tareas[No Meta proyecto],Actividades!$E22)</f>
        <v>0</v>
      </c>
      <c r="R22" s="288">
        <f>+SUMIFS(Tareas[Programación Plan de actividades
Mayo],
Tareas[N° de Actividad
(Consecutivo por meta)],Actividades!$G22,
Tareas[No Meta proyecto],Actividades!$E22)</f>
        <v>0.75</v>
      </c>
      <c r="S22" s="288">
        <f>+SUMIFS(Tareas[Programación Plan de actividades
Junio],
Tareas[N° de Actividad
(Consecutivo por meta)],Actividades!$G22,
Tareas[No Meta proyecto],Actividades!$E22)</f>
        <v>0</v>
      </c>
      <c r="T22" s="288">
        <f>+SUMIFS(Tareas[Programación Plan de actividades
Julio],
Tareas[N° de Actividad
(Consecutivo por meta)],Actividades!$G22,
Tareas[No Meta proyecto],Actividades!$E22)</f>
        <v>0</v>
      </c>
      <c r="U22" s="288">
        <f>+SUMIFS(Tareas[Programación Plan de actividades
Agosto],
Tareas[N° de Actividad
(Consecutivo por meta)],Actividades!$G22,
Tareas[No Meta proyecto],Actividades!$E22)</f>
        <v>0</v>
      </c>
      <c r="V22" s="288">
        <f>+SUMIFS(Tareas[Programación Plan de actividades
Septiembre],
Tareas[N° de Actividad
(Consecutivo por meta)],Actividades!$G22,
Tareas[No Meta proyecto],Actividades!$E22)</f>
        <v>0</v>
      </c>
      <c r="W22" s="288">
        <f>+SUMIFS(Tareas[Programación Plan de actividades
Octubre],
Tareas[N° de Actividad
(Consecutivo por meta)],Actividades!$G22,
Tareas[No Meta proyecto],Actividades!$E22)</f>
        <v>0</v>
      </c>
      <c r="X22" s="288">
        <f>+SUMIFS(Tareas[Programación Plan de actividades
Noviembre],
Tareas[N° de Actividad
(Consecutivo por meta)],Actividades!$G22,
Tareas[No Meta proyecto],Actividades!$E22)</f>
        <v>0</v>
      </c>
      <c r="Y22" s="288">
        <f>+SUMIFS(Tareas[Programación Plan de actividades
Diciembre],
Tareas[N° de Actividad
(Consecutivo por meta)],Actividades!$G22,
Tareas[No Meta proyecto],Actividades!$E22)</f>
        <v>0</v>
      </c>
      <c r="Z22" s="371">
        <f>+SUM(Actividades!$N22:$Y22)</f>
        <v>1</v>
      </c>
      <c r="AA22" s="288">
        <f>+SUMIFS(Tareas[Ejecución Plan de actividades
Enero],
Tareas[N° de Actividad
(Consecutivo por meta)],Actividades!$G22,
Tareas[No Meta proyecto],Actividades!$E22)</f>
        <v>0</v>
      </c>
      <c r="AB22" s="288">
        <f>+SUMIFS(Tareas[Ejecución Plan de actividades
Febrero],
Tareas[N° de Actividad
(Consecutivo por meta)],Actividades!$G22,
Tareas[No Meta proyecto],Actividades!$E22)</f>
        <v>0</v>
      </c>
      <c r="AC22" s="288">
        <f>+SUMIFS(Tareas[Ejecución Plan de actividades
Marzo],
Tareas[N° de Actividad
(Consecutivo por meta)],Actividades!$G22,
Tareas[No Meta proyecto],Actividades!$E22)</f>
        <v>0</v>
      </c>
      <c r="AD22" s="288">
        <f>+SUMIFS(Tareas[Ejecución Plan de actividades
Abril],
Tareas[N° de Actividad
(Consecutivo por meta)],Actividades!$G22,
Tareas[No Meta proyecto],Actividades!$E22)</f>
        <v>0</v>
      </c>
      <c r="AE22" s="288">
        <f>+SUMIFS(Tareas[Ejecución Plan de actividades
Mayo],
Tareas[N° de Actividad
(Consecutivo por meta)],Actividades!$G22,
Tareas[No Meta proyecto],Actividades!$E22)</f>
        <v>0</v>
      </c>
      <c r="AF22" s="288">
        <f>+SUMIFS(Tareas[Ejecución Plan de actividades
Junio],
Tareas[N° de Actividad
(Consecutivo por meta)],Actividades!$G22,
Tareas[No Meta proyecto],Actividades!$E22)</f>
        <v>0</v>
      </c>
      <c r="AG22" s="288">
        <f>+SUMIFS(Tareas[Ejecución Plan de actividades
Julio],
Tareas[N° de Actividad
(Consecutivo por meta)],Actividades!$G22,
Tareas[No Meta proyecto],Actividades!$E22)</f>
        <v>0</v>
      </c>
      <c r="AH22" s="288">
        <f>+SUMIFS(Tareas[Ejecución Plan de actividades
Agosto],
Tareas[N° de Actividad
(Consecutivo por meta)],Actividades!$G22,
Tareas[No Meta proyecto],Actividades!$E22)</f>
        <v>0</v>
      </c>
      <c r="AI22" s="288">
        <f>+SUMIFS(Tareas[Ejecución Plan de actividades
Septiembre],
Tareas[N° de Actividad
(Consecutivo por meta)],Actividades!$G22,
Tareas[No Meta proyecto],Actividades!$E22)</f>
        <v>0</v>
      </c>
      <c r="AJ22" s="288">
        <f>+SUMIFS(Tareas[Ejecución Plan de actividades
Octubre],
Tareas[N° de Actividad
(Consecutivo por meta)],Actividades!$G22,
Tareas[No Meta proyecto],Actividades!$E22)</f>
        <v>0</v>
      </c>
      <c r="AK22" s="288">
        <f>+SUMIFS(Tareas[Ejecución Plan de actividades
Noviembre],
Tareas[N° de Actividad
(Consecutivo por meta)],Actividades!$G22,
Tareas[No Meta proyecto],Actividades!$E22)</f>
        <v>0</v>
      </c>
      <c r="AL22" s="288">
        <f>+SUMIFS(Tareas[Ejecución Plan de actividades
Diciembre],
Tareas[N° de Actividad
(Consecutivo por meta)],Actividades!$G22,
Tareas[No Meta proyecto],Actividades!$E22)</f>
        <v>0</v>
      </c>
      <c r="AM22" s="371">
        <f>+SUM(Actividades!$AA22:$AL22)</f>
        <v>0</v>
      </c>
      <c r="AN22" s="372">
        <f>IFERROR(Actividades!$AM22/Actividades!$Z22,"No Programado")</f>
        <v>0</v>
      </c>
      <c r="AO22" s="288">
        <f>+Actividades!$N22*Actividades!$K22</f>
        <v>0</v>
      </c>
      <c r="AP22" s="288">
        <f>+Actividades!$O22*Actividades!$K22</f>
        <v>0</v>
      </c>
      <c r="AQ22" s="288">
        <f>+Actividades!$P22*Actividades!$K22</f>
        <v>1.2500000000000001E-2</v>
      </c>
      <c r="AR22" s="288">
        <f>+Actividades!$Q22*Actividades!$K22</f>
        <v>0</v>
      </c>
      <c r="AS22" s="288">
        <f>+Actividades!$R22*Actividades!$K22</f>
        <v>3.7500000000000006E-2</v>
      </c>
      <c r="AT22" s="288">
        <f>+Actividades!$S22*Actividades!$K22</f>
        <v>0</v>
      </c>
      <c r="AU22" s="288">
        <f>+Actividades!$T22*Actividades!$K22</f>
        <v>0</v>
      </c>
      <c r="AV22" s="288">
        <f>+Actividades!$U22*Actividades!$K22</f>
        <v>0</v>
      </c>
      <c r="AW22" s="288">
        <f>+Actividades!$V22*Actividades!$K22</f>
        <v>0</v>
      </c>
      <c r="AX22" s="288">
        <f>+Actividades!$W22*Actividades!$K22</f>
        <v>0</v>
      </c>
      <c r="AY22" s="288">
        <f>+Actividades!$X22*Actividades!$K22</f>
        <v>0</v>
      </c>
      <c r="AZ22" s="288">
        <f>+Actividades!$Y22*Actividades!$K22</f>
        <v>0</v>
      </c>
      <c r="BA22" s="288">
        <f>Actividades!$AA22*Actividades!$K22</f>
        <v>0</v>
      </c>
      <c r="BB22" s="288">
        <f>Actividades!$AB22*Actividades!$K22</f>
        <v>0</v>
      </c>
      <c r="BC22" s="288">
        <f>Actividades!$AC22*Actividades!$K22</f>
        <v>0</v>
      </c>
      <c r="BD22" s="288">
        <f>Actividades!$AD22*Actividades!$K22</f>
        <v>0</v>
      </c>
      <c r="BE22" s="288">
        <f>Actividades!$AE22*Actividades!$K22</f>
        <v>0</v>
      </c>
      <c r="BF22" s="288">
        <f>Actividades!$AF22*Actividades!$K22</f>
        <v>0</v>
      </c>
      <c r="BG22" s="288">
        <f>Actividades!$AG22*Actividades!$K22</f>
        <v>0</v>
      </c>
      <c r="BH22" s="288">
        <f>Actividades!$AH22*Actividades!$K22</f>
        <v>0</v>
      </c>
      <c r="BI22" s="288">
        <f>Actividades!$AI22*Actividades!$K22</f>
        <v>0</v>
      </c>
      <c r="BJ22" s="288">
        <f>Actividades!$AJ22*Actividades!$K22</f>
        <v>0</v>
      </c>
      <c r="BK22" s="288">
        <f>Actividades!$AK22*Actividades!$K22</f>
        <v>0</v>
      </c>
      <c r="BL22" s="288">
        <f>Actividades!$AL22*Actividades!$K22</f>
        <v>0</v>
      </c>
    </row>
    <row r="23" spans="1:64" s="149" customFormat="1" ht="110.4" x14ac:dyDescent="0.35">
      <c r="A23" s="228" t="str">
        <f>Actividades!$C23&amp;Actividades!$E23</f>
        <v>77442</v>
      </c>
      <c r="B23" s="326" t="str">
        <f>Actividades!$C23&amp;Actividades!$E23&amp;Actividades!$G23</f>
        <v>774425</v>
      </c>
      <c r="C23" s="327">
        <f>Proyecto!$B$19</f>
        <v>7744</v>
      </c>
      <c r="D23" s="327" t="str">
        <f>Proyecto!$D$19</f>
        <v>Generación de Oportunidades para el Desarrollo Integral de la Niñez y la Adolescencia de Bogotá</v>
      </c>
      <c r="E23" s="329">
        <v>2</v>
      </c>
      <c r="F23" s="327" t="str">
        <f>VLOOKUP(A23,ESTRATÉGICO!$C$3:$AA$110,14,0)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23" s="329">
        <v>5</v>
      </c>
      <c r="H23" s="329">
        <v>6</v>
      </c>
      <c r="I23" s="327" t="str">
        <f>VLOOKUP(Actividades!$B23,'ACTIVIDADES PAA'!$A$2:$G$184,7,0)</f>
        <v>Atender con enfoque diferencial y con proyectos pedagogicos actualizados a las ninas y ninos a traves del servicio social en Jardines Infantiles - Sociales generando un acceso sin barreras y flexible segun las particularidades del territori</v>
      </c>
      <c r="J23" s="318" t="s">
        <v>943</v>
      </c>
      <c r="K23" s="286">
        <v>0.05</v>
      </c>
      <c r="L23" s="287">
        <v>45323</v>
      </c>
      <c r="M23" s="287">
        <v>45443</v>
      </c>
      <c r="N23" s="288">
        <f>+SUMIFS(Tareas[Programación Plan de actividades
Enero],
Tareas[N° de Actividad
(Consecutivo por meta)],Actividades!$G23,
Tareas[No Meta proyecto],Actividades!$E23)</f>
        <v>0</v>
      </c>
      <c r="O23" s="288">
        <f>+SUMIFS(Tareas[Programación Plan de actividades
Febrero],
Tareas[N° de Actividad
(Consecutivo por meta)],Actividades!$G23,
Tareas[No Meta proyecto],Actividades!$E23)</f>
        <v>0</v>
      </c>
      <c r="P23" s="288">
        <f>+SUMIFS(Tareas[Programación Plan de actividades
Marzo],
Tareas[N° de Actividad
(Consecutivo por meta)],Actividades!$G23,
Tareas[No Meta proyecto],Actividades!$E23)</f>
        <v>0.25</v>
      </c>
      <c r="Q23" s="288">
        <f>+SUMIFS(Tareas[Programación Plan de actividades
Abril],
Tareas[N° de Actividad
(Consecutivo por meta)],Actividades!$G23,
Tareas[No Meta proyecto],Actividades!$E23)</f>
        <v>0</v>
      </c>
      <c r="R23" s="288">
        <f>+SUMIFS(Tareas[Programación Plan de actividades
Mayo],
Tareas[N° de Actividad
(Consecutivo por meta)],Actividades!$G23,
Tareas[No Meta proyecto],Actividades!$E23)</f>
        <v>0.75</v>
      </c>
      <c r="S23" s="288">
        <f>+SUMIFS(Tareas[Programación Plan de actividades
Junio],
Tareas[N° de Actividad
(Consecutivo por meta)],Actividades!$G23,
Tareas[No Meta proyecto],Actividades!$E23)</f>
        <v>0</v>
      </c>
      <c r="T23" s="288">
        <f>+SUMIFS(Tareas[Programación Plan de actividades
Julio],
Tareas[N° de Actividad
(Consecutivo por meta)],Actividades!$G23,
Tareas[No Meta proyecto],Actividades!$E23)</f>
        <v>0</v>
      </c>
      <c r="U23" s="288">
        <f>+SUMIFS(Tareas[Programación Plan de actividades
Agosto],
Tareas[N° de Actividad
(Consecutivo por meta)],Actividades!$G23,
Tareas[No Meta proyecto],Actividades!$E23)</f>
        <v>0</v>
      </c>
      <c r="V23" s="288">
        <f>+SUMIFS(Tareas[Programación Plan de actividades
Septiembre],
Tareas[N° de Actividad
(Consecutivo por meta)],Actividades!$G23,
Tareas[No Meta proyecto],Actividades!$E23)</f>
        <v>0</v>
      </c>
      <c r="W23" s="288">
        <f>+SUMIFS(Tareas[Programación Plan de actividades
Octubre],
Tareas[N° de Actividad
(Consecutivo por meta)],Actividades!$G23,
Tareas[No Meta proyecto],Actividades!$E23)</f>
        <v>0</v>
      </c>
      <c r="X23" s="288">
        <f>+SUMIFS(Tareas[Programación Plan de actividades
Noviembre],
Tareas[N° de Actividad
(Consecutivo por meta)],Actividades!$G23,
Tareas[No Meta proyecto],Actividades!$E23)</f>
        <v>0</v>
      </c>
      <c r="Y23" s="288">
        <f>+SUMIFS(Tareas[Programación Plan de actividades
Diciembre],
Tareas[N° de Actividad
(Consecutivo por meta)],Actividades!$G23,
Tareas[No Meta proyecto],Actividades!$E23)</f>
        <v>0</v>
      </c>
      <c r="Z23" s="371">
        <f>+SUM(Actividades!$N23:$Y23)</f>
        <v>1</v>
      </c>
      <c r="AA23" s="288">
        <f>+SUMIFS(Tareas[Ejecución Plan de actividades
Enero],
Tareas[N° de Actividad
(Consecutivo por meta)],Actividades!$G23,
Tareas[No Meta proyecto],Actividades!$E23)</f>
        <v>0</v>
      </c>
      <c r="AB23" s="288">
        <f>+SUMIFS(Tareas[Ejecución Plan de actividades
Febrero],
Tareas[N° de Actividad
(Consecutivo por meta)],Actividades!$G23,
Tareas[No Meta proyecto],Actividades!$E23)</f>
        <v>0</v>
      </c>
      <c r="AC23" s="288">
        <f>+SUMIFS(Tareas[Ejecución Plan de actividades
Marzo],
Tareas[N° de Actividad
(Consecutivo por meta)],Actividades!$G23,
Tareas[No Meta proyecto],Actividades!$E23)</f>
        <v>0</v>
      </c>
      <c r="AD23" s="288">
        <f>+SUMIFS(Tareas[Ejecución Plan de actividades
Abril],
Tareas[N° de Actividad
(Consecutivo por meta)],Actividades!$G23,
Tareas[No Meta proyecto],Actividades!$E23)</f>
        <v>0</v>
      </c>
      <c r="AE23" s="288">
        <f>+SUMIFS(Tareas[Ejecución Plan de actividades
Mayo],
Tareas[N° de Actividad
(Consecutivo por meta)],Actividades!$G23,
Tareas[No Meta proyecto],Actividades!$E23)</f>
        <v>0</v>
      </c>
      <c r="AF23" s="288">
        <f>+SUMIFS(Tareas[Ejecución Plan de actividades
Junio],
Tareas[N° de Actividad
(Consecutivo por meta)],Actividades!$G23,
Tareas[No Meta proyecto],Actividades!$E23)</f>
        <v>0</v>
      </c>
      <c r="AG23" s="288">
        <f>+SUMIFS(Tareas[Ejecución Plan de actividades
Julio],
Tareas[N° de Actividad
(Consecutivo por meta)],Actividades!$G23,
Tareas[No Meta proyecto],Actividades!$E23)</f>
        <v>0</v>
      </c>
      <c r="AH23" s="288">
        <f>+SUMIFS(Tareas[Ejecución Plan de actividades
Agosto],
Tareas[N° de Actividad
(Consecutivo por meta)],Actividades!$G23,
Tareas[No Meta proyecto],Actividades!$E23)</f>
        <v>0</v>
      </c>
      <c r="AI23" s="288">
        <f>+SUMIFS(Tareas[Ejecución Plan de actividades
Septiembre],
Tareas[N° de Actividad
(Consecutivo por meta)],Actividades!$G23,
Tareas[No Meta proyecto],Actividades!$E23)</f>
        <v>0</v>
      </c>
      <c r="AJ23" s="288">
        <f>+SUMIFS(Tareas[Ejecución Plan de actividades
Octubre],
Tareas[N° de Actividad
(Consecutivo por meta)],Actividades!$G23,
Tareas[No Meta proyecto],Actividades!$E23)</f>
        <v>0</v>
      </c>
      <c r="AK23" s="288">
        <f>+SUMIFS(Tareas[Ejecución Plan de actividades
Noviembre],
Tareas[N° de Actividad
(Consecutivo por meta)],Actividades!$G23,
Tareas[No Meta proyecto],Actividades!$E23)</f>
        <v>0</v>
      </c>
      <c r="AL23" s="288">
        <f>+SUMIFS(Tareas[Ejecución Plan de actividades
Diciembre],
Tareas[N° de Actividad
(Consecutivo por meta)],Actividades!$G23,
Tareas[No Meta proyecto],Actividades!$E23)</f>
        <v>0</v>
      </c>
      <c r="AM23" s="371">
        <f>+SUM(Actividades!$AA23:$AL23)</f>
        <v>0</v>
      </c>
      <c r="AN23" s="372">
        <f>IFERROR(Actividades!$AM23/Actividades!$Z23,"No Programado")</f>
        <v>0</v>
      </c>
      <c r="AO23" s="288">
        <f>+Actividades!$N23*Actividades!$K23</f>
        <v>0</v>
      </c>
      <c r="AP23" s="288">
        <f>+Actividades!$O23*Actividades!$K23</f>
        <v>0</v>
      </c>
      <c r="AQ23" s="288">
        <f>+Actividades!$P23*Actividades!$K23</f>
        <v>1.2500000000000001E-2</v>
      </c>
      <c r="AR23" s="288">
        <f>+Actividades!$Q23*Actividades!$K23</f>
        <v>0</v>
      </c>
      <c r="AS23" s="288">
        <f>+Actividades!$R23*Actividades!$K23</f>
        <v>3.7500000000000006E-2</v>
      </c>
      <c r="AT23" s="288">
        <f>+Actividades!$S23*Actividades!$K23</f>
        <v>0</v>
      </c>
      <c r="AU23" s="288">
        <f>+Actividades!$T23*Actividades!$K23</f>
        <v>0</v>
      </c>
      <c r="AV23" s="288">
        <f>+Actividades!$U23*Actividades!$K23</f>
        <v>0</v>
      </c>
      <c r="AW23" s="288">
        <f>+Actividades!$V23*Actividades!$K23</f>
        <v>0</v>
      </c>
      <c r="AX23" s="288">
        <f>+Actividades!$W23*Actividades!$K23</f>
        <v>0</v>
      </c>
      <c r="AY23" s="288">
        <f>+Actividades!$X23*Actividades!$K23</f>
        <v>0</v>
      </c>
      <c r="AZ23" s="288">
        <f>+Actividades!$Y23*Actividades!$K23</f>
        <v>0</v>
      </c>
      <c r="BA23" s="288">
        <f>Actividades!$AA23*Actividades!$K23</f>
        <v>0</v>
      </c>
      <c r="BB23" s="288">
        <f>Actividades!$AB23*Actividades!$K23</f>
        <v>0</v>
      </c>
      <c r="BC23" s="288">
        <f>Actividades!$AC23*Actividades!$K23</f>
        <v>0</v>
      </c>
      <c r="BD23" s="288">
        <f>Actividades!$AD23*Actividades!$K23</f>
        <v>0</v>
      </c>
      <c r="BE23" s="288">
        <f>Actividades!$AE23*Actividades!$K23</f>
        <v>0</v>
      </c>
      <c r="BF23" s="288">
        <f>Actividades!$AF23*Actividades!$K23</f>
        <v>0</v>
      </c>
      <c r="BG23" s="288">
        <f>Actividades!$AG23*Actividades!$K23</f>
        <v>0</v>
      </c>
      <c r="BH23" s="288">
        <f>Actividades!$AH23*Actividades!$K23</f>
        <v>0</v>
      </c>
      <c r="BI23" s="288">
        <f>Actividades!$AI23*Actividades!$K23</f>
        <v>0</v>
      </c>
      <c r="BJ23" s="288">
        <f>Actividades!$AJ23*Actividades!$K23</f>
        <v>0</v>
      </c>
      <c r="BK23" s="288">
        <f>Actividades!$AK23*Actividades!$K23</f>
        <v>0</v>
      </c>
      <c r="BL23" s="288">
        <f>Actividades!$AL23*Actividades!$K23</f>
        <v>0</v>
      </c>
    </row>
    <row r="24" spans="1:64" s="149" customFormat="1" ht="110.4" x14ac:dyDescent="0.35">
      <c r="A24" s="228" t="str">
        <f>Actividades!$C24&amp;Actividades!$E24</f>
        <v>77442</v>
      </c>
      <c r="B24" s="326" t="str">
        <f>Actividades!$C24&amp;Actividades!$E24&amp;Actividades!$G24</f>
        <v>774426</v>
      </c>
      <c r="C24" s="327">
        <f>Proyecto!$B$19</f>
        <v>7744</v>
      </c>
      <c r="D24" s="327" t="str">
        <f>Proyecto!$D$19</f>
        <v>Generación de Oportunidades para el Desarrollo Integral de la Niñez y la Adolescencia de Bogotá</v>
      </c>
      <c r="E24" s="329">
        <v>2</v>
      </c>
      <c r="F24" s="327" t="str">
        <f>VLOOKUP(A24,ESTRATÉGICO!$C$3:$AA$110,14,0)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24" s="329">
        <v>6</v>
      </c>
      <c r="H24" s="329">
        <v>7</v>
      </c>
      <c r="I24" s="327" t="str">
        <f>VLOOKUP(Actividades!$B24,'ACTIVIDADES PAA'!$A$2:$G$184,7,0)</f>
        <v>Atender con enfoque diferencial y con proyectos pedagogicos actualizados a las ninas y ninos a traves del servicio social en Jardines Infantiles Diurnos, Nocturnos y Casas de Pensamiento Intercultural -SDIS, generando un acceso sin barreras</v>
      </c>
      <c r="J24" s="318" t="s">
        <v>944</v>
      </c>
      <c r="K24" s="286">
        <v>0.06</v>
      </c>
      <c r="L24" s="287">
        <v>45352</v>
      </c>
      <c r="M24" s="287">
        <v>45443</v>
      </c>
      <c r="N24" s="288">
        <f>+SUMIFS(Tareas[Programación Plan de actividades
Enero],
Tareas[N° de Actividad
(Consecutivo por meta)],Actividades!$G24,
Tareas[No Meta proyecto],Actividades!$E24)</f>
        <v>0</v>
      </c>
      <c r="O24" s="288">
        <f>+SUMIFS(Tareas[Programación Plan de actividades
Febrero],
Tareas[N° de Actividad
(Consecutivo por meta)],Actividades!$G24,
Tareas[No Meta proyecto],Actividades!$E24)</f>
        <v>0</v>
      </c>
      <c r="P24" s="288">
        <f>+SUMIFS(Tareas[Programación Plan de actividades
Marzo],
Tareas[N° de Actividad
(Consecutivo por meta)],Actividades!$G24,
Tareas[No Meta proyecto],Actividades!$E24)</f>
        <v>0.30000000000000004</v>
      </c>
      <c r="Q24" s="288">
        <f>+SUMIFS(Tareas[Programación Plan de actividades
Abril],
Tareas[N° de Actividad
(Consecutivo por meta)],Actividades!$G24,
Tareas[No Meta proyecto],Actividades!$E24)</f>
        <v>0.30000000000000004</v>
      </c>
      <c r="R24" s="288">
        <f>+SUMIFS(Tareas[Programación Plan de actividades
Mayo],
Tareas[N° de Actividad
(Consecutivo por meta)],Actividades!$G24,
Tareas[No Meta proyecto],Actividades!$E24)</f>
        <v>0.4</v>
      </c>
      <c r="S24" s="288">
        <f>+SUMIFS(Tareas[Programación Plan de actividades
Junio],
Tareas[N° de Actividad
(Consecutivo por meta)],Actividades!$G24,
Tareas[No Meta proyecto],Actividades!$E24)</f>
        <v>0</v>
      </c>
      <c r="T24" s="288">
        <f>+SUMIFS(Tareas[Programación Plan de actividades
Julio],
Tareas[N° de Actividad
(Consecutivo por meta)],Actividades!$G24,
Tareas[No Meta proyecto],Actividades!$E24)</f>
        <v>0</v>
      </c>
      <c r="U24" s="288">
        <f>+SUMIFS(Tareas[Programación Plan de actividades
Agosto],
Tareas[N° de Actividad
(Consecutivo por meta)],Actividades!$G24,
Tareas[No Meta proyecto],Actividades!$E24)</f>
        <v>0</v>
      </c>
      <c r="V24" s="288">
        <f>+SUMIFS(Tareas[Programación Plan de actividades
Septiembre],
Tareas[N° de Actividad
(Consecutivo por meta)],Actividades!$G24,
Tareas[No Meta proyecto],Actividades!$E24)</f>
        <v>0</v>
      </c>
      <c r="W24" s="288">
        <f>+SUMIFS(Tareas[Programación Plan de actividades
Octubre],
Tareas[N° de Actividad
(Consecutivo por meta)],Actividades!$G24,
Tareas[No Meta proyecto],Actividades!$E24)</f>
        <v>0</v>
      </c>
      <c r="X24" s="288">
        <f>+SUMIFS(Tareas[Programación Plan de actividades
Noviembre],
Tareas[N° de Actividad
(Consecutivo por meta)],Actividades!$G24,
Tareas[No Meta proyecto],Actividades!$E24)</f>
        <v>0</v>
      </c>
      <c r="Y24" s="288">
        <f>+SUMIFS(Tareas[Programación Plan de actividades
Diciembre],
Tareas[N° de Actividad
(Consecutivo por meta)],Actividades!$G24,
Tareas[No Meta proyecto],Actividades!$E24)</f>
        <v>0</v>
      </c>
      <c r="Z24" s="371">
        <f>+SUM(Actividades!$N24:$Y24)</f>
        <v>1</v>
      </c>
      <c r="AA24" s="288">
        <f>+SUMIFS(Tareas[Ejecución Plan de actividades
Enero],
Tareas[N° de Actividad
(Consecutivo por meta)],Actividades!$G24,
Tareas[No Meta proyecto],Actividades!$E24)</f>
        <v>0</v>
      </c>
      <c r="AB24" s="288">
        <f>+SUMIFS(Tareas[Ejecución Plan de actividades
Febrero],
Tareas[N° de Actividad
(Consecutivo por meta)],Actividades!$G24,
Tareas[No Meta proyecto],Actividades!$E24)</f>
        <v>0</v>
      </c>
      <c r="AC24" s="288">
        <f>+SUMIFS(Tareas[Ejecución Plan de actividades
Marzo],
Tareas[N° de Actividad
(Consecutivo por meta)],Actividades!$G24,
Tareas[No Meta proyecto],Actividades!$E24)</f>
        <v>0</v>
      </c>
      <c r="AD24" s="288">
        <f>+SUMIFS(Tareas[Ejecución Plan de actividades
Abril],
Tareas[N° de Actividad
(Consecutivo por meta)],Actividades!$G24,
Tareas[No Meta proyecto],Actividades!$E24)</f>
        <v>0</v>
      </c>
      <c r="AE24" s="288">
        <f>+SUMIFS(Tareas[Ejecución Plan de actividades
Mayo],
Tareas[N° de Actividad
(Consecutivo por meta)],Actividades!$G24,
Tareas[No Meta proyecto],Actividades!$E24)</f>
        <v>0</v>
      </c>
      <c r="AF24" s="288">
        <f>+SUMIFS(Tareas[Ejecución Plan de actividades
Junio],
Tareas[N° de Actividad
(Consecutivo por meta)],Actividades!$G24,
Tareas[No Meta proyecto],Actividades!$E24)</f>
        <v>0</v>
      </c>
      <c r="AG24" s="288">
        <f>+SUMIFS(Tareas[Ejecución Plan de actividades
Julio],
Tareas[N° de Actividad
(Consecutivo por meta)],Actividades!$G24,
Tareas[No Meta proyecto],Actividades!$E24)</f>
        <v>0</v>
      </c>
      <c r="AH24" s="288">
        <f>+SUMIFS(Tareas[Ejecución Plan de actividades
Agosto],
Tareas[N° de Actividad
(Consecutivo por meta)],Actividades!$G24,
Tareas[No Meta proyecto],Actividades!$E24)</f>
        <v>0</v>
      </c>
      <c r="AI24" s="288">
        <f>+SUMIFS(Tareas[Ejecución Plan de actividades
Septiembre],
Tareas[N° de Actividad
(Consecutivo por meta)],Actividades!$G24,
Tareas[No Meta proyecto],Actividades!$E24)</f>
        <v>0</v>
      </c>
      <c r="AJ24" s="288">
        <f>+SUMIFS(Tareas[Ejecución Plan de actividades
Octubre],
Tareas[N° de Actividad
(Consecutivo por meta)],Actividades!$G24,
Tareas[No Meta proyecto],Actividades!$E24)</f>
        <v>0</v>
      </c>
      <c r="AK24" s="288">
        <f>+SUMIFS(Tareas[Ejecución Plan de actividades
Noviembre],
Tareas[N° de Actividad
(Consecutivo por meta)],Actividades!$G24,
Tareas[No Meta proyecto],Actividades!$E24)</f>
        <v>0</v>
      </c>
      <c r="AL24" s="288">
        <f>+SUMIFS(Tareas[Ejecución Plan de actividades
Diciembre],
Tareas[N° de Actividad
(Consecutivo por meta)],Actividades!$G24,
Tareas[No Meta proyecto],Actividades!$E24)</f>
        <v>0</v>
      </c>
      <c r="AM24" s="371">
        <f>+SUM(Actividades!$AA24:$AL24)</f>
        <v>0</v>
      </c>
      <c r="AN24" s="372">
        <f>IFERROR(Actividades!$AM24/Actividades!$Z24,"No Programado")</f>
        <v>0</v>
      </c>
      <c r="AO24" s="288">
        <f>+Actividades!$N24*Actividades!$K24</f>
        <v>0</v>
      </c>
      <c r="AP24" s="288">
        <f>+Actividades!$O24*Actividades!$K24</f>
        <v>0</v>
      </c>
      <c r="AQ24" s="288">
        <f>+Actividades!$P24*Actividades!$K24</f>
        <v>1.8000000000000002E-2</v>
      </c>
      <c r="AR24" s="288">
        <f>+Actividades!$Q24*Actividades!$K24</f>
        <v>1.8000000000000002E-2</v>
      </c>
      <c r="AS24" s="288">
        <f>+Actividades!$R24*Actividades!$K24</f>
        <v>2.4E-2</v>
      </c>
      <c r="AT24" s="288">
        <f>+Actividades!$S24*Actividades!$K24</f>
        <v>0</v>
      </c>
      <c r="AU24" s="288">
        <f>+Actividades!$T24*Actividades!$K24</f>
        <v>0</v>
      </c>
      <c r="AV24" s="288">
        <f>+Actividades!$U24*Actividades!$K24</f>
        <v>0</v>
      </c>
      <c r="AW24" s="288">
        <f>+Actividades!$V24*Actividades!$K24</f>
        <v>0</v>
      </c>
      <c r="AX24" s="288">
        <f>+Actividades!$W24*Actividades!$K24</f>
        <v>0</v>
      </c>
      <c r="AY24" s="288">
        <f>+Actividades!$X24*Actividades!$K24</f>
        <v>0</v>
      </c>
      <c r="AZ24" s="288">
        <f>+Actividades!$Y24*Actividades!$K24</f>
        <v>0</v>
      </c>
      <c r="BA24" s="288">
        <f>Actividades!$AA24*Actividades!$K24</f>
        <v>0</v>
      </c>
      <c r="BB24" s="288">
        <f>Actividades!$AB24*Actividades!$K24</f>
        <v>0</v>
      </c>
      <c r="BC24" s="288">
        <f>Actividades!$AC24*Actividades!$K24</f>
        <v>0</v>
      </c>
      <c r="BD24" s="288">
        <f>Actividades!$AD24*Actividades!$K24</f>
        <v>0</v>
      </c>
      <c r="BE24" s="288">
        <f>Actividades!$AE24*Actividades!$K24</f>
        <v>0</v>
      </c>
      <c r="BF24" s="288">
        <f>Actividades!$AF24*Actividades!$K24</f>
        <v>0</v>
      </c>
      <c r="BG24" s="288">
        <f>Actividades!$AG24*Actividades!$K24</f>
        <v>0</v>
      </c>
      <c r="BH24" s="288">
        <f>Actividades!$AH24*Actividades!$K24</f>
        <v>0</v>
      </c>
      <c r="BI24" s="288">
        <f>Actividades!$AI24*Actividades!$K24</f>
        <v>0</v>
      </c>
      <c r="BJ24" s="288">
        <f>Actividades!$AJ24*Actividades!$K24</f>
        <v>0</v>
      </c>
      <c r="BK24" s="288">
        <f>Actividades!$AK24*Actividades!$K24</f>
        <v>0</v>
      </c>
      <c r="BL24" s="288">
        <f>Actividades!$AL24*Actividades!$K24</f>
        <v>0</v>
      </c>
    </row>
    <row r="25" spans="1:64" s="149" customFormat="1" ht="110.4" x14ac:dyDescent="0.35">
      <c r="A25" s="228" t="str">
        <f>Actividades!$C25&amp;Actividades!$E25</f>
        <v>77442</v>
      </c>
      <c r="B25" s="326" t="str">
        <f>Actividades!$C25&amp;Actividades!$E25&amp;Actividades!$G25</f>
        <v>774427</v>
      </c>
      <c r="C25" s="327">
        <f>Proyecto!$B$19</f>
        <v>7744</v>
      </c>
      <c r="D25" s="327" t="str">
        <f>Proyecto!$D$19</f>
        <v>Generación de Oportunidades para el Desarrollo Integral de la Niñez y la Adolescencia de Bogotá</v>
      </c>
      <c r="E25" s="329">
        <v>2</v>
      </c>
      <c r="F25" s="327" t="str">
        <f>VLOOKUP(A25,ESTRATÉGICO!$C$3:$AA$110,14,0)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25" s="329">
        <v>7</v>
      </c>
      <c r="H25" s="329">
        <v>8</v>
      </c>
      <c r="I25" s="327" t="str">
        <f>VLOOKUP(Actividades!$B25,'ACTIVIDADES PAA'!$A$2:$G$184,7,0)</f>
        <v>Atender con enfoque diferencial a las ninas y ninos desde la gestacion a traves del servicio social Creciendo en Familia en la Ruralidad, generando en ellos espacios protectores para un crecimiento y desarrollo en el marco de la garantia de</v>
      </c>
      <c r="J25" s="318" t="s">
        <v>945</v>
      </c>
      <c r="K25" s="286">
        <v>0.06</v>
      </c>
      <c r="L25" s="287">
        <v>45323</v>
      </c>
      <c r="M25" s="287">
        <v>45443</v>
      </c>
      <c r="N25" s="288">
        <f>+SUMIFS(Tareas[Programación Plan de actividades
Enero],
Tareas[N° de Actividad
(Consecutivo por meta)],Actividades!$G25,
Tareas[No Meta proyecto],Actividades!$E25)</f>
        <v>0</v>
      </c>
      <c r="O25" s="288">
        <f>+SUMIFS(Tareas[Programación Plan de actividades
Febrero],
Tareas[N° de Actividad
(Consecutivo por meta)],Actividades!$G25,
Tareas[No Meta proyecto],Actividades!$E25)</f>
        <v>0</v>
      </c>
      <c r="P25" s="288">
        <f>+SUMIFS(Tareas[Programación Plan de actividades
Marzo],
Tareas[N° de Actividad
(Consecutivo por meta)],Actividades!$G25,
Tareas[No Meta proyecto],Actividades!$E25)</f>
        <v>0.12</v>
      </c>
      <c r="Q25" s="288">
        <f>+SUMIFS(Tareas[Programación Plan de actividades
Abril],
Tareas[N° de Actividad
(Consecutivo por meta)],Actividades!$G25,
Tareas[No Meta proyecto],Actividades!$E25)</f>
        <v>0.12</v>
      </c>
      <c r="R25" s="288">
        <f>+SUMIFS(Tareas[Programación Plan de actividades
Mayo],
Tareas[N° de Actividad
(Consecutivo por meta)],Actividades!$G25,
Tareas[No Meta proyecto],Actividades!$E25)</f>
        <v>0.76</v>
      </c>
      <c r="S25" s="288">
        <f>+SUMIFS(Tareas[Programación Plan de actividades
Junio],
Tareas[N° de Actividad
(Consecutivo por meta)],Actividades!$G25,
Tareas[No Meta proyecto],Actividades!$E25)</f>
        <v>0</v>
      </c>
      <c r="T25" s="288">
        <f>+SUMIFS(Tareas[Programación Plan de actividades
Julio],
Tareas[N° de Actividad
(Consecutivo por meta)],Actividades!$G25,
Tareas[No Meta proyecto],Actividades!$E25)</f>
        <v>0</v>
      </c>
      <c r="U25" s="288">
        <f>+SUMIFS(Tareas[Programación Plan de actividades
Agosto],
Tareas[N° de Actividad
(Consecutivo por meta)],Actividades!$G25,
Tareas[No Meta proyecto],Actividades!$E25)</f>
        <v>0</v>
      </c>
      <c r="V25" s="288">
        <f>+SUMIFS(Tareas[Programación Plan de actividades
Septiembre],
Tareas[N° de Actividad
(Consecutivo por meta)],Actividades!$G25,
Tareas[No Meta proyecto],Actividades!$E25)</f>
        <v>0</v>
      </c>
      <c r="W25" s="288">
        <f>+SUMIFS(Tareas[Programación Plan de actividades
Octubre],
Tareas[N° de Actividad
(Consecutivo por meta)],Actividades!$G25,
Tareas[No Meta proyecto],Actividades!$E25)</f>
        <v>0</v>
      </c>
      <c r="X25" s="288">
        <f>+SUMIFS(Tareas[Programación Plan de actividades
Noviembre],
Tareas[N° de Actividad
(Consecutivo por meta)],Actividades!$G25,
Tareas[No Meta proyecto],Actividades!$E25)</f>
        <v>0</v>
      </c>
      <c r="Y25" s="288">
        <f>+SUMIFS(Tareas[Programación Plan de actividades
Diciembre],
Tareas[N° de Actividad
(Consecutivo por meta)],Actividades!$G25,
Tareas[No Meta proyecto],Actividades!$E25)</f>
        <v>0</v>
      </c>
      <c r="Z25" s="371">
        <f>+SUM(Actividades!$N25:$Y25)</f>
        <v>1</v>
      </c>
      <c r="AA25" s="288">
        <f>+SUMIFS(Tareas[Ejecución Plan de actividades
Enero],
Tareas[N° de Actividad
(Consecutivo por meta)],Actividades!$G25,
Tareas[No Meta proyecto],Actividades!$E25)</f>
        <v>0</v>
      </c>
      <c r="AB25" s="288">
        <f>+SUMIFS(Tareas[Ejecución Plan de actividades
Febrero],
Tareas[N° de Actividad
(Consecutivo por meta)],Actividades!$G25,
Tareas[No Meta proyecto],Actividades!$E25)</f>
        <v>0</v>
      </c>
      <c r="AC25" s="288">
        <f>+SUMIFS(Tareas[Ejecución Plan de actividades
Marzo],
Tareas[N° de Actividad
(Consecutivo por meta)],Actividades!$G25,
Tareas[No Meta proyecto],Actividades!$E25)</f>
        <v>0</v>
      </c>
      <c r="AD25" s="288">
        <f>+SUMIFS(Tareas[Ejecución Plan de actividades
Abril],
Tareas[N° de Actividad
(Consecutivo por meta)],Actividades!$G25,
Tareas[No Meta proyecto],Actividades!$E25)</f>
        <v>0</v>
      </c>
      <c r="AE25" s="288">
        <f>+SUMIFS(Tareas[Ejecución Plan de actividades
Mayo],
Tareas[N° de Actividad
(Consecutivo por meta)],Actividades!$G25,
Tareas[No Meta proyecto],Actividades!$E25)</f>
        <v>0</v>
      </c>
      <c r="AF25" s="288">
        <f>+SUMIFS(Tareas[Ejecución Plan de actividades
Junio],
Tareas[N° de Actividad
(Consecutivo por meta)],Actividades!$G25,
Tareas[No Meta proyecto],Actividades!$E25)</f>
        <v>0</v>
      </c>
      <c r="AG25" s="288">
        <f>+SUMIFS(Tareas[Ejecución Plan de actividades
Julio],
Tareas[N° de Actividad
(Consecutivo por meta)],Actividades!$G25,
Tareas[No Meta proyecto],Actividades!$E25)</f>
        <v>0</v>
      </c>
      <c r="AH25" s="288">
        <f>+SUMIFS(Tareas[Ejecución Plan de actividades
Agosto],
Tareas[N° de Actividad
(Consecutivo por meta)],Actividades!$G25,
Tareas[No Meta proyecto],Actividades!$E25)</f>
        <v>0</v>
      </c>
      <c r="AI25" s="288">
        <f>+SUMIFS(Tareas[Ejecución Plan de actividades
Septiembre],
Tareas[N° de Actividad
(Consecutivo por meta)],Actividades!$G25,
Tareas[No Meta proyecto],Actividades!$E25)</f>
        <v>0</v>
      </c>
      <c r="AJ25" s="288">
        <f>+SUMIFS(Tareas[Ejecución Plan de actividades
Octubre],
Tareas[N° de Actividad
(Consecutivo por meta)],Actividades!$G25,
Tareas[No Meta proyecto],Actividades!$E25)</f>
        <v>0</v>
      </c>
      <c r="AK25" s="288">
        <f>+SUMIFS(Tareas[Ejecución Plan de actividades
Noviembre],
Tareas[N° de Actividad
(Consecutivo por meta)],Actividades!$G25,
Tareas[No Meta proyecto],Actividades!$E25)</f>
        <v>0</v>
      </c>
      <c r="AL25" s="288">
        <f>+SUMIFS(Tareas[Ejecución Plan de actividades
Diciembre],
Tareas[N° de Actividad
(Consecutivo por meta)],Actividades!$G25,
Tareas[No Meta proyecto],Actividades!$E25)</f>
        <v>0</v>
      </c>
      <c r="AM25" s="371">
        <f>+SUM(Actividades!$AA25:$AL25)</f>
        <v>0</v>
      </c>
      <c r="AN25" s="372">
        <f>IFERROR(Actividades!$AM25/Actividades!$Z25,"No Programado")</f>
        <v>0</v>
      </c>
      <c r="AO25" s="288">
        <f>+Actividades!$N25*Actividades!$K25</f>
        <v>0</v>
      </c>
      <c r="AP25" s="288">
        <f>+Actividades!$O25*Actividades!$K25</f>
        <v>0</v>
      </c>
      <c r="AQ25" s="288">
        <f>+Actividades!$P25*Actividades!$K25</f>
        <v>7.1999999999999998E-3</v>
      </c>
      <c r="AR25" s="288">
        <f>+Actividades!$Q25*Actividades!$K25</f>
        <v>7.1999999999999998E-3</v>
      </c>
      <c r="AS25" s="288">
        <f>+Actividades!$R25*Actividades!$K25</f>
        <v>4.5600000000000002E-2</v>
      </c>
      <c r="AT25" s="288">
        <f>+Actividades!$S25*Actividades!$K25</f>
        <v>0</v>
      </c>
      <c r="AU25" s="288">
        <f>+Actividades!$T25*Actividades!$K25</f>
        <v>0</v>
      </c>
      <c r="AV25" s="288">
        <f>+Actividades!$U25*Actividades!$K25</f>
        <v>0</v>
      </c>
      <c r="AW25" s="288">
        <f>+Actividades!$V25*Actividades!$K25</f>
        <v>0</v>
      </c>
      <c r="AX25" s="288">
        <f>+Actividades!$W25*Actividades!$K25</f>
        <v>0</v>
      </c>
      <c r="AY25" s="288">
        <f>+Actividades!$X25*Actividades!$K25</f>
        <v>0</v>
      </c>
      <c r="AZ25" s="288">
        <f>+Actividades!$Y25*Actividades!$K25</f>
        <v>0</v>
      </c>
      <c r="BA25" s="288">
        <f>Actividades!$AA25*Actividades!$K25</f>
        <v>0</v>
      </c>
      <c r="BB25" s="288">
        <f>Actividades!$AB25*Actividades!$K25</f>
        <v>0</v>
      </c>
      <c r="BC25" s="288">
        <f>Actividades!$AC25*Actividades!$K25</f>
        <v>0</v>
      </c>
      <c r="BD25" s="288">
        <f>Actividades!$AD25*Actividades!$K25</f>
        <v>0</v>
      </c>
      <c r="BE25" s="288">
        <f>Actividades!$AE25*Actividades!$K25</f>
        <v>0</v>
      </c>
      <c r="BF25" s="288">
        <f>Actividades!$AF25*Actividades!$K25</f>
        <v>0</v>
      </c>
      <c r="BG25" s="288">
        <f>Actividades!$AG25*Actividades!$K25</f>
        <v>0</v>
      </c>
      <c r="BH25" s="288">
        <f>Actividades!$AH25*Actividades!$K25</f>
        <v>0</v>
      </c>
      <c r="BI25" s="288">
        <f>Actividades!$AI25*Actividades!$K25</f>
        <v>0</v>
      </c>
      <c r="BJ25" s="288">
        <f>Actividades!$AJ25*Actividades!$K25</f>
        <v>0</v>
      </c>
      <c r="BK25" s="288">
        <f>Actividades!$AK25*Actividades!$K25</f>
        <v>0</v>
      </c>
      <c r="BL25" s="288">
        <f>Actividades!$AL25*Actividades!$K25</f>
        <v>0</v>
      </c>
    </row>
    <row r="26" spans="1:64" s="149" customFormat="1" ht="110.4" x14ac:dyDescent="0.35">
      <c r="A26" s="228" t="str">
        <f>Actividades!$C26&amp;Actividades!$E26</f>
        <v>77442</v>
      </c>
      <c r="B26" s="326" t="str">
        <f>Actividades!$C26&amp;Actividades!$E26&amp;Actividades!$G26</f>
        <v>774428</v>
      </c>
      <c r="C26" s="327">
        <f>Proyecto!$B$19</f>
        <v>7744</v>
      </c>
      <c r="D26" s="327" t="str">
        <f>Proyecto!$D$19</f>
        <v>Generación de Oportunidades para el Desarrollo Integral de la Niñez y la Adolescencia de Bogotá</v>
      </c>
      <c r="E26" s="329">
        <v>2</v>
      </c>
      <c r="F26" s="327" t="str">
        <f>VLOOKUP(A26,ESTRATÉGICO!$C$3:$AA$110,14,0)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26" s="329">
        <v>8</v>
      </c>
      <c r="H26" s="329">
        <v>9</v>
      </c>
      <c r="I26" s="327" t="str">
        <f>VLOOKUP(Actividades!$B26,'ACTIVIDADES PAA'!$A$2:$G$184,7,0)</f>
        <v>Implementar y flexibilizar la estrategia de Salas Amigas de la Familia Lactante, con el fin de generar una cultura de la lactancia desde la gestacion y su practica segura en los diferentes entornos.</v>
      </c>
      <c r="J26" s="318" t="s">
        <v>946</v>
      </c>
      <c r="K26" s="286">
        <v>0.06</v>
      </c>
      <c r="L26" s="287">
        <v>45352</v>
      </c>
      <c r="M26" s="287">
        <v>45443</v>
      </c>
      <c r="N26" s="288">
        <f>+SUMIFS(Tareas[Programación Plan de actividades
Enero],
Tareas[N° de Actividad
(Consecutivo por meta)],Actividades!$G26,
Tareas[No Meta proyecto],Actividades!$E26)</f>
        <v>0</v>
      </c>
      <c r="O26" s="288">
        <f>+SUMIFS(Tareas[Programación Plan de actividades
Febrero],
Tareas[N° de Actividad
(Consecutivo por meta)],Actividades!$G26,
Tareas[No Meta proyecto],Actividades!$E26)</f>
        <v>0.22500000000000001</v>
      </c>
      <c r="P26" s="288">
        <f>+SUMIFS(Tareas[Programación Plan de actividades
Marzo],
Tareas[N° de Actividad
(Consecutivo por meta)],Actividades!$G26,
Tareas[No Meta proyecto],Actividades!$E26)</f>
        <v>0.27500000000000002</v>
      </c>
      <c r="Q26" s="288">
        <f>+SUMIFS(Tareas[Programación Plan de actividades
Abril],
Tareas[N° de Actividad
(Consecutivo por meta)],Actividades!$G26,
Tareas[No Meta proyecto],Actividades!$E26)</f>
        <v>0.375</v>
      </c>
      <c r="R26" s="288">
        <f>+SUMIFS(Tareas[Programación Plan de actividades
Mayo],
Tareas[N° de Actividad
(Consecutivo por meta)],Actividades!$G26,
Tareas[No Meta proyecto],Actividades!$E26)</f>
        <v>0.125</v>
      </c>
      <c r="S26" s="288">
        <f>+SUMIFS(Tareas[Programación Plan de actividades
Junio],
Tareas[N° de Actividad
(Consecutivo por meta)],Actividades!$G26,
Tareas[No Meta proyecto],Actividades!$E26)</f>
        <v>0</v>
      </c>
      <c r="T26" s="288">
        <f>+SUMIFS(Tareas[Programación Plan de actividades
Julio],
Tareas[N° de Actividad
(Consecutivo por meta)],Actividades!$G26,
Tareas[No Meta proyecto],Actividades!$E26)</f>
        <v>0</v>
      </c>
      <c r="U26" s="288">
        <f>+SUMIFS(Tareas[Programación Plan de actividades
Agosto],
Tareas[N° de Actividad
(Consecutivo por meta)],Actividades!$G26,
Tareas[No Meta proyecto],Actividades!$E26)</f>
        <v>0</v>
      </c>
      <c r="V26" s="288">
        <f>+SUMIFS(Tareas[Programación Plan de actividades
Septiembre],
Tareas[N° de Actividad
(Consecutivo por meta)],Actividades!$G26,
Tareas[No Meta proyecto],Actividades!$E26)</f>
        <v>0</v>
      </c>
      <c r="W26" s="288">
        <f>+SUMIFS(Tareas[Programación Plan de actividades
Octubre],
Tareas[N° de Actividad
(Consecutivo por meta)],Actividades!$G26,
Tareas[No Meta proyecto],Actividades!$E26)</f>
        <v>0</v>
      </c>
      <c r="X26" s="288">
        <f>+SUMIFS(Tareas[Programación Plan de actividades
Noviembre],
Tareas[N° de Actividad
(Consecutivo por meta)],Actividades!$G26,
Tareas[No Meta proyecto],Actividades!$E26)</f>
        <v>0</v>
      </c>
      <c r="Y26" s="288">
        <f>+SUMIFS(Tareas[Programación Plan de actividades
Diciembre],
Tareas[N° de Actividad
(Consecutivo por meta)],Actividades!$G26,
Tareas[No Meta proyecto],Actividades!$E26)</f>
        <v>0</v>
      </c>
      <c r="Z26" s="371">
        <f>+SUM(Actividades!$N26:$Y26)</f>
        <v>1</v>
      </c>
      <c r="AA26" s="288">
        <f>+SUMIFS(Tareas[Ejecución Plan de actividades
Enero],
Tareas[N° de Actividad
(Consecutivo por meta)],Actividades!$G26,
Tareas[No Meta proyecto],Actividades!$E26)</f>
        <v>0</v>
      </c>
      <c r="AB26" s="288">
        <f>+SUMIFS(Tareas[Ejecución Plan de actividades
Febrero],
Tareas[N° de Actividad
(Consecutivo por meta)],Actividades!$G26,
Tareas[No Meta proyecto],Actividades!$E26)</f>
        <v>0</v>
      </c>
      <c r="AC26" s="288">
        <f>+SUMIFS(Tareas[Ejecución Plan de actividades
Marzo],
Tareas[N° de Actividad
(Consecutivo por meta)],Actividades!$G26,
Tareas[No Meta proyecto],Actividades!$E26)</f>
        <v>0</v>
      </c>
      <c r="AD26" s="288">
        <f>+SUMIFS(Tareas[Ejecución Plan de actividades
Abril],
Tareas[N° de Actividad
(Consecutivo por meta)],Actividades!$G26,
Tareas[No Meta proyecto],Actividades!$E26)</f>
        <v>0</v>
      </c>
      <c r="AE26" s="288">
        <f>+SUMIFS(Tareas[Ejecución Plan de actividades
Mayo],
Tareas[N° de Actividad
(Consecutivo por meta)],Actividades!$G26,
Tareas[No Meta proyecto],Actividades!$E26)</f>
        <v>0</v>
      </c>
      <c r="AF26" s="288">
        <f>+SUMIFS(Tareas[Ejecución Plan de actividades
Junio],
Tareas[N° de Actividad
(Consecutivo por meta)],Actividades!$G26,
Tareas[No Meta proyecto],Actividades!$E26)</f>
        <v>0</v>
      </c>
      <c r="AG26" s="288">
        <f>+SUMIFS(Tareas[Ejecución Plan de actividades
Julio],
Tareas[N° de Actividad
(Consecutivo por meta)],Actividades!$G26,
Tareas[No Meta proyecto],Actividades!$E26)</f>
        <v>0</v>
      </c>
      <c r="AH26" s="288">
        <f>+SUMIFS(Tareas[Ejecución Plan de actividades
Agosto],
Tareas[N° de Actividad
(Consecutivo por meta)],Actividades!$G26,
Tareas[No Meta proyecto],Actividades!$E26)</f>
        <v>0</v>
      </c>
      <c r="AI26" s="288">
        <f>+SUMIFS(Tareas[Ejecución Plan de actividades
Septiembre],
Tareas[N° de Actividad
(Consecutivo por meta)],Actividades!$G26,
Tareas[No Meta proyecto],Actividades!$E26)</f>
        <v>0</v>
      </c>
      <c r="AJ26" s="288">
        <f>+SUMIFS(Tareas[Ejecución Plan de actividades
Octubre],
Tareas[N° de Actividad
(Consecutivo por meta)],Actividades!$G26,
Tareas[No Meta proyecto],Actividades!$E26)</f>
        <v>0</v>
      </c>
      <c r="AK26" s="288">
        <f>+SUMIFS(Tareas[Ejecución Plan de actividades
Noviembre],
Tareas[N° de Actividad
(Consecutivo por meta)],Actividades!$G26,
Tareas[No Meta proyecto],Actividades!$E26)</f>
        <v>0</v>
      </c>
      <c r="AL26" s="288">
        <f>+SUMIFS(Tareas[Ejecución Plan de actividades
Diciembre],
Tareas[N° de Actividad
(Consecutivo por meta)],Actividades!$G26,
Tareas[No Meta proyecto],Actividades!$E26)</f>
        <v>0</v>
      </c>
      <c r="AM26" s="371">
        <f>+SUM(Actividades!$AA26:$AL26)</f>
        <v>0</v>
      </c>
      <c r="AN26" s="372">
        <f>IFERROR(Actividades!$AM26/Actividades!$Z26,"No Programado")</f>
        <v>0</v>
      </c>
      <c r="AO26" s="288">
        <f>+Actividades!$N26*Actividades!$K26</f>
        <v>0</v>
      </c>
      <c r="AP26" s="288">
        <f>+Actividades!$O26*Actividades!$K26</f>
        <v>1.35E-2</v>
      </c>
      <c r="AQ26" s="288">
        <f>+Actividades!$P26*Actividades!$K26</f>
        <v>1.6500000000000001E-2</v>
      </c>
      <c r="AR26" s="288">
        <f>+Actividades!$Q26*Actividades!$K26</f>
        <v>2.2499999999999999E-2</v>
      </c>
      <c r="AS26" s="288">
        <f>+Actividades!$R26*Actividades!$K26</f>
        <v>7.4999999999999997E-3</v>
      </c>
      <c r="AT26" s="288">
        <f>+Actividades!$S26*Actividades!$K26</f>
        <v>0</v>
      </c>
      <c r="AU26" s="288">
        <f>+Actividades!$T26*Actividades!$K26</f>
        <v>0</v>
      </c>
      <c r="AV26" s="288">
        <f>+Actividades!$U26*Actividades!$K26</f>
        <v>0</v>
      </c>
      <c r="AW26" s="288">
        <f>+Actividades!$V26*Actividades!$K26</f>
        <v>0</v>
      </c>
      <c r="AX26" s="288">
        <f>+Actividades!$W26*Actividades!$K26</f>
        <v>0</v>
      </c>
      <c r="AY26" s="288">
        <f>+Actividades!$X26*Actividades!$K26</f>
        <v>0</v>
      </c>
      <c r="AZ26" s="288">
        <f>+Actividades!$Y26*Actividades!$K26</f>
        <v>0</v>
      </c>
      <c r="BA26" s="288">
        <f>Actividades!$AA26*Actividades!$K26</f>
        <v>0</v>
      </c>
      <c r="BB26" s="288">
        <f>Actividades!$AB26*Actividades!$K26</f>
        <v>0</v>
      </c>
      <c r="BC26" s="288">
        <f>Actividades!$AC26*Actividades!$K26</f>
        <v>0</v>
      </c>
      <c r="BD26" s="288">
        <f>Actividades!$AD26*Actividades!$K26</f>
        <v>0</v>
      </c>
      <c r="BE26" s="288">
        <f>Actividades!$AE26*Actividades!$K26</f>
        <v>0</v>
      </c>
      <c r="BF26" s="288">
        <f>Actividades!$AF26*Actividades!$K26</f>
        <v>0</v>
      </c>
      <c r="BG26" s="288">
        <f>Actividades!$AG26*Actividades!$K26</f>
        <v>0</v>
      </c>
      <c r="BH26" s="288">
        <f>Actividades!$AH26*Actividades!$K26</f>
        <v>0</v>
      </c>
      <c r="BI26" s="288">
        <f>Actividades!$AI26*Actividades!$K26</f>
        <v>0</v>
      </c>
      <c r="BJ26" s="288">
        <f>Actividades!$AJ26*Actividades!$K26</f>
        <v>0</v>
      </c>
      <c r="BK26" s="288">
        <f>Actividades!$AK26*Actividades!$K26</f>
        <v>0</v>
      </c>
      <c r="BL26" s="288">
        <f>Actividades!$AL26*Actividades!$K26</f>
        <v>0</v>
      </c>
    </row>
    <row r="27" spans="1:64" s="149" customFormat="1" ht="69" x14ac:dyDescent="0.35">
      <c r="A27" s="228" t="str">
        <f>Actividades!$C27&amp;Actividades!$E27</f>
        <v>77443</v>
      </c>
      <c r="B27" s="326" t="str">
        <f>Actividades!$C27&amp;Actividades!$E27&amp;Actividades!$G27</f>
        <v>774431</v>
      </c>
      <c r="C27" s="327">
        <f>Proyecto!$B$19</f>
        <v>7744</v>
      </c>
      <c r="D27" s="327" t="str">
        <f>Proyecto!$D$19</f>
        <v>Generación de Oportunidades para el Desarrollo Integral de la Niñez y la Adolescencia de Bogotá</v>
      </c>
      <c r="E27" s="329">
        <v>3</v>
      </c>
      <c r="F27" s="327" t="str">
        <f>VLOOKUP(A27,ESTRATÉGICO!$C$3:$AA$110,14,0)</f>
        <v xml:space="preserve">Atender a 20700 niñas niños y adolescentes con discapacidad, alteraciones en el desarrollo, restricciones médicas, pertenecientes a grupos étnicos y víctimas por el conflicto armado con enfoque diferencial y de género </v>
      </c>
      <c r="G27" s="329">
        <v>1</v>
      </c>
      <c r="H27" s="329">
        <v>10</v>
      </c>
      <c r="I27" s="327" t="str">
        <f>VLOOKUP(Actividades!$B27,'ACTIVIDADES PAA'!$A$2:$G$184,7,0)</f>
        <v>Transversalizar el enfoque diferencial y de genero en atencion de ninas, ninos y adolescentes.</v>
      </c>
      <c r="J27" s="318" t="s">
        <v>947</v>
      </c>
      <c r="K27" s="286">
        <v>0.05</v>
      </c>
      <c r="L27" s="287">
        <v>45352</v>
      </c>
      <c r="M27" s="287">
        <v>45443</v>
      </c>
      <c r="N27" s="288">
        <f>+SUMIFS(Tareas[Programación Plan de actividades
Enero],
Tareas[N° de Actividad
(Consecutivo por meta)],Actividades!$G27,
Tareas[No Meta proyecto],Actividades!$E27)</f>
        <v>0</v>
      </c>
      <c r="O27" s="288">
        <f>+SUMIFS(Tareas[Programación Plan de actividades
Febrero],
Tareas[N° de Actividad
(Consecutivo por meta)],Actividades!$G27,
Tareas[No Meta proyecto],Actividades!$E27)</f>
        <v>0.2</v>
      </c>
      <c r="P27" s="288">
        <f>+SUMIFS(Tareas[Programación Plan de actividades
Marzo],
Tareas[N° de Actividad
(Consecutivo por meta)],Actividades!$G27,
Tareas[No Meta proyecto],Actividades!$E27)</f>
        <v>0.3</v>
      </c>
      <c r="Q27" s="288">
        <f>+SUMIFS(Tareas[Programación Plan de actividades
Abril],
Tareas[N° de Actividad
(Consecutivo por meta)],Actividades!$G27,
Tareas[No Meta proyecto],Actividades!$E27)</f>
        <v>0.2</v>
      </c>
      <c r="R27" s="288">
        <f>+SUMIFS(Tareas[Programación Plan de actividades
Mayo],
Tareas[N° de Actividad
(Consecutivo por meta)],Actividades!$G27,
Tareas[No Meta proyecto],Actividades!$E27)</f>
        <v>0.3</v>
      </c>
      <c r="S27" s="288">
        <f>+SUMIFS(Tareas[Programación Plan de actividades
Junio],
Tareas[N° de Actividad
(Consecutivo por meta)],Actividades!$G27,
Tareas[No Meta proyecto],Actividades!$E27)</f>
        <v>0</v>
      </c>
      <c r="T27" s="288">
        <f>+SUMIFS(Tareas[Programación Plan de actividades
Julio],
Tareas[N° de Actividad
(Consecutivo por meta)],Actividades!$G27,
Tareas[No Meta proyecto],Actividades!$E27)</f>
        <v>0</v>
      </c>
      <c r="U27" s="288">
        <f>+SUMIFS(Tareas[Programación Plan de actividades
Agosto],
Tareas[N° de Actividad
(Consecutivo por meta)],Actividades!$G27,
Tareas[No Meta proyecto],Actividades!$E27)</f>
        <v>0</v>
      </c>
      <c r="V27" s="288">
        <f>+SUMIFS(Tareas[Programación Plan de actividades
Septiembre],
Tareas[N° de Actividad
(Consecutivo por meta)],Actividades!$G27,
Tareas[No Meta proyecto],Actividades!$E27)</f>
        <v>0</v>
      </c>
      <c r="W27" s="288">
        <f>+SUMIFS(Tareas[Programación Plan de actividades
Octubre],
Tareas[N° de Actividad
(Consecutivo por meta)],Actividades!$G27,
Tareas[No Meta proyecto],Actividades!$E27)</f>
        <v>0</v>
      </c>
      <c r="X27" s="288">
        <f>+SUMIFS(Tareas[Programación Plan de actividades
Noviembre],
Tareas[N° de Actividad
(Consecutivo por meta)],Actividades!$G27,
Tareas[No Meta proyecto],Actividades!$E27)</f>
        <v>0</v>
      </c>
      <c r="Y27" s="288">
        <f>+SUMIFS(Tareas[Programación Plan de actividades
Diciembre],
Tareas[N° de Actividad
(Consecutivo por meta)],Actividades!$G27,
Tareas[No Meta proyecto],Actividades!$E27)</f>
        <v>0</v>
      </c>
      <c r="Z27" s="371">
        <f>+SUM(Actividades!$N27:$Y27)</f>
        <v>1</v>
      </c>
      <c r="AA27" s="288">
        <f>+SUMIFS(Tareas[Ejecución Plan de actividades
Enero],
Tareas[N° de Actividad
(Consecutivo por meta)],Actividades!$G27,
Tareas[No Meta proyecto],Actividades!$E27)</f>
        <v>0</v>
      </c>
      <c r="AB27" s="288">
        <f>+SUMIFS(Tareas[Ejecución Plan de actividades
Febrero],
Tareas[N° de Actividad
(Consecutivo por meta)],Actividades!$G27,
Tareas[No Meta proyecto],Actividades!$E27)</f>
        <v>0</v>
      </c>
      <c r="AC27" s="288">
        <f>+SUMIFS(Tareas[Ejecución Plan de actividades
Marzo],
Tareas[N° de Actividad
(Consecutivo por meta)],Actividades!$G27,
Tareas[No Meta proyecto],Actividades!$E27)</f>
        <v>0</v>
      </c>
      <c r="AD27" s="288">
        <f>+SUMIFS(Tareas[Ejecución Plan de actividades
Abril],
Tareas[N° de Actividad
(Consecutivo por meta)],Actividades!$G27,
Tareas[No Meta proyecto],Actividades!$E27)</f>
        <v>0</v>
      </c>
      <c r="AE27" s="288">
        <f>+SUMIFS(Tareas[Ejecución Plan de actividades
Mayo],
Tareas[N° de Actividad
(Consecutivo por meta)],Actividades!$G27,
Tareas[No Meta proyecto],Actividades!$E27)</f>
        <v>0</v>
      </c>
      <c r="AF27" s="288">
        <f>+SUMIFS(Tareas[Ejecución Plan de actividades
Junio],
Tareas[N° de Actividad
(Consecutivo por meta)],Actividades!$G27,
Tareas[No Meta proyecto],Actividades!$E27)</f>
        <v>0</v>
      </c>
      <c r="AG27" s="288">
        <f>+SUMIFS(Tareas[Ejecución Plan de actividades
Julio],
Tareas[N° de Actividad
(Consecutivo por meta)],Actividades!$G27,
Tareas[No Meta proyecto],Actividades!$E27)</f>
        <v>0</v>
      </c>
      <c r="AH27" s="288">
        <f>+SUMIFS(Tareas[Ejecución Plan de actividades
Agosto],
Tareas[N° de Actividad
(Consecutivo por meta)],Actividades!$G27,
Tareas[No Meta proyecto],Actividades!$E27)</f>
        <v>0</v>
      </c>
      <c r="AI27" s="288">
        <f>+SUMIFS(Tareas[Ejecución Plan de actividades
Septiembre],
Tareas[N° de Actividad
(Consecutivo por meta)],Actividades!$G27,
Tareas[No Meta proyecto],Actividades!$E27)</f>
        <v>0</v>
      </c>
      <c r="AJ27" s="288">
        <f>+SUMIFS(Tareas[Ejecución Plan de actividades
Octubre],
Tareas[N° de Actividad
(Consecutivo por meta)],Actividades!$G27,
Tareas[No Meta proyecto],Actividades!$E27)</f>
        <v>0</v>
      </c>
      <c r="AK27" s="288">
        <f>+SUMIFS(Tareas[Ejecución Plan de actividades
Noviembre],
Tareas[N° de Actividad
(Consecutivo por meta)],Actividades!$G27,
Tareas[No Meta proyecto],Actividades!$E27)</f>
        <v>0</v>
      </c>
      <c r="AL27" s="288">
        <f>+SUMIFS(Tareas[Ejecución Plan de actividades
Diciembre],
Tareas[N° de Actividad
(Consecutivo por meta)],Actividades!$G27,
Tareas[No Meta proyecto],Actividades!$E27)</f>
        <v>0</v>
      </c>
      <c r="AM27" s="371">
        <f>+SUM(Actividades!$AA27:$AL27)</f>
        <v>0</v>
      </c>
      <c r="AN27" s="372">
        <f>IFERROR(Actividades!$AM27/Actividades!$Z27,"No Programado")</f>
        <v>0</v>
      </c>
      <c r="AO27" s="288">
        <f>+Actividades!$N27*Actividades!$K27</f>
        <v>0</v>
      </c>
      <c r="AP27" s="288">
        <f>+Actividades!$O27*Actividades!$K27</f>
        <v>1.0000000000000002E-2</v>
      </c>
      <c r="AQ27" s="288">
        <f>+Actividades!$P27*Actividades!$K27</f>
        <v>1.4999999999999999E-2</v>
      </c>
      <c r="AR27" s="288">
        <f>+Actividades!$Q27*Actividades!$K27</f>
        <v>1.0000000000000002E-2</v>
      </c>
      <c r="AS27" s="288">
        <f>+Actividades!$R27*Actividades!$K27</f>
        <v>1.4999999999999999E-2</v>
      </c>
      <c r="AT27" s="288">
        <f>+Actividades!$S27*Actividades!$K27</f>
        <v>0</v>
      </c>
      <c r="AU27" s="288">
        <f>+Actividades!$T27*Actividades!$K27</f>
        <v>0</v>
      </c>
      <c r="AV27" s="288">
        <f>+Actividades!$U27*Actividades!$K27</f>
        <v>0</v>
      </c>
      <c r="AW27" s="288">
        <f>+Actividades!$V27*Actividades!$K27</f>
        <v>0</v>
      </c>
      <c r="AX27" s="288">
        <f>+Actividades!$W27*Actividades!$K27</f>
        <v>0</v>
      </c>
      <c r="AY27" s="288">
        <f>+Actividades!$X27*Actividades!$K27</f>
        <v>0</v>
      </c>
      <c r="AZ27" s="288">
        <f>+Actividades!$Y27*Actividades!$K27</f>
        <v>0</v>
      </c>
      <c r="BA27" s="288">
        <f>Actividades!$AA27*Actividades!$K27</f>
        <v>0</v>
      </c>
      <c r="BB27" s="288">
        <f>Actividades!$AB27*Actividades!$K27</f>
        <v>0</v>
      </c>
      <c r="BC27" s="288">
        <f>Actividades!$AC27*Actividades!$K27</f>
        <v>0</v>
      </c>
      <c r="BD27" s="288">
        <f>Actividades!$AD27*Actividades!$K27</f>
        <v>0</v>
      </c>
      <c r="BE27" s="288">
        <f>Actividades!$AE27*Actividades!$K27</f>
        <v>0</v>
      </c>
      <c r="BF27" s="288">
        <f>Actividades!$AF27*Actividades!$K27</f>
        <v>0</v>
      </c>
      <c r="BG27" s="288">
        <f>Actividades!$AG27*Actividades!$K27</f>
        <v>0</v>
      </c>
      <c r="BH27" s="288">
        <f>Actividades!$AH27*Actividades!$K27</f>
        <v>0</v>
      </c>
      <c r="BI27" s="288">
        <f>Actividades!$AI27*Actividades!$K27</f>
        <v>0</v>
      </c>
      <c r="BJ27" s="288">
        <f>Actividades!$AJ27*Actividades!$K27</f>
        <v>0</v>
      </c>
      <c r="BK27" s="288">
        <f>Actividades!$AK27*Actividades!$K27</f>
        <v>0</v>
      </c>
      <c r="BL27" s="288">
        <f>Actividades!$AL27*Actividades!$K27</f>
        <v>0</v>
      </c>
    </row>
    <row r="28" spans="1:64" s="149" customFormat="1" ht="69" x14ac:dyDescent="0.35">
      <c r="A28" s="228" t="str">
        <f>Actividades!$C28&amp;Actividades!$E28</f>
        <v>77443</v>
      </c>
      <c r="B28" s="326" t="str">
        <f>Actividades!$C28&amp;Actividades!$E28&amp;Actividades!$G28</f>
        <v>774432</v>
      </c>
      <c r="C28" s="327">
        <f>Proyecto!$B$19</f>
        <v>7744</v>
      </c>
      <c r="D28" s="327" t="str">
        <f>Proyecto!$D$19</f>
        <v>Generación de Oportunidades para el Desarrollo Integral de la Niñez y la Adolescencia de Bogotá</v>
      </c>
      <c r="E28" s="329">
        <v>3</v>
      </c>
      <c r="F28" s="327" t="str">
        <f>VLOOKUP(A28,ESTRATÉGICO!$C$3:$AA$110,14,0)</f>
        <v xml:space="preserve">Atender a 20700 niñas niños y adolescentes con discapacidad, alteraciones en el desarrollo, restricciones médicas, pertenecientes a grupos étnicos y víctimas por el conflicto armado con enfoque diferencial y de género </v>
      </c>
      <c r="G28" s="329">
        <v>2</v>
      </c>
      <c r="H28" s="329">
        <v>11</v>
      </c>
      <c r="I28" s="327" t="str">
        <f>VLOOKUP(Actividades!$B28,'ACTIVIDADES PAA'!$A$2:$G$184,7,0)</f>
        <v>Fortalecer los procesos de inclusion de las ninas, ninos y adolescentes con alteraciones en el desarrollo, restricciones medicas y discapacidad, para el goce efectivo de sus derechos.</v>
      </c>
      <c r="J28" s="318" t="s">
        <v>948</v>
      </c>
      <c r="K28" s="286">
        <v>0.05</v>
      </c>
      <c r="L28" s="287" t="s">
        <v>939</v>
      </c>
      <c r="M28" s="287">
        <v>45443</v>
      </c>
      <c r="N28" s="288">
        <f>+SUMIFS(Tareas[Programación Plan de actividades
Enero],
Tareas[N° de Actividad
(Consecutivo por meta)],Actividades!$G28,
Tareas[No Meta proyecto],Actividades!$E28)</f>
        <v>0</v>
      </c>
      <c r="O28" s="288">
        <f>+SUMIFS(Tareas[Programación Plan de actividades
Febrero],
Tareas[N° de Actividad
(Consecutivo por meta)],Actividades!$G28,
Tareas[No Meta proyecto],Actividades!$E28)</f>
        <v>0.2</v>
      </c>
      <c r="P28" s="288">
        <f>+SUMIFS(Tareas[Programación Plan de actividades
Marzo],
Tareas[N° de Actividad
(Consecutivo por meta)],Actividades!$G28,
Tareas[No Meta proyecto],Actividades!$E28)</f>
        <v>0.3</v>
      </c>
      <c r="Q28" s="288">
        <f>+SUMIFS(Tareas[Programación Plan de actividades
Abril],
Tareas[N° de Actividad
(Consecutivo por meta)],Actividades!$G28,
Tareas[No Meta proyecto],Actividades!$E28)</f>
        <v>0.2</v>
      </c>
      <c r="R28" s="288">
        <f>+SUMIFS(Tareas[Programación Plan de actividades
Mayo],
Tareas[N° de Actividad
(Consecutivo por meta)],Actividades!$G28,
Tareas[No Meta proyecto],Actividades!$E28)</f>
        <v>0.3</v>
      </c>
      <c r="S28" s="288">
        <f>+SUMIFS(Tareas[Programación Plan de actividades
Junio],
Tareas[N° de Actividad
(Consecutivo por meta)],Actividades!$G28,
Tareas[No Meta proyecto],Actividades!$E28)</f>
        <v>0</v>
      </c>
      <c r="T28" s="288">
        <f>+SUMIFS(Tareas[Programación Plan de actividades
Julio],
Tareas[N° de Actividad
(Consecutivo por meta)],Actividades!$G28,
Tareas[No Meta proyecto],Actividades!$E28)</f>
        <v>0</v>
      </c>
      <c r="U28" s="288">
        <f>+SUMIFS(Tareas[Programación Plan de actividades
Agosto],
Tareas[N° de Actividad
(Consecutivo por meta)],Actividades!$G28,
Tareas[No Meta proyecto],Actividades!$E28)</f>
        <v>0</v>
      </c>
      <c r="V28" s="288">
        <f>+SUMIFS(Tareas[Programación Plan de actividades
Septiembre],
Tareas[N° de Actividad
(Consecutivo por meta)],Actividades!$G28,
Tareas[No Meta proyecto],Actividades!$E28)</f>
        <v>0</v>
      </c>
      <c r="W28" s="288">
        <f>+SUMIFS(Tareas[Programación Plan de actividades
Octubre],
Tareas[N° de Actividad
(Consecutivo por meta)],Actividades!$G28,
Tareas[No Meta proyecto],Actividades!$E28)</f>
        <v>0</v>
      </c>
      <c r="X28" s="288">
        <f>+SUMIFS(Tareas[Programación Plan de actividades
Noviembre],
Tareas[N° de Actividad
(Consecutivo por meta)],Actividades!$G28,
Tareas[No Meta proyecto],Actividades!$E28)</f>
        <v>0</v>
      </c>
      <c r="Y28" s="288">
        <f>+SUMIFS(Tareas[Programación Plan de actividades
Diciembre],
Tareas[N° de Actividad
(Consecutivo por meta)],Actividades!$G28,
Tareas[No Meta proyecto],Actividades!$E28)</f>
        <v>0</v>
      </c>
      <c r="Z28" s="371">
        <f>+SUM(Actividades!$N28:$Y28)</f>
        <v>1</v>
      </c>
      <c r="AA28" s="288">
        <f>+SUMIFS(Tareas[Ejecución Plan de actividades
Enero],
Tareas[N° de Actividad
(Consecutivo por meta)],Actividades!$G28,
Tareas[No Meta proyecto],Actividades!$E28)</f>
        <v>0</v>
      </c>
      <c r="AB28" s="288">
        <f>+SUMIFS(Tareas[Ejecución Plan de actividades
Febrero],
Tareas[N° de Actividad
(Consecutivo por meta)],Actividades!$G28,
Tareas[No Meta proyecto],Actividades!$E28)</f>
        <v>0</v>
      </c>
      <c r="AC28" s="288">
        <f>+SUMIFS(Tareas[Ejecución Plan de actividades
Marzo],
Tareas[N° de Actividad
(Consecutivo por meta)],Actividades!$G28,
Tareas[No Meta proyecto],Actividades!$E28)</f>
        <v>0</v>
      </c>
      <c r="AD28" s="288">
        <f>+SUMIFS(Tareas[Ejecución Plan de actividades
Abril],
Tareas[N° de Actividad
(Consecutivo por meta)],Actividades!$G28,
Tareas[No Meta proyecto],Actividades!$E28)</f>
        <v>0</v>
      </c>
      <c r="AE28" s="288">
        <f>+SUMIFS(Tareas[Ejecución Plan de actividades
Mayo],
Tareas[N° de Actividad
(Consecutivo por meta)],Actividades!$G28,
Tareas[No Meta proyecto],Actividades!$E28)</f>
        <v>0</v>
      </c>
      <c r="AF28" s="288">
        <f>+SUMIFS(Tareas[Ejecución Plan de actividades
Junio],
Tareas[N° de Actividad
(Consecutivo por meta)],Actividades!$G28,
Tareas[No Meta proyecto],Actividades!$E28)</f>
        <v>0</v>
      </c>
      <c r="AG28" s="288">
        <f>+SUMIFS(Tareas[Ejecución Plan de actividades
Julio],
Tareas[N° de Actividad
(Consecutivo por meta)],Actividades!$G28,
Tareas[No Meta proyecto],Actividades!$E28)</f>
        <v>0</v>
      </c>
      <c r="AH28" s="288">
        <f>+SUMIFS(Tareas[Ejecución Plan de actividades
Agosto],
Tareas[N° de Actividad
(Consecutivo por meta)],Actividades!$G28,
Tareas[No Meta proyecto],Actividades!$E28)</f>
        <v>0</v>
      </c>
      <c r="AI28" s="288">
        <f>+SUMIFS(Tareas[Ejecución Plan de actividades
Septiembre],
Tareas[N° de Actividad
(Consecutivo por meta)],Actividades!$G28,
Tareas[No Meta proyecto],Actividades!$E28)</f>
        <v>0</v>
      </c>
      <c r="AJ28" s="288">
        <f>+SUMIFS(Tareas[Ejecución Plan de actividades
Octubre],
Tareas[N° de Actividad
(Consecutivo por meta)],Actividades!$G28,
Tareas[No Meta proyecto],Actividades!$E28)</f>
        <v>0</v>
      </c>
      <c r="AK28" s="288">
        <f>+SUMIFS(Tareas[Ejecución Plan de actividades
Noviembre],
Tareas[N° de Actividad
(Consecutivo por meta)],Actividades!$G28,
Tareas[No Meta proyecto],Actividades!$E28)</f>
        <v>0</v>
      </c>
      <c r="AL28" s="288">
        <f>+SUMIFS(Tareas[Ejecución Plan de actividades
Diciembre],
Tareas[N° de Actividad
(Consecutivo por meta)],Actividades!$G28,
Tareas[No Meta proyecto],Actividades!$E28)</f>
        <v>0</v>
      </c>
      <c r="AM28" s="371">
        <f>+SUM(Actividades!$AA28:$AL28)</f>
        <v>0</v>
      </c>
      <c r="AN28" s="372">
        <f>IFERROR(Actividades!$AM28/Actividades!$Z28,"No Programado")</f>
        <v>0</v>
      </c>
      <c r="AO28" s="288">
        <f>+Actividades!$N28*Actividades!$K28</f>
        <v>0</v>
      </c>
      <c r="AP28" s="288">
        <f>+Actividades!$O28*Actividades!$K28</f>
        <v>1.0000000000000002E-2</v>
      </c>
      <c r="AQ28" s="288">
        <f>+Actividades!$P28*Actividades!$K28</f>
        <v>1.4999999999999999E-2</v>
      </c>
      <c r="AR28" s="288">
        <f>+Actividades!$Q28*Actividades!$K28</f>
        <v>1.0000000000000002E-2</v>
      </c>
      <c r="AS28" s="288">
        <f>+Actividades!$R28*Actividades!$K28</f>
        <v>1.4999999999999999E-2</v>
      </c>
      <c r="AT28" s="288">
        <f>+Actividades!$S28*Actividades!$K28</f>
        <v>0</v>
      </c>
      <c r="AU28" s="288">
        <f>+Actividades!$T28*Actividades!$K28</f>
        <v>0</v>
      </c>
      <c r="AV28" s="288">
        <f>+Actividades!$U28*Actividades!$K28</f>
        <v>0</v>
      </c>
      <c r="AW28" s="288">
        <f>+Actividades!$V28*Actividades!$K28</f>
        <v>0</v>
      </c>
      <c r="AX28" s="288">
        <f>+Actividades!$W28*Actividades!$K28</f>
        <v>0</v>
      </c>
      <c r="AY28" s="288">
        <f>+Actividades!$X28*Actividades!$K28</f>
        <v>0</v>
      </c>
      <c r="AZ28" s="288">
        <f>+Actividades!$Y28*Actividades!$K28</f>
        <v>0</v>
      </c>
      <c r="BA28" s="288">
        <f>Actividades!$AA28*Actividades!$K28</f>
        <v>0</v>
      </c>
      <c r="BB28" s="288">
        <f>Actividades!$AB28*Actividades!$K28</f>
        <v>0</v>
      </c>
      <c r="BC28" s="288">
        <f>Actividades!$AC28*Actividades!$K28</f>
        <v>0</v>
      </c>
      <c r="BD28" s="288">
        <f>Actividades!$AD28*Actividades!$K28</f>
        <v>0</v>
      </c>
      <c r="BE28" s="288">
        <f>Actividades!$AE28*Actividades!$K28</f>
        <v>0</v>
      </c>
      <c r="BF28" s="288">
        <f>Actividades!$AF28*Actividades!$K28</f>
        <v>0</v>
      </c>
      <c r="BG28" s="288">
        <f>Actividades!$AG28*Actividades!$K28</f>
        <v>0</v>
      </c>
      <c r="BH28" s="288">
        <f>Actividades!$AH28*Actividades!$K28</f>
        <v>0</v>
      </c>
      <c r="BI28" s="288">
        <f>Actividades!$AI28*Actividades!$K28</f>
        <v>0</v>
      </c>
      <c r="BJ28" s="288">
        <f>Actividades!$AJ28*Actividades!$K28</f>
        <v>0</v>
      </c>
      <c r="BK28" s="288">
        <f>Actividades!$AK28*Actividades!$K28</f>
        <v>0</v>
      </c>
      <c r="BL28" s="288">
        <f>Actividades!$AL28*Actividades!$K28</f>
        <v>0</v>
      </c>
    </row>
    <row r="29" spans="1:64" s="149" customFormat="1" ht="69" x14ac:dyDescent="0.35">
      <c r="A29" s="228" t="str">
        <f>Actividades!$C29&amp;Actividades!$E29</f>
        <v>77443</v>
      </c>
      <c r="B29" s="326" t="str">
        <f>Actividades!$C29&amp;Actividades!$E29&amp;Actividades!$G29</f>
        <v>774433</v>
      </c>
      <c r="C29" s="327">
        <f>Proyecto!$B$19</f>
        <v>7744</v>
      </c>
      <c r="D29" s="327" t="str">
        <f>Proyecto!$D$19</f>
        <v>Generación de Oportunidades para el Desarrollo Integral de la Niñez y la Adolescencia de Bogotá</v>
      </c>
      <c r="E29" s="329">
        <v>3</v>
      </c>
      <c r="F29" s="327" t="str">
        <f>VLOOKUP(A29,ESTRATÉGICO!$C$3:$AA$110,14,0)</f>
        <v xml:space="preserve">Atender a 20700 niñas niños y adolescentes con discapacidad, alteraciones en el desarrollo, restricciones médicas, pertenecientes a grupos étnicos y víctimas por el conflicto armado con enfoque diferencial y de género </v>
      </c>
      <c r="G29" s="329">
        <v>3</v>
      </c>
      <c r="H29" s="329">
        <v>12</v>
      </c>
      <c r="I29" s="327" t="str">
        <f>VLOOKUP(Actividades!$B29,'ACTIVIDADES PAA'!$A$2:$G$184,7,0)</f>
        <v>Fortalecer los procesos de inclusion de las ninas, ninos y adolescentes pertenecientes a grupos etnicos, garantizando que sean incluyentes para el goce efectivo de sus derechos.</v>
      </c>
      <c r="J29" s="318" t="s">
        <v>949</v>
      </c>
      <c r="K29" s="286">
        <v>0.05</v>
      </c>
      <c r="L29" s="287">
        <v>45352</v>
      </c>
      <c r="M29" s="287">
        <v>45443</v>
      </c>
      <c r="N29" s="288">
        <f>+SUMIFS(Tareas[Programación Plan de actividades
Enero],
Tareas[N° de Actividad
(Consecutivo por meta)],Actividades!$G29,
Tareas[No Meta proyecto],Actividades!$E29)</f>
        <v>0</v>
      </c>
      <c r="O29" s="288">
        <f>+SUMIFS(Tareas[Programación Plan de actividades
Febrero],
Tareas[N° de Actividad
(Consecutivo por meta)],Actividades!$G29,
Tareas[No Meta proyecto],Actividades!$E29)</f>
        <v>0.20000000000000007</v>
      </c>
      <c r="P29" s="288">
        <f>+SUMIFS(Tareas[Programación Plan de actividades
Marzo],
Tareas[N° de Actividad
(Consecutivo por meta)],Actividades!$G29,
Tareas[No Meta proyecto],Actividades!$E29)</f>
        <v>0.30000000000000004</v>
      </c>
      <c r="Q29" s="288">
        <f>+SUMIFS(Tareas[Programación Plan de actividades
Abril],
Tareas[N° de Actividad
(Consecutivo por meta)],Actividades!$G29,
Tareas[No Meta proyecto],Actividades!$E29)</f>
        <v>0.20000000000000007</v>
      </c>
      <c r="R29" s="288">
        <f>+SUMIFS(Tareas[Programación Plan de actividades
Mayo],
Tareas[N° de Actividad
(Consecutivo por meta)],Actividades!$G29,
Tareas[No Meta proyecto],Actividades!$E29)</f>
        <v>0.30000000000000004</v>
      </c>
      <c r="S29" s="288">
        <f>+SUMIFS(Tareas[Programación Plan de actividades
Junio],
Tareas[N° de Actividad
(Consecutivo por meta)],Actividades!$G29,
Tareas[No Meta proyecto],Actividades!$E29)</f>
        <v>0</v>
      </c>
      <c r="T29" s="288">
        <f>+SUMIFS(Tareas[Programación Plan de actividades
Julio],
Tareas[N° de Actividad
(Consecutivo por meta)],Actividades!$G29,
Tareas[No Meta proyecto],Actividades!$E29)</f>
        <v>0</v>
      </c>
      <c r="U29" s="288">
        <f>+SUMIFS(Tareas[Programación Plan de actividades
Agosto],
Tareas[N° de Actividad
(Consecutivo por meta)],Actividades!$G29,
Tareas[No Meta proyecto],Actividades!$E29)</f>
        <v>0</v>
      </c>
      <c r="V29" s="288">
        <f>+SUMIFS(Tareas[Programación Plan de actividades
Septiembre],
Tareas[N° de Actividad
(Consecutivo por meta)],Actividades!$G29,
Tareas[No Meta proyecto],Actividades!$E29)</f>
        <v>0</v>
      </c>
      <c r="W29" s="288">
        <f>+SUMIFS(Tareas[Programación Plan de actividades
Octubre],
Tareas[N° de Actividad
(Consecutivo por meta)],Actividades!$G29,
Tareas[No Meta proyecto],Actividades!$E29)</f>
        <v>0</v>
      </c>
      <c r="X29" s="288">
        <f>+SUMIFS(Tareas[Programación Plan de actividades
Noviembre],
Tareas[N° de Actividad
(Consecutivo por meta)],Actividades!$G29,
Tareas[No Meta proyecto],Actividades!$E29)</f>
        <v>0</v>
      </c>
      <c r="Y29" s="288">
        <f>+SUMIFS(Tareas[Programación Plan de actividades
Diciembre],
Tareas[N° de Actividad
(Consecutivo por meta)],Actividades!$G29,
Tareas[No Meta proyecto],Actividades!$E29)</f>
        <v>0</v>
      </c>
      <c r="Z29" s="371">
        <f>+SUM(Actividades!$N29:$Y29)</f>
        <v>1.0000000000000002</v>
      </c>
      <c r="AA29" s="288">
        <f>+SUMIFS(Tareas[Ejecución Plan de actividades
Enero],
Tareas[N° de Actividad
(Consecutivo por meta)],Actividades!$G29,
Tareas[No Meta proyecto],Actividades!$E29)</f>
        <v>0</v>
      </c>
      <c r="AB29" s="288">
        <f>+SUMIFS(Tareas[Ejecución Plan de actividades
Febrero],
Tareas[N° de Actividad
(Consecutivo por meta)],Actividades!$G29,
Tareas[No Meta proyecto],Actividades!$E29)</f>
        <v>0</v>
      </c>
      <c r="AC29" s="288">
        <f>+SUMIFS(Tareas[Ejecución Plan de actividades
Marzo],
Tareas[N° de Actividad
(Consecutivo por meta)],Actividades!$G29,
Tareas[No Meta proyecto],Actividades!$E29)</f>
        <v>0</v>
      </c>
      <c r="AD29" s="288">
        <f>+SUMIFS(Tareas[Ejecución Plan de actividades
Abril],
Tareas[N° de Actividad
(Consecutivo por meta)],Actividades!$G29,
Tareas[No Meta proyecto],Actividades!$E29)</f>
        <v>0</v>
      </c>
      <c r="AE29" s="288">
        <f>+SUMIFS(Tareas[Ejecución Plan de actividades
Mayo],
Tareas[N° de Actividad
(Consecutivo por meta)],Actividades!$G29,
Tareas[No Meta proyecto],Actividades!$E29)</f>
        <v>0</v>
      </c>
      <c r="AF29" s="288">
        <f>+SUMIFS(Tareas[Ejecución Plan de actividades
Junio],
Tareas[N° de Actividad
(Consecutivo por meta)],Actividades!$G29,
Tareas[No Meta proyecto],Actividades!$E29)</f>
        <v>0</v>
      </c>
      <c r="AG29" s="288">
        <f>+SUMIFS(Tareas[Ejecución Plan de actividades
Julio],
Tareas[N° de Actividad
(Consecutivo por meta)],Actividades!$G29,
Tareas[No Meta proyecto],Actividades!$E29)</f>
        <v>0</v>
      </c>
      <c r="AH29" s="288">
        <f>+SUMIFS(Tareas[Ejecución Plan de actividades
Agosto],
Tareas[N° de Actividad
(Consecutivo por meta)],Actividades!$G29,
Tareas[No Meta proyecto],Actividades!$E29)</f>
        <v>0</v>
      </c>
      <c r="AI29" s="288">
        <f>+SUMIFS(Tareas[Ejecución Plan de actividades
Septiembre],
Tareas[N° de Actividad
(Consecutivo por meta)],Actividades!$G29,
Tareas[No Meta proyecto],Actividades!$E29)</f>
        <v>0</v>
      </c>
      <c r="AJ29" s="288">
        <f>+SUMIFS(Tareas[Ejecución Plan de actividades
Octubre],
Tareas[N° de Actividad
(Consecutivo por meta)],Actividades!$G29,
Tareas[No Meta proyecto],Actividades!$E29)</f>
        <v>0</v>
      </c>
      <c r="AK29" s="288">
        <f>+SUMIFS(Tareas[Ejecución Plan de actividades
Noviembre],
Tareas[N° de Actividad
(Consecutivo por meta)],Actividades!$G29,
Tareas[No Meta proyecto],Actividades!$E29)</f>
        <v>0</v>
      </c>
      <c r="AL29" s="288">
        <f>+SUMIFS(Tareas[Ejecución Plan de actividades
Diciembre],
Tareas[N° de Actividad
(Consecutivo por meta)],Actividades!$G29,
Tareas[No Meta proyecto],Actividades!$E29)</f>
        <v>0</v>
      </c>
      <c r="AM29" s="371">
        <f>+SUM(Actividades!$AA29:$AL29)</f>
        <v>0</v>
      </c>
      <c r="AN29" s="372">
        <f>IFERROR(Actividades!$AM29/Actividades!$Z29,"No Programado")</f>
        <v>0</v>
      </c>
      <c r="AO29" s="288">
        <f>+Actividades!$N29*Actividades!$K29</f>
        <v>0</v>
      </c>
      <c r="AP29" s="288">
        <f>+Actividades!$O29*Actividades!$K29</f>
        <v>1.0000000000000004E-2</v>
      </c>
      <c r="AQ29" s="288">
        <f>+Actividades!$P29*Actividades!$K29</f>
        <v>1.5000000000000003E-2</v>
      </c>
      <c r="AR29" s="288">
        <f>+Actividades!$Q29*Actividades!$K29</f>
        <v>1.0000000000000004E-2</v>
      </c>
      <c r="AS29" s="288">
        <f>+Actividades!$R29*Actividades!$K29</f>
        <v>1.5000000000000003E-2</v>
      </c>
      <c r="AT29" s="288">
        <f>+Actividades!$S29*Actividades!$K29</f>
        <v>0</v>
      </c>
      <c r="AU29" s="288">
        <f>+Actividades!$T29*Actividades!$K29</f>
        <v>0</v>
      </c>
      <c r="AV29" s="288">
        <f>+Actividades!$U29*Actividades!$K29</f>
        <v>0</v>
      </c>
      <c r="AW29" s="288">
        <f>+Actividades!$V29*Actividades!$K29</f>
        <v>0</v>
      </c>
      <c r="AX29" s="288">
        <f>+Actividades!$W29*Actividades!$K29</f>
        <v>0</v>
      </c>
      <c r="AY29" s="288">
        <f>+Actividades!$X29*Actividades!$K29</f>
        <v>0</v>
      </c>
      <c r="AZ29" s="288">
        <f>+Actividades!$Y29*Actividades!$K29</f>
        <v>0</v>
      </c>
      <c r="BA29" s="288">
        <f>Actividades!$AA29*Actividades!$K29</f>
        <v>0</v>
      </c>
      <c r="BB29" s="288">
        <f>Actividades!$AB29*Actividades!$K29</f>
        <v>0</v>
      </c>
      <c r="BC29" s="288">
        <f>Actividades!$AC29*Actividades!$K29</f>
        <v>0</v>
      </c>
      <c r="BD29" s="288">
        <f>Actividades!$AD29*Actividades!$K29</f>
        <v>0</v>
      </c>
      <c r="BE29" s="288">
        <f>Actividades!$AE29*Actividades!$K29</f>
        <v>0</v>
      </c>
      <c r="BF29" s="288">
        <f>Actividades!$AF29*Actividades!$K29</f>
        <v>0</v>
      </c>
      <c r="BG29" s="288">
        <f>Actividades!$AG29*Actividades!$K29</f>
        <v>0</v>
      </c>
      <c r="BH29" s="288">
        <f>Actividades!$AH29*Actividades!$K29</f>
        <v>0</v>
      </c>
      <c r="BI29" s="288">
        <f>Actividades!$AI29*Actividades!$K29</f>
        <v>0</v>
      </c>
      <c r="BJ29" s="288">
        <f>Actividades!$AJ29*Actividades!$K29</f>
        <v>0</v>
      </c>
      <c r="BK29" s="288">
        <f>Actividades!$AK29*Actividades!$K29</f>
        <v>0</v>
      </c>
      <c r="BL29" s="288">
        <f>Actividades!$AL29*Actividades!$K29</f>
        <v>0</v>
      </c>
    </row>
    <row r="30" spans="1:64" s="149" customFormat="1" ht="69" x14ac:dyDescent="0.35">
      <c r="A30" s="228" t="str">
        <f>Actividades!$C30&amp;Actividades!$E30</f>
        <v>77443</v>
      </c>
      <c r="B30" s="326" t="str">
        <f>Actividades!$C30&amp;Actividades!$E30&amp;Actividades!$G30</f>
        <v>774434</v>
      </c>
      <c r="C30" s="327">
        <f>Proyecto!$B$19</f>
        <v>7744</v>
      </c>
      <c r="D30" s="327" t="str">
        <f>Proyecto!$D$19</f>
        <v>Generación de Oportunidades para el Desarrollo Integral de la Niñez y la Adolescencia de Bogotá</v>
      </c>
      <c r="E30" s="329">
        <v>3</v>
      </c>
      <c r="F30" s="327" t="str">
        <f>VLOOKUP(A30,ESTRATÉGICO!$C$3:$AA$110,14,0)</f>
        <v xml:space="preserve">Atender a 20700 niñas niños y adolescentes con discapacidad, alteraciones en el desarrollo, restricciones médicas, pertenecientes a grupos étnicos y víctimas por el conflicto armado con enfoque diferencial y de género </v>
      </c>
      <c r="G30" s="329">
        <v>4</v>
      </c>
      <c r="H30" s="329">
        <v>13</v>
      </c>
      <c r="I30" s="327" t="str">
        <f>VLOOKUP(Actividades!$B30,'ACTIVIDADES PAA'!$A$2:$G$184,7,0)</f>
        <v>Fortalecer los procesos tecnicos para la atencion e inclusion de las ninas, ninos y adolescentes  victimas por el conflicto armado que asisten a los diferentes programas de la subdireccion para la infancia.</v>
      </c>
      <c r="J30" s="318" t="s">
        <v>950</v>
      </c>
      <c r="K30" s="286">
        <v>0.05</v>
      </c>
      <c r="L30" s="287">
        <v>45352</v>
      </c>
      <c r="M30" s="287">
        <v>45443</v>
      </c>
      <c r="N30" s="288">
        <f>+SUMIFS(Tareas[Programación Plan de actividades
Enero],
Tareas[N° de Actividad
(Consecutivo por meta)],Actividades!$G30,
Tareas[No Meta proyecto],Actividades!$E30)</f>
        <v>0</v>
      </c>
      <c r="O30" s="288">
        <f>+SUMIFS(Tareas[Programación Plan de actividades
Febrero],
Tareas[N° de Actividad
(Consecutivo por meta)],Actividades!$G30,
Tareas[No Meta proyecto],Actividades!$E30)</f>
        <v>0.2</v>
      </c>
      <c r="P30" s="288">
        <f>+SUMIFS(Tareas[Programación Plan de actividades
Marzo],
Tareas[N° de Actividad
(Consecutivo por meta)],Actividades!$G30,
Tareas[No Meta proyecto],Actividades!$E30)</f>
        <v>0.3</v>
      </c>
      <c r="Q30" s="288">
        <f>+SUMIFS(Tareas[Programación Plan de actividades
Abril],
Tareas[N° de Actividad
(Consecutivo por meta)],Actividades!$G30,
Tareas[No Meta proyecto],Actividades!$E30)</f>
        <v>0.2</v>
      </c>
      <c r="R30" s="288">
        <f>+SUMIFS(Tareas[Programación Plan de actividades
Mayo],
Tareas[N° de Actividad
(Consecutivo por meta)],Actividades!$G30,
Tareas[No Meta proyecto],Actividades!$E30)</f>
        <v>0.3</v>
      </c>
      <c r="S30" s="288">
        <f>+SUMIFS(Tareas[Programación Plan de actividades
Junio],
Tareas[N° de Actividad
(Consecutivo por meta)],Actividades!$G30,
Tareas[No Meta proyecto],Actividades!$E30)</f>
        <v>0</v>
      </c>
      <c r="T30" s="288">
        <f>+SUMIFS(Tareas[Programación Plan de actividades
Julio],
Tareas[N° de Actividad
(Consecutivo por meta)],Actividades!$G30,
Tareas[No Meta proyecto],Actividades!$E30)</f>
        <v>0</v>
      </c>
      <c r="U30" s="288">
        <f>+SUMIFS(Tareas[Programación Plan de actividades
Agosto],
Tareas[N° de Actividad
(Consecutivo por meta)],Actividades!$G30,
Tareas[No Meta proyecto],Actividades!$E30)</f>
        <v>0</v>
      </c>
      <c r="V30" s="288">
        <f>+SUMIFS(Tareas[Programación Plan de actividades
Septiembre],
Tareas[N° de Actividad
(Consecutivo por meta)],Actividades!$G30,
Tareas[No Meta proyecto],Actividades!$E30)</f>
        <v>0</v>
      </c>
      <c r="W30" s="288">
        <f>+SUMIFS(Tareas[Programación Plan de actividades
Octubre],
Tareas[N° de Actividad
(Consecutivo por meta)],Actividades!$G30,
Tareas[No Meta proyecto],Actividades!$E30)</f>
        <v>0</v>
      </c>
      <c r="X30" s="288">
        <f>+SUMIFS(Tareas[Programación Plan de actividades
Noviembre],
Tareas[N° de Actividad
(Consecutivo por meta)],Actividades!$G30,
Tareas[No Meta proyecto],Actividades!$E30)</f>
        <v>0</v>
      </c>
      <c r="Y30" s="288">
        <f>+SUMIFS(Tareas[Programación Plan de actividades
Diciembre],
Tareas[N° de Actividad
(Consecutivo por meta)],Actividades!$G30,
Tareas[No Meta proyecto],Actividades!$E30)</f>
        <v>0</v>
      </c>
      <c r="Z30" s="371">
        <f>+SUM(Actividades!$N30:$Y30)</f>
        <v>1</v>
      </c>
      <c r="AA30" s="288">
        <f>+SUMIFS(Tareas[Ejecución Plan de actividades
Enero],
Tareas[N° de Actividad
(Consecutivo por meta)],Actividades!$G30,
Tareas[No Meta proyecto],Actividades!$E30)</f>
        <v>0</v>
      </c>
      <c r="AB30" s="288">
        <f>+SUMIFS(Tareas[Ejecución Plan de actividades
Febrero],
Tareas[N° de Actividad
(Consecutivo por meta)],Actividades!$G30,
Tareas[No Meta proyecto],Actividades!$E30)</f>
        <v>0</v>
      </c>
      <c r="AC30" s="288">
        <f>+SUMIFS(Tareas[Ejecución Plan de actividades
Marzo],
Tareas[N° de Actividad
(Consecutivo por meta)],Actividades!$G30,
Tareas[No Meta proyecto],Actividades!$E30)</f>
        <v>0</v>
      </c>
      <c r="AD30" s="288">
        <f>+SUMIFS(Tareas[Ejecución Plan de actividades
Abril],
Tareas[N° de Actividad
(Consecutivo por meta)],Actividades!$G30,
Tareas[No Meta proyecto],Actividades!$E30)</f>
        <v>0</v>
      </c>
      <c r="AE30" s="288">
        <f>+SUMIFS(Tareas[Ejecución Plan de actividades
Mayo],
Tareas[N° de Actividad
(Consecutivo por meta)],Actividades!$G30,
Tareas[No Meta proyecto],Actividades!$E30)</f>
        <v>0</v>
      </c>
      <c r="AF30" s="288">
        <f>+SUMIFS(Tareas[Ejecución Plan de actividades
Junio],
Tareas[N° de Actividad
(Consecutivo por meta)],Actividades!$G30,
Tareas[No Meta proyecto],Actividades!$E30)</f>
        <v>0</v>
      </c>
      <c r="AG30" s="288">
        <f>+SUMIFS(Tareas[Ejecución Plan de actividades
Julio],
Tareas[N° de Actividad
(Consecutivo por meta)],Actividades!$G30,
Tareas[No Meta proyecto],Actividades!$E30)</f>
        <v>0</v>
      </c>
      <c r="AH30" s="288">
        <f>+SUMIFS(Tareas[Ejecución Plan de actividades
Agosto],
Tareas[N° de Actividad
(Consecutivo por meta)],Actividades!$G30,
Tareas[No Meta proyecto],Actividades!$E30)</f>
        <v>0</v>
      </c>
      <c r="AI30" s="288">
        <f>+SUMIFS(Tareas[Ejecución Plan de actividades
Septiembre],
Tareas[N° de Actividad
(Consecutivo por meta)],Actividades!$G30,
Tareas[No Meta proyecto],Actividades!$E30)</f>
        <v>0</v>
      </c>
      <c r="AJ30" s="288">
        <f>+SUMIFS(Tareas[Ejecución Plan de actividades
Octubre],
Tareas[N° de Actividad
(Consecutivo por meta)],Actividades!$G30,
Tareas[No Meta proyecto],Actividades!$E30)</f>
        <v>0</v>
      </c>
      <c r="AK30" s="288">
        <f>+SUMIFS(Tareas[Ejecución Plan de actividades
Noviembre],
Tareas[N° de Actividad
(Consecutivo por meta)],Actividades!$G30,
Tareas[No Meta proyecto],Actividades!$E30)</f>
        <v>0</v>
      </c>
      <c r="AL30" s="288">
        <f>+SUMIFS(Tareas[Ejecución Plan de actividades
Diciembre],
Tareas[N° de Actividad
(Consecutivo por meta)],Actividades!$G30,
Tareas[No Meta proyecto],Actividades!$E30)</f>
        <v>0</v>
      </c>
      <c r="AM30" s="371">
        <f>+SUM(Actividades!$AA30:$AL30)</f>
        <v>0</v>
      </c>
      <c r="AN30" s="372">
        <f>IFERROR(Actividades!$AM30/Actividades!$Z30,"No Programado")</f>
        <v>0</v>
      </c>
      <c r="AO30" s="288">
        <f>+Actividades!$N30*Actividades!$K30</f>
        <v>0</v>
      </c>
      <c r="AP30" s="288">
        <f>+Actividades!$O30*Actividades!$K30</f>
        <v>1.0000000000000002E-2</v>
      </c>
      <c r="AQ30" s="288">
        <f>+Actividades!$P30*Actividades!$K30</f>
        <v>1.4999999999999999E-2</v>
      </c>
      <c r="AR30" s="288">
        <f>+Actividades!$Q30*Actividades!$K30</f>
        <v>1.0000000000000002E-2</v>
      </c>
      <c r="AS30" s="288">
        <f>+Actividades!$R30*Actividades!$K30</f>
        <v>1.4999999999999999E-2</v>
      </c>
      <c r="AT30" s="288">
        <f>+Actividades!$S30*Actividades!$K30</f>
        <v>0</v>
      </c>
      <c r="AU30" s="288">
        <f>+Actividades!$T30*Actividades!$K30</f>
        <v>0</v>
      </c>
      <c r="AV30" s="288">
        <f>+Actividades!$U30*Actividades!$K30</f>
        <v>0</v>
      </c>
      <c r="AW30" s="288">
        <f>+Actividades!$V30*Actividades!$K30</f>
        <v>0</v>
      </c>
      <c r="AX30" s="288">
        <f>+Actividades!$W30*Actividades!$K30</f>
        <v>0</v>
      </c>
      <c r="AY30" s="288">
        <f>+Actividades!$X30*Actividades!$K30</f>
        <v>0</v>
      </c>
      <c r="AZ30" s="288">
        <f>+Actividades!$Y30*Actividades!$K30</f>
        <v>0</v>
      </c>
      <c r="BA30" s="288">
        <f>Actividades!$AA30*Actividades!$K30</f>
        <v>0</v>
      </c>
      <c r="BB30" s="288">
        <f>Actividades!$AB30*Actividades!$K30</f>
        <v>0</v>
      </c>
      <c r="BC30" s="288">
        <f>Actividades!$AC30*Actividades!$K30</f>
        <v>0</v>
      </c>
      <c r="BD30" s="288">
        <f>Actividades!$AD30*Actividades!$K30</f>
        <v>0</v>
      </c>
      <c r="BE30" s="288">
        <f>Actividades!$AE30*Actividades!$K30</f>
        <v>0</v>
      </c>
      <c r="BF30" s="288">
        <f>Actividades!$AF30*Actividades!$K30</f>
        <v>0</v>
      </c>
      <c r="BG30" s="288">
        <f>Actividades!$AG30*Actividades!$K30</f>
        <v>0</v>
      </c>
      <c r="BH30" s="288">
        <f>Actividades!$AH30*Actividades!$K30</f>
        <v>0</v>
      </c>
      <c r="BI30" s="288">
        <f>Actividades!$AI30*Actividades!$K30</f>
        <v>0</v>
      </c>
      <c r="BJ30" s="288">
        <f>Actividades!$AJ30*Actividades!$K30</f>
        <v>0</v>
      </c>
      <c r="BK30" s="288">
        <f>Actividades!$AK30*Actividades!$K30</f>
        <v>0</v>
      </c>
      <c r="BL30" s="288">
        <f>Actividades!$AL30*Actividades!$K30</f>
        <v>0</v>
      </c>
    </row>
    <row r="31" spans="1:64" s="149" customFormat="1" ht="69" x14ac:dyDescent="0.35">
      <c r="A31" s="228" t="str">
        <f>Actividades!$C31&amp;Actividades!$E31</f>
        <v>77444</v>
      </c>
      <c r="B31" s="326" t="str">
        <f>Actividades!$C31&amp;Actividades!$E31&amp;Actividades!$G31</f>
        <v>774441</v>
      </c>
      <c r="C31" s="327">
        <f>Proyecto!$B$19</f>
        <v>7744</v>
      </c>
      <c r="D31" s="327" t="str">
        <f>Proyecto!$D$19</f>
        <v>Generación de Oportunidades para el Desarrollo Integral de la Niñez y la Adolescencia de Bogotá</v>
      </c>
      <c r="E31" s="329">
        <v>4</v>
      </c>
      <c r="F31" s="327" t="str">
        <f>VLOOKUP(A31,ESTRATÉGICO!$C$3:$AA$110,14,0)</f>
        <v>Consolidar 1 herramienta de medición de la atención integral a niñas, niños y adolescentes que permita la trazabilidad de la Ruta Integral de Atenciones desde la Gestación hasta la Adolescencia -RIAGA-</v>
      </c>
      <c r="G31" s="329">
        <v>1</v>
      </c>
      <c r="H31" s="329">
        <v>14</v>
      </c>
      <c r="I31" s="327" t="str">
        <f>VLOOKUP(Actividades!$B31,'ACTIVIDADES PAA'!$A$2:$G$184,7,0)</f>
        <v>Fortalecer, articular y movilizar la gestion distrital y local para la realizacion de las atenciones definidas en la Ruta Integral de Atenciones desde la gestacion hasta la Adolescencia, en el marco del sistema distrital de cuidado.</v>
      </c>
      <c r="J31" s="318" t="s">
        <v>951</v>
      </c>
      <c r="K31" s="286">
        <v>0.04</v>
      </c>
      <c r="L31" s="287">
        <v>45352</v>
      </c>
      <c r="M31" s="287">
        <v>45443</v>
      </c>
      <c r="N31" s="288">
        <f>+SUMIFS(Tareas[Programación Plan de actividades
Enero],
Tareas[N° de Actividad
(Consecutivo por meta)],Actividades!$G31,
Tareas[No Meta proyecto],Actividades!$E31)</f>
        <v>0</v>
      </c>
      <c r="O31" s="288">
        <f>+SUMIFS(Tareas[Programación Plan de actividades
Febrero],
Tareas[N° de Actividad
(Consecutivo por meta)],Actividades!$G31,
Tareas[No Meta proyecto],Actividades!$E31)</f>
        <v>0</v>
      </c>
      <c r="P31" s="288">
        <f>+SUMIFS(Tareas[Programación Plan de actividades
Marzo],
Tareas[N° de Actividad
(Consecutivo por meta)],Actividades!$G31,
Tareas[No Meta proyecto],Actividades!$E31)</f>
        <v>0.26500000000000001</v>
      </c>
      <c r="Q31" s="288">
        <f>+SUMIFS(Tareas[Programación Plan de actividades
Abril],
Tareas[N° de Actividad
(Consecutivo por meta)],Actividades!$G31,
Tareas[No Meta proyecto],Actividades!$E31)</f>
        <v>0.09</v>
      </c>
      <c r="R31" s="288">
        <f>+SUMIFS(Tareas[Programación Plan de actividades
Mayo],
Tareas[N° de Actividad
(Consecutivo por meta)],Actividades!$G31,
Tareas[No Meta proyecto],Actividades!$E31)</f>
        <v>0.64500000000000002</v>
      </c>
      <c r="S31" s="288">
        <f>+SUMIFS(Tareas[Programación Plan de actividades
Junio],
Tareas[N° de Actividad
(Consecutivo por meta)],Actividades!$G31,
Tareas[No Meta proyecto],Actividades!$E31)</f>
        <v>0</v>
      </c>
      <c r="T31" s="288">
        <f>+SUMIFS(Tareas[Programación Plan de actividades
Julio],
Tareas[N° de Actividad
(Consecutivo por meta)],Actividades!$G31,
Tareas[No Meta proyecto],Actividades!$E31)</f>
        <v>0</v>
      </c>
      <c r="U31" s="288">
        <f>+SUMIFS(Tareas[Programación Plan de actividades
Agosto],
Tareas[N° de Actividad
(Consecutivo por meta)],Actividades!$G31,
Tareas[No Meta proyecto],Actividades!$E31)</f>
        <v>0</v>
      </c>
      <c r="V31" s="288">
        <f>+SUMIFS(Tareas[Programación Plan de actividades
Septiembre],
Tareas[N° de Actividad
(Consecutivo por meta)],Actividades!$G31,
Tareas[No Meta proyecto],Actividades!$E31)</f>
        <v>0</v>
      </c>
      <c r="W31" s="288">
        <f>+SUMIFS(Tareas[Programación Plan de actividades
Octubre],
Tareas[N° de Actividad
(Consecutivo por meta)],Actividades!$G31,
Tareas[No Meta proyecto],Actividades!$E31)</f>
        <v>0</v>
      </c>
      <c r="X31" s="288">
        <f>+SUMIFS(Tareas[Programación Plan de actividades
Noviembre],
Tareas[N° de Actividad
(Consecutivo por meta)],Actividades!$G31,
Tareas[No Meta proyecto],Actividades!$E31)</f>
        <v>0</v>
      </c>
      <c r="Y31" s="288">
        <f>+SUMIFS(Tareas[Programación Plan de actividades
Diciembre],
Tareas[N° de Actividad
(Consecutivo por meta)],Actividades!$G31,
Tareas[No Meta proyecto],Actividades!$E31)</f>
        <v>0</v>
      </c>
      <c r="Z31" s="371">
        <f>+SUM(Actividades!$N31:$Y31)</f>
        <v>1</v>
      </c>
      <c r="AA31" s="288">
        <f>+SUMIFS(Tareas[Ejecución Plan de actividades
Enero],
Tareas[N° de Actividad
(Consecutivo por meta)],Actividades!$G31,
Tareas[No Meta proyecto],Actividades!$E31)</f>
        <v>0</v>
      </c>
      <c r="AB31" s="288">
        <f>+SUMIFS(Tareas[Ejecución Plan de actividades
Febrero],
Tareas[N° de Actividad
(Consecutivo por meta)],Actividades!$G31,
Tareas[No Meta proyecto],Actividades!$E31)</f>
        <v>0</v>
      </c>
      <c r="AC31" s="288">
        <f>+SUMIFS(Tareas[Ejecución Plan de actividades
Marzo],
Tareas[N° de Actividad
(Consecutivo por meta)],Actividades!$G31,
Tareas[No Meta proyecto],Actividades!$E31)</f>
        <v>0</v>
      </c>
      <c r="AD31" s="288">
        <f>+SUMIFS(Tareas[Ejecución Plan de actividades
Abril],
Tareas[N° de Actividad
(Consecutivo por meta)],Actividades!$G31,
Tareas[No Meta proyecto],Actividades!$E31)</f>
        <v>0</v>
      </c>
      <c r="AE31" s="288">
        <f>+SUMIFS(Tareas[Ejecución Plan de actividades
Mayo],
Tareas[N° de Actividad
(Consecutivo por meta)],Actividades!$G31,
Tareas[No Meta proyecto],Actividades!$E31)</f>
        <v>0</v>
      </c>
      <c r="AF31" s="288">
        <f>+SUMIFS(Tareas[Ejecución Plan de actividades
Junio],
Tareas[N° de Actividad
(Consecutivo por meta)],Actividades!$G31,
Tareas[No Meta proyecto],Actividades!$E31)</f>
        <v>0</v>
      </c>
      <c r="AG31" s="288">
        <f>+SUMIFS(Tareas[Ejecución Plan de actividades
Julio],
Tareas[N° de Actividad
(Consecutivo por meta)],Actividades!$G31,
Tareas[No Meta proyecto],Actividades!$E31)</f>
        <v>0</v>
      </c>
      <c r="AH31" s="288">
        <f>+SUMIFS(Tareas[Ejecución Plan de actividades
Agosto],
Tareas[N° de Actividad
(Consecutivo por meta)],Actividades!$G31,
Tareas[No Meta proyecto],Actividades!$E31)</f>
        <v>0</v>
      </c>
      <c r="AI31" s="288">
        <f>+SUMIFS(Tareas[Ejecución Plan de actividades
Septiembre],
Tareas[N° de Actividad
(Consecutivo por meta)],Actividades!$G31,
Tareas[No Meta proyecto],Actividades!$E31)</f>
        <v>0</v>
      </c>
      <c r="AJ31" s="288">
        <f>+SUMIFS(Tareas[Ejecución Plan de actividades
Octubre],
Tareas[N° de Actividad
(Consecutivo por meta)],Actividades!$G31,
Tareas[No Meta proyecto],Actividades!$E31)</f>
        <v>0</v>
      </c>
      <c r="AK31" s="288">
        <f>+SUMIFS(Tareas[Ejecución Plan de actividades
Noviembre],
Tareas[N° de Actividad
(Consecutivo por meta)],Actividades!$G31,
Tareas[No Meta proyecto],Actividades!$E31)</f>
        <v>0</v>
      </c>
      <c r="AL31" s="288">
        <f>+SUMIFS(Tareas[Ejecución Plan de actividades
Diciembre],
Tareas[N° de Actividad
(Consecutivo por meta)],Actividades!$G31,
Tareas[No Meta proyecto],Actividades!$E31)</f>
        <v>0</v>
      </c>
      <c r="AM31" s="371">
        <f>+SUM(Actividades!$AA31:$AL31)</f>
        <v>0</v>
      </c>
      <c r="AN31" s="372">
        <f>IFERROR(Actividades!$AM31/Actividades!$Z31,"No Programado")</f>
        <v>0</v>
      </c>
      <c r="AO31" s="288">
        <f>+Actividades!$N31*Actividades!$K31</f>
        <v>0</v>
      </c>
      <c r="AP31" s="288">
        <f>+Actividades!$O31*Actividades!$K31</f>
        <v>0</v>
      </c>
      <c r="AQ31" s="288">
        <f>+Actividades!$P31*Actividades!$K31</f>
        <v>1.06E-2</v>
      </c>
      <c r="AR31" s="288">
        <f>+Actividades!$Q31*Actividades!$K31</f>
        <v>3.5999999999999999E-3</v>
      </c>
      <c r="AS31" s="288">
        <f>+Actividades!$R31*Actividades!$K31</f>
        <v>2.58E-2</v>
      </c>
      <c r="AT31" s="288">
        <f>+Actividades!$S31*Actividades!$K31</f>
        <v>0</v>
      </c>
      <c r="AU31" s="288">
        <f>+Actividades!$T31*Actividades!$K31</f>
        <v>0</v>
      </c>
      <c r="AV31" s="288">
        <f>+Actividades!$U31*Actividades!$K31</f>
        <v>0</v>
      </c>
      <c r="AW31" s="288">
        <f>+Actividades!$V31*Actividades!$K31</f>
        <v>0</v>
      </c>
      <c r="AX31" s="288">
        <f>+Actividades!$W31*Actividades!$K31</f>
        <v>0</v>
      </c>
      <c r="AY31" s="288">
        <f>+Actividades!$X31*Actividades!$K31</f>
        <v>0</v>
      </c>
      <c r="AZ31" s="288">
        <f>+Actividades!$Y31*Actividades!$K31</f>
        <v>0</v>
      </c>
      <c r="BA31" s="288">
        <f>Actividades!$AA31*Actividades!$K31</f>
        <v>0</v>
      </c>
      <c r="BB31" s="288">
        <f>Actividades!$AB31*Actividades!$K31</f>
        <v>0</v>
      </c>
      <c r="BC31" s="288">
        <f>Actividades!$AC31*Actividades!$K31</f>
        <v>0</v>
      </c>
      <c r="BD31" s="288">
        <f>Actividades!$AD31*Actividades!$K31</f>
        <v>0</v>
      </c>
      <c r="BE31" s="288">
        <f>Actividades!$AE31*Actividades!$K31</f>
        <v>0</v>
      </c>
      <c r="BF31" s="288">
        <f>Actividades!$AF31*Actividades!$K31</f>
        <v>0</v>
      </c>
      <c r="BG31" s="288">
        <f>Actividades!$AG31*Actividades!$K31</f>
        <v>0</v>
      </c>
      <c r="BH31" s="288">
        <f>Actividades!$AH31*Actividades!$K31</f>
        <v>0</v>
      </c>
      <c r="BI31" s="288">
        <f>Actividades!$AI31*Actividades!$K31</f>
        <v>0</v>
      </c>
      <c r="BJ31" s="288">
        <f>Actividades!$AJ31*Actividades!$K31</f>
        <v>0</v>
      </c>
      <c r="BK31" s="288">
        <f>Actividades!$AK31*Actividades!$K31</f>
        <v>0</v>
      </c>
      <c r="BL31" s="288">
        <f>Actividades!$AL31*Actividades!$K31</f>
        <v>0</v>
      </c>
    </row>
    <row r="32" spans="1:64" s="149" customFormat="1" ht="69" x14ac:dyDescent="0.35">
      <c r="A32" s="228" t="str">
        <f>Actividades!$C32&amp;Actividades!$E32</f>
        <v>77445</v>
      </c>
      <c r="B32" s="326" t="str">
        <f>Actividades!$C32&amp;Actividades!$E32&amp;Actividades!$G32</f>
        <v>774451</v>
      </c>
      <c r="C32" s="327">
        <f>Proyecto!$B$19</f>
        <v>7744</v>
      </c>
      <c r="D32" s="327" t="str">
        <f>Proyecto!$D$19</f>
        <v>Generación de Oportunidades para el Desarrollo Integral de la Niñez y la Adolescencia de Bogotá</v>
      </c>
      <c r="E32" s="329">
        <v>5</v>
      </c>
      <c r="F32" s="327" t="str">
        <f>VLOOKUP(A32,ESTRATÉGICO!$C$3:$AA$110,14,0)</f>
        <v>Atender a 21200 niñas, niños y adolescentes del distrito en riesgo de trabajo infantil y violencias sexuales; y migrantes en riesgo de vulneración de sus derechos de manera flexible con enfoque diferencial y de género  </v>
      </c>
      <c r="G32" s="329">
        <v>1</v>
      </c>
      <c r="H32" s="329">
        <v>15</v>
      </c>
      <c r="I32" s="327" t="str">
        <f>VLOOKUP(Actividades!$B32,'ACTIVIDADES PAA'!$A$2:$G$184,7,0)</f>
        <v>Atender mediante procesos flexibles y diferenciales a las ninas, ninos y adolescentes en riesgo o situacion de trabajo infantil, generando espacios protectores que garanticen sus derechos.</v>
      </c>
      <c r="J32" s="318" t="s">
        <v>952</v>
      </c>
      <c r="K32" s="286">
        <v>0.06</v>
      </c>
      <c r="L32" s="287" t="s">
        <v>939</v>
      </c>
      <c r="M32" s="287">
        <v>45443</v>
      </c>
      <c r="N32" s="288">
        <f>+SUMIFS(Tareas[Programación Plan de actividades
Enero],
Tareas[N° de Actividad
(Consecutivo por meta)],Actividades!$G32,
Tareas[No Meta proyecto],Actividades!$E32)</f>
        <v>0</v>
      </c>
      <c r="O32" s="288">
        <f>+SUMIFS(Tareas[Programación Plan de actividades
Febrero],
Tareas[N° de Actividad
(Consecutivo por meta)],Actividades!$G32,
Tareas[No Meta proyecto],Actividades!$E32)</f>
        <v>0.18</v>
      </c>
      <c r="P32" s="288">
        <f>+SUMIFS(Tareas[Programación Plan de actividades
Marzo],
Tareas[N° de Actividad
(Consecutivo por meta)],Actividades!$G32,
Tareas[No Meta proyecto],Actividades!$E32)</f>
        <v>0.27</v>
      </c>
      <c r="Q32" s="288">
        <f>+SUMIFS(Tareas[Programación Plan de actividades
Abril],
Tareas[N° de Actividad
(Consecutivo por meta)],Actividades!$G32,
Tareas[No Meta proyecto],Actividades!$E32)</f>
        <v>0.27999999999999997</v>
      </c>
      <c r="R32" s="288">
        <f>+SUMIFS(Tareas[Programación Plan de actividades
Mayo],
Tareas[N° de Actividad
(Consecutivo por meta)],Actividades!$G32,
Tareas[No Meta proyecto],Actividades!$E32)</f>
        <v>0.27</v>
      </c>
      <c r="S32" s="288">
        <f>+SUMIFS(Tareas[Programación Plan de actividades
Junio],
Tareas[N° de Actividad
(Consecutivo por meta)],Actividades!$G32,
Tareas[No Meta proyecto],Actividades!$E32)</f>
        <v>0</v>
      </c>
      <c r="T32" s="288">
        <f>+SUMIFS(Tareas[Programación Plan de actividades
Julio],
Tareas[N° de Actividad
(Consecutivo por meta)],Actividades!$G32,
Tareas[No Meta proyecto],Actividades!$E32)</f>
        <v>0</v>
      </c>
      <c r="U32" s="288">
        <f>+SUMIFS(Tareas[Programación Plan de actividades
Agosto],
Tareas[N° de Actividad
(Consecutivo por meta)],Actividades!$G32,
Tareas[No Meta proyecto],Actividades!$E32)</f>
        <v>0</v>
      </c>
      <c r="V32" s="288">
        <f>+SUMIFS(Tareas[Programación Plan de actividades
Septiembre],
Tareas[N° de Actividad
(Consecutivo por meta)],Actividades!$G32,
Tareas[No Meta proyecto],Actividades!$E32)</f>
        <v>0</v>
      </c>
      <c r="W32" s="288">
        <f>+SUMIFS(Tareas[Programación Plan de actividades
Octubre],
Tareas[N° de Actividad
(Consecutivo por meta)],Actividades!$G32,
Tareas[No Meta proyecto],Actividades!$E32)</f>
        <v>0</v>
      </c>
      <c r="X32" s="288">
        <f>+SUMIFS(Tareas[Programación Plan de actividades
Noviembre],
Tareas[N° de Actividad
(Consecutivo por meta)],Actividades!$G32,
Tareas[No Meta proyecto],Actividades!$E32)</f>
        <v>0</v>
      </c>
      <c r="Y32" s="288">
        <f>+SUMIFS(Tareas[Programación Plan de actividades
Diciembre],
Tareas[N° de Actividad
(Consecutivo por meta)],Actividades!$G32,
Tareas[No Meta proyecto],Actividades!$E32)</f>
        <v>0</v>
      </c>
      <c r="Z32" s="371">
        <f>+SUM(Actividades!$N32:$Y32)</f>
        <v>1</v>
      </c>
      <c r="AA32" s="288">
        <f>+SUMIFS(Tareas[Ejecución Plan de actividades
Enero],
Tareas[N° de Actividad
(Consecutivo por meta)],Actividades!$G32,
Tareas[No Meta proyecto],Actividades!$E32)</f>
        <v>0</v>
      </c>
      <c r="AB32" s="288">
        <f>+SUMIFS(Tareas[Ejecución Plan de actividades
Febrero],
Tareas[N° de Actividad
(Consecutivo por meta)],Actividades!$G32,
Tareas[No Meta proyecto],Actividades!$E32)</f>
        <v>0</v>
      </c>
      <c r="AC32" s="288">
        <f>+SUMIFS(Tareas[Ejecución Plan de actividades
Marzo],
Tareas[N° de Actividad
(Consecutivo por meta)],Actividades!$G32,
Tareas[No Meta proyecto],Actividades!$E32)</f>
        <v>0</v>
      </c>
      <c r="AD32" s="288">
        <f>+SUMIFS(Tareas[Ejecución Plan de actividades
Abril],
Tareas[N° de Actividad
(Consecutivo por meta)],Actividades!$G32,
Tareas[No Meta proyecto],Actividades!$E32)</f>
        <v>0</v>
      </c>
      <c r="AE32" s="288">
        <f>+SUMIFS(Tareas[Ejecución Plan de actividades
Mayo],
Tareas[N° de Actividad
(Consecutivo por meta)],Actividades!$G32,
Tareas[No Meta proyecto],Actividades!$E32)</f>
        <v>0</v>
      </c>
      <c r="AF32" s="288">
        <f>+SUMIFS(Tareas[Ejecución Plan de actividades
Junio],
Tareas[N° de Actividad
(Consecutivo por meta)],Actividades!$G32,
Tareas[No Meta proyecto],Actividades!$E32)</f>
        <v>0</v>
      </c>
      <c r="AG32" s="288">
        <f>+SUMIFS(Tareas[Ejecución Plan de actividades
Julio],
Tareas[N° de Actividad
(Consecutivo por meta)],Actividades!$G32,
Tareas[No Meta proyecto],Actividades!$E32)</f>
        <v>0</v>
      </c>
      <c r="AH32" s="288">
        <f>+SUMIFS(Tareas[Ejecución Plan de actividades
Agosto],
Tareas[N° de Actividad
(Consecutivo por meta)],Actividades!$G32,
Tareas[No Meta proyecto],Actividades!$E32)</f>
        <v>0</v>
      </c>
      <c r="AI32" s="288">
        <f>+SUMIFS(Tareas[Ejecución Plan de actividades
Septiembre],
Tareas[N° de Actividad
(Consecutivo por meta)],Actividades!$G32,
Tareas[No Meta proyecto],Actividades!$E32)</f>
        <v>0</v>
      </c>
      <c r="AJ32" s="288">
        <f>+SUMIFS(Tareas[Ejecución Plan de actividades
Octubre],
Tareas[N° de Actividad
(Consecutivo por meta)],Actividades!$G32,
Tareas[No Meta proyecto],Actividades!$E32)</f>
        <v>0</v>
      </c>
      <c r="AK32" s="288">
        <f>+SUMIFS(Tareas[Ejecución Plan de actividades
Noviembre],
Tareas[N° de Actividad
(Consecutivo por meta)],Actividades!$G32,
Tareas[No Meta proyecto],Actividades!$E32)</f>
        <v>0</v>
      </c>
      <c r="AL32" s="288">
        <f>+SUMIFS(Tareas[Ejecución Plan de actividades
Diciembre],
Tareas[N° de Actividad
(Consecutivo por meta)],Actividades!$G32,
Tareas[No Meta proyecto],Actividades!$E32)</f>
        <v>0</v>
      </c>
      <c r="AM32" s="371">
        <f>+SUM(Actividades!$AA32:$AL32)</f>
        <v>0</v>
      </c>
      <c r="AN32" s="372">
        <f>IFERROR(Actividades!$AM32/Actividades!$Z32,"No Programado")</f>
        <v>0</v>
      </c>
      <c r="AO32" s="288">
        <f>+Actividades!$N32*Actividades!$K32</f>
        <v>0</v>
      </c>
      <c r="AP32" s="288">
        <f>+Actividades!$O32*Actividades!$K32</f>
        <v>1.0799999999999999E-2</v>
      </c>
      <c r="AQ32" s="288">
        <f>+Actividades!$P32*Actividades!$K32</f>
        <v>1.6199999999999999E-2</v>
      </c>
      <c r="AR32" s="288">
        <f>+Actividades!$Q32*Actividades!$K32</f>
        <v>1.6799999999999999E-2</v>
      </c>
      <c r="AS32" s="288">
        <f>+Actividades!$R32*Actividades!$K32</f>
        <v>1.6199999999999999E-2</v>
      </c>
      <c r="AT32" s="288">
        <f>+Actividades!$S32*Actividades!$K32</f>
        <v>0</v>
      </c>
      <c r="AU32" s="288">
        <f>+Actividades!$T32*Actividades!$K32</f>
        <v>0</v>
      </c>
      <c r="AV32" s="288">
        <f>+Actividades!$U32*Actividades!$K32</f>
        <v>0</v>
      </c>
      <c r="AW32" s="288">
        <f>+Actividades!$V32*Actividades!$K32</f>
        <v>0</v>
      </c>
      <c r="AX32" s="288">
        <f>+Actividades!$W32*Actividades!$K32</f>
        <v>0</v>
      </c>
      <c r="AY32" s="288">
        <f>+Actividades!$X32*Actividades!$K32</f>
        <v>0</v>
      </c>
      <c r="AZ32" s="288">
        <f>+Actividades!$Y32*Actividades!$K32</f>
        <v>0</v>
      </c>
      <c r="BA32" s="288">
        <f>Actividades!$AA32*Actividades!$K32</f>
        <v>0</v>
      </c>
      <c r="BB32" s="288">
        <f>Actividades!$AB32*Actividades!$K32</f>
        <v>0</v>
      </c>
      <c r="BC32" s="288">
        <f>Actividades!$AC32*Actividades!$K32</f>
        <v>0</v>
      </c>
      <c r="BD32" s="288">
        <f>Actividades!$AD32*Actividades!$K32</f>
        <v>0</v>
      </c>
      <c r="BE32" s="288">
        <f>Actividades!$AE32*Actividades!$K32</f>
        <v>0</v>
      </c>
      <c r="BF32" s="288">
        <f>Actividades!$AF32*Actividades!$K32</f>
        <v>0</v>
      </c>
      <c r="BG32" s="288">
        <f>Actividades!$AG32*Actividades!$K32</f>
        <v>0</v>
      </c>
      <c r="BH32" s="288">
        <f>Actividades!$AH32*Actividades!$K32</f>
        <v>0</v>
      </c>
      <c r="BI32" s="288">
        <f>Actividades!$AI32*Actividades!$K32</f>
        <v>0</v>
      </c>
      <c r="BJ32" s="288">
        <f>Actividades!$AJ32*Actividades!$K32</f>
        <v>0</v>
      </c>
      <c r="BK32" s="288">
        <f>Actividades!$AK32*Actividades!$K32</f>
        <v>0</v>
      </c>
      <c r="BL32" s="288">
        <f>Actividades!$AL32*Actividades!$K32</f>
        <v>0</v>
      </c>
    </row>
    <row r="33" spans="1:64" s="149" customFormat="1" ht="69" x14ac:dyDescent="0.35">
      <c r="A33" s="228" t="str">
        <f>Actividades!$C33&amp;Actividades!$E33</f>
        <v>77445</v>
      </c>
      <c r="B33" s="326" t="str">
        <f>Actividades!$C33&amp;Actividades!$E33&amp;Actividades!$G33</f>
        <v>774452</v>
      </c>
      <c r="C33" s="327">
        <f>Proyecto!$B$19</f>
        <v>7744</v>
      </c>
      <c r="D33" s="327" t="str">
        <f>Proyecto!$D$19</f>
        <v>Generación de Oportunidades para el Desarrollo Integral de la Niñez y la Adolescencia de Bogotá</v>
      </c>
      <c r="E33" s="329">
        <v>5</v>
      </c>
      <c r="F33" s="327" t="str">
        <f>VLOOKUP(A33,ESTRATÉGICO!$C$3:$AA$110,14,0)</f>
        <v>Atender a 21200 niñas, niños y adolescentes del distrito en riesgo de trabajo infantil y violencias sexuales; y migrantes en riesgo de vulneración de sus derechos de manera flexible con enfoque diferencial y de género  </v>
      </c>
      <c r="G33" s="329">
        <v>2</v>
      </c>
      <c r="H33" s="329">
        <v>16</v>
      </c>
      <c r="I33" s="327" t="str">
        <f>VLOOKUP(Actividades!$B33,'ACTIVIDADES PAA'!$A$2:$G$184,7,0)</f>
        <v>Atender mediante estrategias diferenciales y flexibles a ninas, ninos y adolescentes en contexto de poblacion migrante, en riesgo de vulneracion de derechos, articulando la oferta distrital para garantizar la proteccion de sus derechos.</v>
      </c>
      <c r="J33" s="318" t="s">
        <v>953</v>
      </c>
      <c r="K33" s="286">
        <v>0.06</v>
      </c>
      <c r="L33" s="287" t="s">
        <v>939</v>
      </c>
      <c r="M33" s="287">
        <v>45443</v>
      </c>
      <c r="N33" s="288">
        <f>+SUMIFS(Tareas[Programación Plan de actividades
Enero],
Tareas[N° de Actividad
(Consecutivo por meta)],Actividades!$G33,
Tareas[No Meta proyecto],Actividades!$E33)</f>
        <v>0</v>
      </c>
      <c r="O33" s="288">
        <f>+SUMIFS(Tareas[Programación Plan de actividades
Febrero],
Tareas[N° de Actividad
(Consecutivo por meta)],Actividades!$G33,
Tareas[No Meta proyecto],Actividades!$E33)</f>
        <v>0.25</v>
      </c>
      <c r="P33" s="288">
        <f>+SUMIFS(Tareas[Programación Plan de actividades
Marzo],
Tareas[N° de Actividad
(Consecutivo por meta)],Actividades!$G33,
Tareas[No Meta proyecto],Actividades!$E33)</f>
        <v>0.25</v>
      </c>
      <c r="Q33" s="288">
        <f>+SUMIFS(Tareas[Programación Plan de actividades
Abril],
Tareas[N° de Actividad
(Consecutivo por meta)],Actividades!$G33,
Tareas[No Meta proyecto],Actividades!$E33)</f>
        <v>0.25</v>
      </c>
      <c r="R33" s="288">
        <f>+SUMIFS(Tareas[Programación Plan de actividades
Mayo],
Tareas[N° de Actividad
(Consecutivo por meta)],Actividades!$G33,
Tareas[No Meta proyecto],Actividades!$E33)</f>
        <v>0.25</v>
      </c>
      <c r="S33" s="288">
        <f>+SUMIFS(Tareas[Programación Plan de actividades
Junio],
Tareas[N° de Actividad
(Consecutivo por meta)],Actividades!$G33,
Tareas[No Meta proyecto],Actividades!$E33)</f>
        <v>0</v>
      </c>
      <c r="T33" s="288">
        <f>+SUMIFS(Tareas[Programación Plan de actividades
Julio],
Tareas[N° de Actividad
(Consecutivo por meta)],Actividades!$G33,
Tareas[No Meta proyecto],Actividades!$E33)</f>
        <v>0</v>
      </c>
      <c r="U33" s="288">
        <f>+SUMIFS(Tareas[Programación Plan de actividades
Agosto],
Tareas[N° de Actividad
(Consecutivo por meta)],Actividades!$G33,
Tareas[No Meta proyecto],Actividades!$E33)</f>
        <v>0</v>
      </c>
      <c r="V33" s="288">
        <f>+SUMIFS(Tareas[Programación Plan de actividades
Septiembre],
Tareas[N° de Actividad
(Consecutivo por meta)],Actividades!$G33,
Tareas[No Meta proyecto],Actividades!$E33)</f>
        <v>0</v>
      </c>
      <c r="W33" s="288">
        <f>+SUMIFS(Tareas[Programación Plan de actividades
Octubre],
Tareas[N° de Actividad
(Consecutivo por meta)],Actividades!$G33,
Tareas[No Meta proyecto],Actividades!$E33)</f>
        <v>0</v>
      </c>
      <c r="X33" s="288">
        <f>+SUMIFS(Tareas[Programación Plan de actividades
Noviembre],
Tareas[N° de Actividad
(Consecutivo por meta)],Actividades!$G33,
Tareas[No Meta proyecto],Actividades!$E33)</f>
        <v>0</v>
      </c>
      <c r="Y33" s="288">
        <f>+SUMIFS(Tareas[Programación Plan de actividades
Diciembre],
Tareas[N° de Actividad
(Consecutivo por meta)],Actividades!$G33,
Tareas[No Meta proyecto],Actividades!$E33)</f>
        <v>0</v>
      </c>
      <c r="Z33" s="371">
        <f>+SUM(Actividades!$N33:$Y33)</f>
        <v>1</v>
      </c>
      <c r="AA33" s="288">
        <f>+SUMIFS(Tareas[Ejecución Plan de actividades
Enero],
Tareas[N° de Actividad
(Consecutivo por meta)],Actividades!$G33,
Tareas[No Meta proyecto],Actividades!$E33)</f>
        <v>0</v>
      </c>
      <c r="AB33" s="288">
        <f>+SUMIFS(Tareas[Ejecución Plan de actividades
Febrero],
Tareas[N° de Actividad
(Consecutivo por meta)],Actividades!$G33,
Tareas[No Meta proyecto],Actividades!$E33)</f>
        <v>0</v>
      </c>
      <c r="AC33" s="288">
        <f>+SUMIFS(Tareas[Ejecución Plan de actividades
Marzo],
Tareas[N° de Actividad
(Consecutivo por meta)],Actividades!$G33,
Tareas[No Meta proyecto],Actividades!$E33)</f>
        <v>0</v>
      </c>
      <c r="AD33" s="288">
        <f>+SUMIFS(Tareas[Ejecución Plan de actividades
Abril],
Tareas[N° de Actividad
(Consecutivo por meta)],Actividades!$G33,
Tareas[No Meta proyecto],Actividades!$E33)</f>
        <v>0</v>
      </c>
      <c r="AE33" s="288">
        <f>+SUMIFS(Tareas[Ejecución Plan de actividades
Mayo],
Tareas[N° de Actividad
(Consecutivo por meta)],Actividades!$G33,
Tareas[No Meta proyecto],Actividades!$E33)</f>
        <v>0</v>
      </c>
      <c r="AF33" s="288">
        <f>+SUMIFS(Tareas[Ejecución Plan de actividades
Junio],
Tareas[N° de Actividad
(Consecutivo por meta)],Actividades!$G33,
Tareas[No Meta proyecto],Actividades!$E33)</f>
        <v>0</v>
      </c>
      <c r="AG33" s="288">
        <f>+SUMIFS(Tareas[Ejecución Plan de actividades
Julio],
Tareas[N° de Actividad
(Consecutivo por meta)],Actividades!$G33,
Tareas[No Meta proyecto],Actividades!$E33)</f>
        <v>0</v>
      </c>
      <c r="AH33" s="288">
        <f>+SUMIFS(Tareas[Ejecución Plan de actividades
Agosto],
Tareas[N° de Actividad
(Consecutivo por meta)],Actividades!$G33,
Tareas[No Meta proyecto],Actividades!$E33)</f>
        <v>0</v>
      </c>
      <c r="AI33" s="288">
        <f>+SUMIFS(Tareas[Ejecución Plan de actividades
Septiembre],
Tareas[N° de Actividad
(Consecutivo por meta)],Actividades!$G33,
Tareas[No Meta proyecto],Actividades!$E33)</f>
        <v>0</v>
      </c>
      <c r="AJ33" s="288">
        <f>+SUMIFS(Tareas[Ejecución Plan de actividades
Octubre],
Tareas[N° de Actividad
(Consecutivo por meta)],Actividades!$G33,
Tareas[No Meta proyecto],Actividades!$E33)</f>
        <v>0</v>
      </c>
      <c r="AK33" s="288">
        <f>+SUMIFS(Tareas[Ejecución Plan de actividades
Noviembre],
Tareas[N° de Actividad
(Consecutivo por meta)],Actividades!$G33,
Tareas[No Meta proyecto],Actividades!$E33)</f>
        <v>0</v>
      </c>
      <c r="AL33" s="288">
        <f>+SUMIFS(Tareas[Ejecución Plan de actividades
Diciembre],
Tareas[N° de Actividad
(Consecutivo por meta)],Actividades!$G33,
Tareas[No Meta proyecto],Actividades!$E33)</f>
        <v>0</v>
      </c>
      <c r="AM33" s="371">
        <f>+SUM(Actividades!$AA33:$AL33)</f>
        <v>0</v>
      </c>
      <c r="AN33" s="372">
        <f>IFERROR(Actividades!$AM33/Actividades!$Z33,"No Programado")</f>
        <v>0</v>
      </c>
      <c r="AO33" s="289">
        <f>+Actividades!$N33*Actividades!$K33</f>
        <v>0</v>
      </c>
      <c r="AP33" s="289">
        <f>+Actividades!$O33*Actividades!$K33</f>
        <v>1.4999999999999999E-2</v>
      </c>
      <c r="AQ33" s="289">
        <f>+Actividades!$P33*Actividades!$K33</f>
        <v>1.4999999999999999E-2</v>
      </c>
      <c r="AR33" s="289">
        <f>+Actividades!$Q33*Actividades!$K33</f>
        <v>1.4999999999999999E-2</v>
      </c>
      <c r="AS33" s="289">
        <f>+Actividades!$R33*Actividades!$K33</f>
        <v>1.4999999999999999E-2</v>
      </c>
      <c r="AT33" s="289">
        <f>+Actividades!$S33*Actividades!$K33</f>
        <v>0</v>
      </c>
      <c r="AU33" s="289">
        <f>+Actividades!$T33*Actividades!$K33</f>
        <v>0</v>
      </c>
      <c r="AV33" s="289">
        <f>+Actividades!$U33*Actividades!$K33</f>
        <v>0</v>
      </c>
      <c r="AW33" s="289">
        <f>+Actividades!$V33*Actividades!$K33</f>
        <v>0</v>
      </c>
      <c r="AX33" s="289">
        <f>+Actividades!$W33*Actividades!$K33</f>
        <v>0</v>
      </c>
      <c r="AY33" s="289">
        <f>+Actividades!$X33*Actividades!$K33</f>
        <v>0</v>
      </c>
      <c r="AZ33" s="289">
        <f>+Actividades!$Y33*Actividades!$K33</f>
        <v>0</v>
      </c>
      <c r="BA33" s="289">
        <f>Actividades!$AA33*Actividades!$K33</f>
        <v>0</v>
      </c>
      <c r="BB33" s="289">
        <f>Actividades!$AB33*Actividades!$K33</f>
        <v>0</v>
      </c>
      <c r="BC33" s="289">
        <f>Actividades!$AC33*Actividades!$K33</f>
        <v>0</v>
      </c>
      <c r="BD33" s="289">
        <f>Actividades!$AD33*Actividades!$K33</f>
        <v>0</v>
      </c>
      <c r="BE33" s="289">
        <f>Actividades!$AE33*Actividades!$K33</f>
        <v>0</v>
      </c>
      <c r="BF33" s="289">
        <f>Actividades!$AF33*Actividades!$K33</f>
        <v>0</v>
      </c>
      <c r="BG33" s="289">
        <f>Actividades!$AG33*Actividades!$K33</f>
        <v>0</v>
      </c>
      <c r="BH33" s="289">
        <f>Actividades!$AH33*Actividades!$K33</f>
        <v>0</v>
      </c>
      <c r="BI33" s="289">
        <f>Actividades!$AI33*Actividades!$K33</f>
        <v>0</v>
      </c>
      <c r="BJ33" s="289">
        <f>Actividades!$AJ33*Actividades!$K33</f>
        <v>0</v>
      </c>
      <c r="BK33" s="289">
        <f>Actividades!$AK33*Actividades!$K33</f>
        <v>0</v>
      </c>
      <c r="BL33" s="289">
        <f>Actividades!$AL33*Actividades!$K33</f>
        <v>0</v>
      </c>
    </row>
    <row r="34" spans="1:64" s="149" customFormat="1" ht="69" x14ac:dyDescent="0.35">
      <c r="A34" s="228" t="str">
        <f>Actividades!$C34&amp;Actividades!$E34</f>
        <v>77445</v>
      </c>
      <c r="B34" s="326" t="str">
        <f>Actividades!$C34&amp;Actividades!$E34&amp;Actividades!$G34</f>
        <v>774454</v>
      </c>
      <c r="C34" s="327">
        <f>Proyecto!$B$19</f>
        <v>7744</v>
      </c>
      <c r="D34" s="327" t="str">
        <f>Proyecto!$D$19</f>
        <v>Generación de Oportunidades para el Desarrollo Integral de la Niñez y la Adolescencia de Bogotá</v>
      </c>
      <c r="E34" s="329">
        <v>5</v>
      </c>
      <c r="F34" s="327" t="str">
        <f>VLOOKUP(A34,ESTRATÉGICO!$C$3:$AA$110,14,0)</f>
        <v>Atender a 21200 niñas, niños y adolescentes del distrito en riesgo de trabajo infantil y violencias sexuales; y migrantes en riesgo de vulneración de sus derechos de manera flexible con enfoque diferencial y de género  </v>
      </c>
      <c r="G34" s="329">
        <v>4</v>
      </c>
      <c r="H34" s="329">
        <v>17</v>
      </c>
      <c r="I34" s="327" t="str">
        <f>VLOOKUP(Actividades!$B34,'ACTIVIDADES PAA'!$A$2:$G$184,7,0)</f>
        <v>Implementar en el marco del Sistema Distrital de Cuidado, espacios de modalidad flexible de acompanamiento a las ninas, ninos y adolescentes, cuyas madres o padres debido a sus realidades sociales y economicas, requieran de estrategias dife</v>
      </c>
      <c r="J34" s="318" t="s">
        <v>953</v>
      </c>
      <c r="K34" s="286">
        <v>0.06</v>
      </c>
      <c r="L34" s="287">
        <v>45352</v>
      </c>
      <c r="M34" s="287">
        <v>45443</v>
      </c>
      <c r="N34" s="288">
        <f>+SUMIFS(Tareas[Programación Plan de actividades
Enero],
Tareas[N° de Actividad
(Consecutivo por meta)],Actividades!$G34,
Tareas[No Meta proyecto],Actividades!$E34)</f>
        <v>0</v>
      </c>
      <c r="O34" s="288">
        <f>+SUMIFS(Tareas[Programación Plan de actividades
Febrero],
Tareas[N° de Actividad
(Consecutivo por meta)],Actividades!$G34,
Tareas[No Meta proyecto],Actividades!$E34)</f>
        <v>0.16</v>
      </c>
      <c r="P34" s="288">
        <f>+SUMIFS(Tareas[Programación Plan de actividades
Marzo],
Tareas[N° de Actividad
(Consecutivo por meta)],Actividades!$G34,
Tareas[No Meta proyecto],Actividades!$E34)</f>
        <v>0.16</v>
      </c>
      <c r="Q34" s="288">
        <f>+SUMIFS(Tareas[Programación Plan de actividades
Abril],
Tareas[N° de Actividad
(Consecutivo por meta)],Actividades!$G34,
Tareas[No Meta proyecto],Actividades!$E34)</f>
        <v>0.22</v>
      </c>
      <c r="R34" s="288">
        <f>+SUMIFS(Tareas[Programación Plan de actividades
Mayo],
Tareas[N° de Actividad
(Consecutivo por meta)],Actividades!$G34,
Tareas[No Meta proyecto],Actividades!$E34)</f>
        <v>0.45999999999999996</v>
      </c>
      <c r="S34" s="288">
        <f>+SUMIFS(Tareas[Programación Plan de actividades
Junio],
Tareas[N° de Actividad
(Consecutivo por meta)],Actividades!$G34,
Tareas[No Meta proyecto],Actividades!$E34)</f>
        <v>0</v>
      </c>
      <c r="T34" s="288">
        <f>+SUMIFS(Tareas[Programación Plan de actividades
Julio],
Tareas[N° de Actividad
(Consecutivo por meta)],Actividades!$G34,
Tareas[No Meta proyecto],Actividades!$E34)</f>
        <v>0</v>
      </c>
      <c r="U34" s="288">
        <f>+SUMIFS(Tareas[Programación Plan de actividades
Agosto],
Tareas[N° de Actividad
(Consecutivo por meta)],Actividades!$G34,
Tareas[No Meta proyecto],Actividades!$E34)</f>
        <v>0</v>
      </c>
      <c r="V34" s="288">
        <f>+SUMIFS(Tareas[Programación Plan de actividades
Septiembre],
Tareas[N° de Actividad
(Consecutivo por meta)],Actividades!$G34,
Tareas[No Meta proyecto],Actividades!$E34)</f>
        <v>0</v>
      </c>
      <c r="W34" s="288">
        <f>+SUMIFS(Tareas[Programación Plan de actividades
Octubre],
Tareas[N° de Actividad
(Consecutivo por meta)],Actividades!$G34,
Tareas[No Meta proyecto],Actividades!$E34)</f>
        <v>0</v>
      </c>
      <c r="X34" s="288">
        <f>+SUMIFS(Tareas[Programación Plan de actividades
Noviembre],
Tareas[N° de Actividad
(Consecutivo por meta)],Actividades!$G34,
Tareas[No Meta proyecto],Actividades!$E34)</f>
        <v>0</v>
      </c>
      <c r="Y34" s="288">
        <f>+SUMIFS(Tareas[Programación Plan de actividades
Diciembre],
Tareas[N° de Actividad
(Consecutivo por meta)],Actividades!$G34,
Tareas[No Meta proyecto],Actividades!$E34)</f>
        <v>0</v>
      </c>
      <c r="Z34" s="371">
        <f>+SUM(Actividades!$N34:$Y34)</f>
        <v>1</v>
      </c>
      <c r="AA34" s="288">
        <f>+SUMIFS(Tareas[Ejecución Plan de actividades
Enero],
Tareas[N° de Actividad
(Consecutivo por meta)],Actividades!$G34,
Tareas[No Meta proyecto],Actividades!$E34)</f>
        <v>0</v>
      </c>
      <c r="AB34" s="288">
        <f>+SUMIFS(Tareas[Ejecución Plan de actividades
Febrero],
Tareas[N° de Actividad
(Consecutivo por meta)],Actividades!$G34,
Tareas[No Meta proyecto],Actividades!$E34)</f>
        <v>0</v>
      </c>
      <c r="AC34" s="288">
        <f>+SUMIFS(Tareas[Ejecución Plan de actividades
Marzo],
Tareas[N° de Actividad
(Consecutivo por meta)],Actividades!$G34,
Tareas[No Meta proyecto],Actividades!$E34)</f>
        <v>0</v>
      </c>
      <c r="AD34" s="288">
        <f>+SUMIFS(Tareas[Ejecución Plan de actividades
Abril],
Tareas[N° de Actividad
(Consecutivo por meta)],Actividades!$G34,
Tareas[No Meta proyecto],Actividades!$E34)</f>
        <v>0</v>
      </c>
      <c r="AE34" s="288">
        <f>+SUMIFS(Tareas[Ejecución Plan de actividades
Mayo],
Tareas[N° de Actividad
(Consecutivo por meta)],Actividades!$G34,
Tareas[No Meta proyecto],Actividades!$E34)</f>
        <v>0</v>
      </c>
      <c r="AF34" s="288">
        <f>+SUMIFS(Tareas[Ejecución Plan de actividades
Junio],
Tareas[N° de Actividad
(Consecutivo por meta)],Actividades!$G34,
Tareas[No Meta proyecto],Actividades!$E34)</f>
        <v>0</v>
      </c>
      <c r="AG34" s="288">
        <f>+SUMIFS(Tareas[Ejecución Plan de actividades
Julio],
Tareas[N° de Actividad
(Consecutivo por meta)],Actividades!$G34,
Tareas[No Meta proyecto],Actividades!$E34)</f>
        <v>0</v>
      </c>
      <c r="AH34" s="288">
        <f>+SUMIFS(Tareas[Ejecución Plan de actividades
Agosto],
Tareas[N° de Actividad
(Consecutivo por meta)],Actividades!$G34,
Tareas[No Meta proyecto],Actividades!$E34)</f>
        <v>0</v>
      </c>
      <c r="AI34" s="288">
        <f>+SUMIFS(Tareas[Ejecución Plan de actividades
Septiembre],
Tareas[N° de Actividad
(Consecutivo por meta)],Actividades!$G34,
Tareas[No Meta proyecto],Actividades!$E34)</f>
        <v>0</v>
      </c>
      <c r="AJ34" s="288">
        <f>+SUMIFS(Tareas[Ejecución Plan de actividades
Octubre],
Tareas[N° de Actividad
(Consecutivo por meta)],Actividades!$G34,
Tareas[No Meta proyecto],Actividades!$E34)</f>
        <v>0</v>
      </c>
      <c r="AK34" s="288">
        <f>+SUMIFS(Tareas[Ejecución Plan de actividades
Noviembre],
Tareas[N° de Actividad
(Consecutivo por meta)],Actividades!$G34,
Tareas[No Meta proyecto],Actividades!$E34)</f>
        <v>0</v>
      </c>
      <c r="AL34" s="288">
        <f>+SUMIFS(Tareas[Ejecución Plan de actividades
Diciembre],
Tareas[N° de Actividad
(Consecutivo por meta)],Actividades!$G34,
Tareas[No Meta proyecto],Actividades!$E34)</f>
        <v>0</v>
      </c>
      <c r="AM34" s="371">
        <f>+SUM(Actividades!$AA34:$AL34)</f>
        <v>0</v>
      </c>
      <c r="AN34" s="372">
        <f>IFERROR(Actividades!$AM34/Actividades!$Z34,"No Programado")</f>
        <v>0</v>
      </c>
      <c r="AO34" s="289">
        <f>+Actividades!$N34*Actividades!$K34</f>
        <v>0</v>
      </c>
      <c r="AP34" s="289">
        <f>+Actividades!$O34*Actividades!$K34</f>
        <v>9.5999999999999992E-3</v>
      </c>
      <c r="AQ34" s="289">
        <f>+Actividades!$P34*Actividades!$K34</f>
        <v>9.5999999999999992E-3</v>
      </c>
      <c r="AR34" s="289">
        <f>+Actividades!$Q34*Actividades!$K34</f>
        <v>1.32E-2</v>
      </c>
      <c r="AS34" s="289">
        <f>+Actividades!$R34*Actividades!$K34</f>
        <v>2.7599999999999996E-2</v>
      </c>
      <c r="AT34" s="289">
        <f>+Actividades!$S34*Actividades!$K34</f>
        <v>0</v>
      </c>
      <c r="AU34" s="289">
        <f>+Actividades!$T34*Actividades!$K34</f>
        <v>0</v>
      </c>
      <c r="AV34" s="289">
        <f>+Actividades!$U34*Actividades!$K34</f>
        <v>0</v>
      </c>
      <c r="AW34" s="289">
        <f>+Actividades!$V34*Actividades!$K34</f>
        <v>0</v>
      </c>
      <c r="AX34" s="289">
        <f>+Actividades!$W34*Actividades!$K34</f>
        <v>0</v>
      </c>
      <c r="AY34" s="289">
        <f>+Actividades!$X34*Actividades!$K34</f>
        <v>0</v>
      </c>
      <c r="AZ34" s="289">
        <f>+Actividades!$Y34*Actividades!$K34</f>
        <v>0</v>
      </c>
      <c r="BA34" s="289">
        <f>Actividades!$AA34*Actividades!$K34</f>
        <v>0</v>
      </c>
      <c r="BB34" s="289">
        <f>Actividades!$AB34*Actividades!$K34</f>
        <v>0</v>
      </c>
      <c r="BC34" s="289">
        <f>Actividades!$AC34*Actividades!$K34</f>
        <v>0</v>
      </c>
      <c r="BD34" s="289">
        <f>Actividades!$AD34*Actividades!$K34</f>
        <v>0</v>
      </c>
      <c r="BE34" s="289">
        <f>Actividades!$AE34*Actividades!$K34</f>
        <v>0</v>
      </c>
      <c r="BF34" s="289">
        <f>Actividades!$AF34*Actividades!$K34</f>
        <v>0</v>
      </c>
      <c r="BG34" s="289">
        <f>Actividades!$AG34*Actividades!$K34</f>
        <v>0</v>
      </c>
      <c r="BH34" s="289">
        <f>Actividades!$AH34*Actividades!$K34</f>
        <v>0</v>
      </c>
      <c r="BI34" s="289">
        <f>Actividades!$AI34*Actividades!$K34</f>
        <v>0</v>
      </c>
      <c r="BJ34" s="289">
        <f>Actividades!$AJ34*Actividades!$K34</f>
        <v>0</v>
      </c>
      <c r="BK34" s="289">
        <f>Actividades!$AK34*Actividades!$K34</f>
        <v>0</v>
      </c>
      <c r="BL34" s="289">
        <f>Actividades!$AL34*Actividades!$K34</f>
        <v>0</v>
      </c>
    </row>
    <row r="35" spans="1:64" s="149" customFormat="1" ht="69.599999999999994" thickBot="1" x14ac:dyDescent="0.4">
      <c r="A35" s="228" t="str">
        <f>Actividades!$C35&amp;Actividades!$E35</f>
        <v>77446</v>
      </c>
      <c r="B35" s="326" t="str">
        <f>Actividades!$C35&amp;Actividades!$E35&amp;Actividades!$G35</f>
        <v>774461</v>
      </c>
      <c r="C35" s="327">
        <f>Proyecto!$B$19</f>
        <v>7744</v>
      </c>
      <c r="D35" s="327" t="str">
        <f>Proyecto!$D$19</f>
        <v>Generación de Oportunidades para el Desarrollo Integral de la Niñez y la Adolescencia de Bogotá</v>
      </c>
      <c r="E35" s="329">
        <v>6</v>
      </c>
      <c r="F35" s="327" t="str">
        <f>VLOOKUP(A35,ESTRATÉGICO!$C$3:$AA$110,14,0)</f>
        <v>Atender a 8300 niñas niños y adolescentes  víctimas y afectados por el conflicto armado en el marco del acuerdo de paz, la memoria, la convivencia y la reconciliación con enfoque diferencial y de género</v>
      </c>
      <c r="G35" s="329">
        <v>1</v>
      </c>
      <c r="H35" s="329">
        <v>18</v>
      </c>
      <c r="I35" s="327" t="str">
        <f>VLOOKUP(Actividades!$B35,'ACTIVIDADES PAA'!$A$2:$G$184,7,0)</f>
        <v>Contribuir a la construcción de la memoria, la convivencia y la reconciliación en el marco del acuerdo de paz, a través de la atención de las niñas, niños y adolescentes víctimas y afectados por el conflicto armado, desde un enfoque territo</v>
      </c>
      <c r="J35" s="318" t="s">
        <v>954</v>
      </c>
      <c r="K35" s="286">
        <v>0.06</v>
      </c>
      <c r="L35" s="287">
        <v>45352</v>
      </c>
      <c r="M35" s="287">
        <v>45443</v>
      </c>
      <c r="N35" s="288">
        <f>+SUMIFS(Tareas[Programación Plan de actividades
Enero],
Tareas[N° de Actividad
(Consecutivo por meta)],Actividades!$G35,
Tareas[No Meta proyecto],Actividades!$E35)</f>
        <v>0</v>
      </c>
      <c r="O35" s="288">
        <f>+SUMIFS(Tareas[Programación Plan de actividades
Febrero],
Tareas[N° de Actividad
(Consecutivo por meta)],Actividades!$G35,
Tareas[No Meta proyecto],Actividades!$E35)</f>
        <v>0.25</v>
      </c>
      <c r="P35" s="288">
        <f>+SUMIFS(Tareas[Programación Plan de actividades
Marzo],
Tareas[N° de Actividad
(Consecutivo por meta)],Actividades!$G35,
Tareas[No Meta proyecto],Actividades!$E35)</f>
        <v>0.25</v>
      </c>
      <c r="Q35" s="288">
        <f>+SUMIFS(Tareas[Programación Plan de actividades
Abril],
Tareas[N° de Actividad
(Consecutivo por meta)],Actividades!$G35,
Tareas[No Meta proyecto],Actividades!$E35)</f>
        <v>0.25</v>
      </c>
      <c r="R35" s="288">
        <f>+SUMIFS(Tareas[Programación Plan de actividades
Mayo],
Tareas[N° de Actividad
(Consecutivo por meta)],Actividades!$G35,
Tareas[No Meta proyecto],Actividades!$E35)</f>
        <v>0.25</v>
      </c>
      <c r="S35" s="288">
        <f>+SUMIFS(Tareas[Programación Plan de actividades
Junio],
Tareas[N° de Actividad
(Consecutivo por meta)],Actividades!$G35,
Tareas[No Meta proyecto],Actividades!$E35)</f>
        <v>0</v>
      </c>
      <c r="T35" s="288">
        <f>+SUMIFS(Tareas[Programación Plan de actividades
Julio],
Tareas[N° de Actividad
(Consecutivo por meta)],Actividades!$G35,
Tareas[No Meta proyecto],Actividades!$E35)</f>
        <v>0</v>
      </c>
      <c r="U35" s="288">
        <f>+SUMIFS(Tareas[Programación Plan de actividades
Agosto],
Tareas[N° de Actividad
(Consecutivo por meta)],Actividades!$G35,
Tareas[No Meta proyecto],Actividades!$E35)</f>
        <v>0</v>
      </c>
      <c r="V35" s="288">
        <f>+SUMIFS(Tareas[Programación Plan de actividades
Septiembre],
Tareas[N° de Actividad
(Consecutivo por meta)],Actividades!$G35,
Tareas[No Meta proyecto],Actividades!$E35)</f>
        <v>0</v>
      </c>
      <c r="W35" s="288">
        <f>+SUMIFS(Tareas[Programación Plan de actividades
Octubre],
Tareas[N° de Actividad
(Consecutivo por meta)],Actividades!$G35,
Tareas[No Meta proyecto],Actividades!$E35)</f>
        <v>0</v>
      </c>
      <c r="X35" s="288">
        <f>+SUMIFS(Tareas[Programación Plan de actividades
Noviembre],
Tareas[N° de Actividad
(Consecutivo por meta)],Actividades!$G35,
Tareas[No Meta proyecto],Actividades!$E35)</f>
        <v>0</v>
      </c>
      <c r="Y35" s="288">
        <f>+SUMIFS(Tareas[Programación Plan de actividades
Diciembre],
Tareas[N° de Actividad
(Consecutivo por meta)],Actividades!$G35,
Tareas[No Meta proyecto],Actividades!$E35)</f>
        <v>0</v>
      </c>
      <c r="Z35" s="371">
        <f>+SUM(Actividades!$N35:$Y35)</f>
        <v>1</v>
      </c>
      <c r="AA35" s="288">
        <f>+SUMIFS(Tareas[Ejecución Plan de actividades
Enero],
Tareas[N° de Actividad
(Consecutivo por meta)],Actividades!$G35,
Tareas[No Meta proyecto],Actividades!$E35)</f>
        <v>0</v>
      </c>
      <c r="AB35" s="288">
        <f>+SUMIFS(Tareas[Ejecución Plan de actividades
Febrero],
Tareas[N° de Actividad
(Consecutivo por meta)],Actividades!$G35,
Tareas[No Meta proyecto],Actividades!$E35)</f>
        <v>0</v>
      </c>
      <c r="AC35" s="288">
        <f>+SUMIFS(Tareas[Ejecución Plan de actividades
Marzo],
Tareas[N° de Actividad
(Consecutivo por meta)],Actividades!$G35,
Tareas[No Meta proyecto],Actividades!$E35)</f>
        <v>0</v>
      </c>
      <c r="AD35" s="288">
        <f>+SUMIFS(Tareas[Ejecución Plan de actividades
Abril],
Tareas[N° de Actividad
(Consecutivo por meta)],Actividades!$G35,
Tareas[No Meta proyecto],Actividades!$E35)</f>
        <v>0</v>
      </c>
      <c r="AE35" s="288">
        <f>+SUMIFS(Tareas[Ejecución Plan de actividades
Mayo],
Tareas[N° de Actividad
(Consecutivo por meta)],Actividades!$G35,
Tareas[No Meta proyecto],Actividades!$E35)</f>
        <v>0</v>
      </c>
      <c r="AF35" s="288">
        <f>+SUMIFS(Tareas[Ejecución Plan de actividades
Junio],
Tareas[N° de Actividad
(Consecutivo por meta)],Actividades!$G35,
Tareas[No Meta proyecto],Actividades!$E35)</f>
        <v>0</v>
      </c>
      <c r="AG35" s="288">
        <f>+SUMIFS(Tareas[Ejecución Plan de actividades
Julio],
Tareas[N° de Actividad
(Consecutivo por meta)],Actividades!$G35,
Tareas[No Meta proyecto],Actividades!$E35)</f>
        <v>0</v>
      </c>
      <c r="AH35" s="288">
        <f>+SUMIFS(Tareas[Ejecución Plan de actividades
Agosto],
Tareas[N° de Actividad
(Consecutivo por meta)],Actividades!$G35,
Tareas[No Meta proyecto],Actividades!$E35)</f>
        <v>0</v>
      </c>
      <c r="AI35" s="288">
        <f>+SUMIFS(Tareas[Ejecución Plan de actividades
Septiembre],
Tareas[N° de Actividad
(Consecutivo por meta)],Actividades!$G35,
Tareas[No Meta proyecto],Actividades!$E35)</f>
        <v>0</v>
      </c>
      <c r="AJ35" s="288">
        <f>+SUMIFS(Tareas[Ejecución Plan de actividades
Octubre],
Tareas[N° de Actividad
(Consecutivo por meta)],Actividades!$G35,
Tareas[No Meta proyecto],Actividades!$E35)</f>
        <v>0</v>
      </c>
      <c r="AK35" s="288">
        <f>+SUMIFS(Tareas[Ejecución Plan de actividades
Noviembre],
Tareas[N° de Actividad
(Consecutivo por meta)],Actividades!$G35,
Tareas[No Meta proyecto],Actividades!$E35)</f>
        <v>0</v>
      </c>
      <c r="AL35" s="288">
        <f>+SUMIFS(Tareas[Ejecución Plan de actividades
Diciembre],
Tareas[N° de Actividad
(Consecutivo por meta)],Actividades!$G35,
Tareas[No Meta proyecto],Actividades!$E35)</f>
        <v>0</v>
      </c>
      <c r="AM35" s="371">
        <f>+SUM(Actividades!$AA35:$AL35)</f>
        <v>0</v>
      </c>
      <c r="AN35" s="372">
        <f>IFERROR(Actividades!$AM35/Actividades!$Z35,"No Programado")</f>
        <v>0</v>
      </c>
      <c r="AO35" s="289">
        <f>+Actividades!$N35*Actividades!$K35</f>
        <v>0</v>
      </c>
      <c r="AP35" s="289">
        <f>+Actividades!$O35*Actividades!$K35</f>
        <v>1.4999999999999999E-2</v>
      </c>
      <c r="AQ35" s="289">
        <f>+Actividades!$P35*Actividades!$K35</f>
        <v>1.4999999999999999E-2</v>
      </c>
      <c r="AR35" s="289">
        <f>+Actividades!$Q35*Actividades!$K35</f>
        <v>1.4999999999999999E-2</v>
      </c>
      <c r="AS35" s="289">
        <f>+Actividades!$R35*Actividades!$K35</f>
        <v>1.4999999999999999E-2</v>
      </c>
      <c r="AT35" s="289">
        <f>+Actividades!$S35*Actividades!$K35</f>
        <v>0</v>
      </c>
      <c r="AU35" s="289">
        <f>+Actividades!$T35*Actividades!$K35</f>
        <v>0</v>
      </c>
      <c r="AV35" s="289">
        <f>+Actividades!$U35*Actividades!$K35</f>
        <v>0</v>
      </c>
      <c r="AW35" s="289">
        <f>+Actividades!$V35*Actividades!$K35</f>
        <v>0</v>
      </c>
      <c r="AX35" s="289">
        <f>+Actividades!$W35*Actividades!$K35</f>
        <v>0</v>
      </c>
      <c r="AY35" s="289">
        <f>+Actividades!$X35*Actividades!$K35</f>
        <v>0</v>
      </c>
      <c r="AZ35" s="289">
        <f>+Actividades!$Y35*Actividades!$K35</f>
        <v>0</v>
      </c>
      <c r="BA35" s="289">
        <f>Actividades!$AA35*Actividades!$K35</f>
        <v>0</v>
      </c>
      <c r="BB35" s="289">
        <f>Actividades!$AB35*Actividades!$K35</f>
        <v>0</v>
      </c>
      <c r="BC35" s="289">
        <f>Actividades!$AC35*Actividades!$K35</f>
        <v>0</v>
      </c>
      <c r="BD35" s="289">
        <f>Actividades!$AD35*Actividades!$K35</f>
        <v>0</v>
      </c>
      <c r="BE35" s="289">
        <f>Actividades!$AE35*Actividades!$K35</f>
        <v>0</v>
      </c>
      <c r="BF35" s="289">
        <f>Actividades!$AF35*Actividades!$K35</f>
        <v>0</v>
      </c>
      <c r="BG35" s="289">
        <f>Actividades!$AG35*Actividades!$K35</f>
        <v>0</v>
      </c>
      <c r="BH35" s="289">
        <f>Actividades!$AH35*Actividades!$K35</f>
        <v>0</v>
      </c>
      <c r="BI35" s="289">
        <f>Actividades!$AI35*Actividades!$K35</f>
        <v>0</v>
      </c>
      <c r="BJ35" s="289">
        <f>Actividades!$AJ35*Actividades!$K35</f>
        <v>0</v>
      </c>
      <c r="BK35" s="289">
        <f>Actividades!$AK35*Actividades!$K35</f>
        <v>0</v>
      </c>
      <c r="BL35" s="289">
        <f>Actividades!$AL35*Actividades!$K35</f>
        <v>0</v>
      </c>
    </row>
    <row r="36" spans="1:64" s="153" customFormat="1" ht="14.4" thickTop="1" x14ac:dyDescent="0.3">
      <c r="A36" s="152" t="e">
        <f>Actividades!$B18:$AN35&amp;Actividades!$B18:$AN35</f>
        <v>#VALUE!</v>
      </c>
      <c r="B36" s="208" t="s">
        <v>845</v>
      </c>
      <c r="C36" s="209"/>
      <c r="D36" s="209"/>
      <c r="E36" s="210"/>
      <c r="F36" s="209"/>
      <c r="G36" s="210">
        <f>SUBTOTAL(104,Actividades!$G$18:$G$35)</f>
        <v>8</v>
      </c>
      <c r="H36" s="210"/>
      <c r="I36" s="209"/>
      <c r="J36" s="210"/>
      <c r="K36" s="211">
        <f>SUBTOTAL(109,Actividades!$K$18:$K$35)</f>
        <v>1.0000000000000004</v>
      </c>
      <c r="L36" s="217">
        <f>SUBTOTAL(105,Actividades!$L$18:$L$35)</f>
        <v>45323</v>
      </c>
      <c r="M36" s="217">
        <f>SUBTOTAL(104,Actividades!$M$18:$M$35)</f>
        <v>45443</v>
      </c>
      <c r="N36" s="218">
        <f>SUBTOTAL(109,Actividades!$N$18:$N$35)</f>
        <v>0</v>
      </c>
      <c r="O36" s="218">
        <f>SUBTOTAL(109,Actividades!$O$18:$O$35)</f>
        <v>2.3650000000000002</v>
      </c>
      <c r="P36" s="218">
        <f>SUBTOTAL(109,Actividades!$P$18:$P$35)</f>
        <v>5.25</v>
      </c>
      <c r="Q36" s="218">
        <f>SUBTOTAL(109,Actividades!$Q$18:$Q$35)</f>
        <v>3.105</v>
      </c>
      <c r="R36" s="218">
        <f>SUBTOTAL(109,Actividades!$R$18:$R$35)</f>
        <v>7.2799999999999985</v>
      </c>
      <c r="S36" s="218">
        <f>SUBTOTAL(109,Actividades!$R$18:$R$35)</f>
        <v>7.2799999999999985</v>
      </c>
      <c r="T36" s="218">
        <f>SUBTOTAL(109,Actividades!$R$18:$R$35)</f>
        <v>7.2799999999999985</v>
      </c>
      <c r="U36" s="218">
        <f>SUBTOTAL(109,Actividades!$R$18:$R$35)</f>
        <v>7.2799999999999985</v>
      </c>
      <c r="V36" s="218">
        <f>SUBTOTAL(109,Actividades!$R$18:$R$35)</f>
        <v>7.2799999999999985</v>
      </c>
      <c r="W36" s="218">
        <f>SUBTOTAL(109,Actividades!$R$18:$R$35)</f>
        <v>7.2799999999999985</v>
      </c>
      <c r="X36" s="218">
        <f>SUBTOTAL(109,Actividades!$R$18:$R$35)</f>
        <v>7.2799999999999985</v>
      </c>
      <c r="Y36" s="218">
        <f>SUBTOTAL(109,Actividades!$R$18:$R$35)</f>
        <v>7.2799999999999985</v>
      </c>
      <c r="Z36" s="218">
        <f>SUBTOTAL(109,Actividades!$R$18:$R$35)</f>
        <v>7.2799999999999985</v>
      </c>
      <c r="AA36" s="219">
        <f>SUBTOTAL(109,Actividades!$N$18:$N$35)</f>
        <v>0</v>
      </c>
      <c r="AB36" s="219">
        <f>SUBTOTAL(109,Actividades!$N$18:$N$35)</f>
        <v>0</v>
      </c>
      <c r="AC36" s="219">
        <f>SUBTOTAL(109,Actividades!$N$18:$N$35)</f>
        <v>0</v>
      </c>
      <c r="AD36" s="219">
        <f>SUBTOTAL(109,Actividades!$N$18:$N$35)</f>
        <v>0</v>
      </c>
      <c r="AE36" s="219">
        <f>SUBTOTAL(109,Actividades!$N$18:$N$35)</f>
        <v>0</v>
      </c>
      <c r="AF36" s="219">
        <f>SUBTOTAL(109,Actividades!$N$18:$N$35)</f>
        <v>0</v>
      </c>
      <c r="AG36" s="219">
        <f>SUBTOTAL(109,Actividades!$N$18:$N$35)</f>
        <v>0</v>
      </c>
      <c r="AH36" s="219">
        <f>SUBTOTAL(109,Actividades!$N$18:$N$35)</f>
        <v>0</v>
      </c>
      <c r="AI36" s="219">
        <f>SUBTOTAL(109,Actividades!$N$18:$N$35)</f>
        <v>0</v>
      </c>
      <c r="AJ36" s="219">
        <f>SUBTOTAL(109,Actividades!$N$18:$N$35)</f>
        <v>0</v>
      </c>
      <c r="AK36" s="219">
        <f>SUBTOTAL(109,Actividades!$N$18:$N$35)</f>
        <v>0</v>
      </c>
      <c r="AL36" s="219">
        <f>SUBTOTAL(109,Actividades!$N$18:$N$35)</f>
        <v>0</v>
      </c>
      <c r="AM36" s="219">
        <f>SUBTOTAL(109,Actividades!$N$18:$N$35)</f>
        <v>0</v>
      </c>
      <c r="AN36" s="219">
        <f>SUBTOTAL(109,Actividades!$N$18:$N$35)</f>
        <v>0</v>
      </c>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x14ac:dyDescent="0.3">
      <c r="A37" s="49"/>
      <c r="B37" s="49"/>
      <c r="C37" s="49"/>
      <c r="D37" s="49"/>
      <c r="E37" s="49"/>
      <c r="F37" s="49"/>
      <c r="G37" s="49"/>
      <c r="H37" s="49"/>
      <c r="I37" s="49"/>
      <c r="J37" s="49"/>
      <c r="K37" s="49"/>
      <c r="L37" s="49"/>
      <c r="M37" s="49"/>
      <c r="N37" s="49"/>
      <c r="O37" s="49"/>
      <c r="P37" s="49"/>
      <c r="Q37" s="49"/>
      <c r="R37" s="49" t="s">
        <v>955</v>
      </c>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row>
    <row r="38" spans="1:64" x14ac:dyDescent="0.3">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f>0.3*AM28</f>
        <v>0</v>
      </c>
      <c r="AN38" s="145"/>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row>
    <row r="39" spans="1:64" x14ac:dyDescent="0.3">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row>
    <row r="40" spans="1:64" x14ac:dyDescent="0.3">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row>
    <row r="41" spans="1:64" x14ac:dyDescent="0.3">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row>
    <row r="42" spans="1:64" x14ac:dyDescent="0.3">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157"/>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row>
    <row r="43" spans="1:64" x14ac:dyDescent="0.3">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row>
    <row r="45" spans="1:64" x14ac:dyDescent="0.3">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row>
    <row r="47" spans="1:64" x14ac:dyDescent="0.3">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124"/>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row>
  </sheetData>
  <sheetProtection algorithmName="SHA-512" hashValue="sjNAdr8yGRD7pvjxvAaeCD++dgEOjJMse0QesR5TFgTBoouZM8b+ETmelvAfsRxohpfZdqlVAucmfXECjmCOjw==" saltValue="GQ6bu2Rp3XErYdTaiykkZQ==" spinCount="100000" sheet="1" formatCells="0" formatColumns="0" formatRows="0" insertRows="0" sort="0" autoFilter="0" pivotTables="0"/>
  <autoFilter ref="A17:AN38" xr:uid="{00000000-0009-0000-0000-00000B000000}"/>
  <mergeCells count="11">
    <mergeCell ref="AO16:AZ16"/>
    <mergeCell ref="BA16:BL16"/>
    <mergeCell ref="B2:B5"/>
    <mergeCell ref="N16:Z16"/>
    <mergeCell ref="AA16:AM16"/>
    <mergeCell ref="A13:AN13"/>
    <mergeCell ref="G2:H2"/>
    <mergeCell ref="G3:H3"/>
    <mergeCell ref="G4:H4"/>
    <mergeCell ref="G5:H5"/>
    <mergeCell ref="C2:F5"/>
  </mergeCells>
  <phoneticPr fontId="14" type="noConversion"/>
  <dataValidations xWindow="615" yWindow="364" count="9">
    <dataValidation type="date" errorStyle="warning" allowBlank="1" showInputMessage="1" showErrorMessage="1" prompt="Relacione la fecha de inicio y la fecha de finalización de la actividad para la presente vigencia. Formato fecha dd/mm/aaaa" sqref="M18:M35" xr:uid="{00000000-0002-0000-0B00-000000000000}">
      <formula1>43982</formula1>
      <formula2>45443</formula2>
    </dataValidation>
    <dataValidation type="date" errorStyle="warning" allowBlank="1" showInputMessage="1" showErrorMessage="1" prompt="Relacione la fecha de inicio y la fecha de finalización de la actividad para la presente vigencia. Formato fecha dd/mm/aaaa." sqref="L18:L35" xr:uid="{00000000-0002-0000-0B00-000001000000}">
      <formula1>43982</formula1>
      <formula2>45443</formula2>
    </dataValidation>
    <dataValidation allowBlank="1" showInputMessage="1" showErrorMessage="1" prompt="Estas actividades corresponden a las registradas y costeadas en la última versión del plan anual de adquisiciones 2024, en caso de necesitar ajuste se debe tambien ajustar en SEVEN." sqref="I17" xr:uid="{00000000-0002-0000-0B00-000002000000}"/>
    <dataValidation type="decimal" errorStyle="warning" allowBlank="1" showInputMessage="1" showErrorMessage="1" error="Debe ingresar un valor entre 0 y 100%" prompt="Relacione la ponderación de la actividad. Recuerde que la suma de las ponderaciones no debe exceder el 100%" sqref="K18:K35" xr:uid="{00000000-0002-0000-0B00-000003000000}">
      <formula1>0</formula1>
      <formula2>1</formula2>
    </dataValidation>
    <dataValidation errorStyle="warning" allowBlank="1" showInputMessage="1" showErrorMessage="1" prompt="Relacione la descripción de la meta del proyecto de inversión." sqref="F18:F35" xr:uid="{00000000-0002-0000-0B00-000004000000}"/>
    <dataValidation type="whole" errorStyle="warning" allowBlank="1" showInputMessage="1" showErrorMessage="1" sqref="G18:H35" xr:uid="{00000000-0002-0000-0B00-000005000000}">
      <formula1>1</formula1>
      <formula2>60</formula2>
    </dataValidation>
    <dataValidation errorStyle="warning" allowBlank="1" showInputMessage="1" showErrorMessage="1" prompt="Relacione las actividades que darán cumplimiento a las metas del proyecto de inversión." sqref="I18:I35" xr:uid="{00000000-0002-0000-0B00-000006000000}"/>
    <dataValidation errorStyle="warning" allowBlank="1" showInputMessage="1" showErrorMessage="1" prompt="Relacione el responsable de la ejecución de la actividad." sqref="J18:J35" xr:uid="{00000000-0002-0000-0B00-000007000000}"/>
    <dataValidation type="list" errorStyle="warning" allowBlank="1" showInputMessage="1" showErrorMessage="1" prompt="Relacione el número de la meta del proyecto de inversión." sqref="E18:E35" xr:uid="{00000000-0002-0000-0B00-000008000000}">
      <formula1>codmet</formula1>
    </dataValidation>
  </dataValidation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tabColor theme="2"/>
  </sheetPr>
  <dimension ref="A2:BS74"/>
  <sheetViews>
    <sheetView showGridLines="0" topLeftCell="M47" zoomScale="80" zoomScaleNormal="80" workbookViewId="0">
      <selection activeCell="AP50" sqref="AP50:AP54"/>
    </sheetView>
  </sheetViews>
  <sheetFormatPr baseColWidth="10" defaultColWidth="11.54296875" defaultRowHeight="15" customHeight="1" x14ac:dyDescent="0.3"/>
  <cols>
    <col min="1" max="2" width="8.81640625" style="7" customWidth="1"/>
    <col min="3" max="3" width="8.90625" style="7" customWidth="1"/>
    <col min="4" max="4" width="9.54296875" style="7" customWidth="1"/>
    <col min="5" max="5" width="17.90625" style="7" customWidth="1"/>
    <col min="6" max="6" width="9.81640625" style="7" customWidth="1"/>
    <col min="7" max="7" width="23.1796875" style="7" customWidth="1"/>
    <col min="8" max="8" width="15" style="9" customWidth="1"/>
    <col min="9" max="9" width="22.1796875" style="9" customWidth="1"/>
    <col min="10" max="10" width="7.81640625" style="7" customWidth="1"/>
    <col min="11" max="11" width="20.1796875" style="149" customWidth="1"/>
    <col min="12" max="12" width="26.08984375" style="7" customWidth="1"/>
    <col min="13" max="15" width="12" style="7" customWidth="1"/>
    <col min="16" max="20" width="10.81640625" style="7" customWidth="1"/>
    <col min="21" max="21" width="10.1796875" style="7" customWidth="1"/>
    <col min="22" max="27" width="10.1796875" style="7" hidden="1" customWidth="1"/>
    <col min="28" max="28" width="10.81640625" style="7" hidden="1" customWidth="1"/>
    <col min="29" max="34" width="10.81640625" style="7" customWidth="1"/>
    <col min="35" max="35" width="11.6328125" style="7" hidden="1" customWidth="1"/>
    <col min="36" max="36" width="8.453125" style="7" hidden="1" customWidth="1"/>
    <col min="37" max="37" width="8.08984375" style="7" hidden="1" customWidth="1"/>
    <col min="38" max="38" width="7.6328125" style="7" hidden="1" customWidth="1"/>
    <col min="39" max="39" width="8.6328125" style="7" hidden="1" customWidth="1"/>
    <col min="40" max="40" width="11.453125" style="7" hidden="1" customWidth="1"/>
    <col min="41" max="41" width="13" style="7" hidden="1" customWidth="1"/>
    <col min="42" max="44" width="10.81640625" style="7" customWidth="1"/>
    <col min="45" max="45" width="9.1796875" style="7" customWidth="1"/>
    <col min="46" max="46" width="12.81640625" style="7" customWidth="1"/>
    <col min="47" max="47" width="9.54296875" style="7" customWidth="1"/>
    <col min="48" max="54" width="18.1796875" style="7" hidden="1" customWidth="1"/>
    <col min="55" max="55" width="14.1796875" style="7" customWidth="1"/>
    <col min="56" max="56" width="9" style="7" customWidth="1"/>
    <col min="57" max="57" width="9.1796875" style="7" customWidth="1"/>
    <col min="58" max="58" width="9.08984375" style="7" customWidth="1"/>
    <col min="59" max="59" width="7.36328125" style="7" customWidth="1"/>
    <col min="60" max="60" width="6.90625" style="7" customWidth="1"/>
    <col min="61" max="63" width="10.81640625" style="7" hidden="1" customWidth="1"/>
    <col min="64" max="64" width="8" style="7" hidden="1" customWidth="1"/>
    <col min="65" max="67" width="10.81640625" style="7" hidden="1" customWidth="1"/>
    <col min="68" max="68" width="10.81640625" style="7" customWidth="1"/>
    <col min="69" max="70" width="11.54296875" style="7"/>
    <col min="71" max="71" width="24.36328125" style="7" customWidth="1"/>
    <col min="72" max="16384" width="11.54296875" style="7"/>
  </cols>
  <sheetData>
    <row r="2" spans="1:70" s="39" customFormat="1" ht="15" customHeight="1" x14ac:dyDescent="0.35">
      <c r="C2" s="406"/>
      <c r="D2" s="406"/>
      <c r="E2" s="407" t="s">
        <v>683</v>
      </c>
      <c r="F2" s="407"/>
      <c r="G2" s="510" t="s">
        <v>684</v>
      </c>
      <c r="H2" s="510"/>
      <c r="I2" s="90"/>
      <c r="J2"/>
      <c r="K2" s="147"/>
      <c r="L2"/>
      <c r="M2"/>
      <c r="N2"/>
      <c r="O2"/>
    </row>
    <row r="3" spans="1:70" s="39" customFormat="1" ht="15" customHeight="1" x14ac:dyDescent="0.35">
      <c r="C3" s="406"/>
      <c r="D3" s="406"/>
      <c r="E3" s="407"/>
      <c r="F3" s="407"/>
      <c r="G3" s="510" t="s">
        <v>685</v>
      </c>
      <c r="H3" s="510"/>
      <c r="I3" s="90"/>
      <c r="J3"/>
      <c r="K3" s="147"/>
      <c r="L3"/>
      <c r="M3"/>
      <c r="N3"/>
      <c r="O3"/>
    </row>
    <row r="4" spans="1:70" s="39" customFormat="1" ht="15" customHeight="1" x14ac:dyDescent="0.35">
      <c r="C4" s="406"/>
      <c r="D4" s="406"/>
      <c r="E4" s="407"/>
      <c r="F4" s="407"/>
      <c r="G4" s="511" t="s">
        <v>686</v>
      </c>
      <c r="H4" s="511"/>
      <c r="I4" s="90"/>
      <c r="J4"/>
      <c r="K4" s="147"/>
      <c r="L4"/>
      <c r="M4"/>
      <c r="N4"/>
      <c r="O4"/>
    </row>
    <row r="5" spans="1:70" s="39" customFormat="1" ht="15" customHeight="1" x14ac:dyDescent="0.35">
      <c r="C5" s="406"/>
      <c r="D5" s="406"/>
      <c r="E5" s="407"/>
      <c r="F5" s="407"/>
      <c r="G5" s="510" t="s">
        <v>956</v>
      </c>
      <c r="H5" s="510"/>
      <c r="I5" s="90"/>
      <c r="J5"/>
      <c r="K5" s="147"/>
      <c r="L5"/>
      <c r="M5"/>
      <c r="N5"/>
      <c r="O5"/>
    </row>
    <row r="12" spans="1:70" ht="15" customHeight="1" thickBot="1" x14ac:dyDescent="0.35">
      <c r="A12" s="49"/>
      <c r="B12" s="49"/>
      <c r="C12" s="49"/>
      <c r="D12" s="49"/>
      <c r="E12" s="49"/>
      <c r="F12" s="49"/>
      <c r="G12" s="49"/>
      <c r="H12" s="113"/>
      <c r="I12" s="113"/>
      <c r="J12" s="49"/>
      <c r="K12" s="148"/>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row>
    <row r="13" spans="1:70" s="14" customFormat="1" ht="27" customHeight="1" thickBot="1" x14ac:dyDescent="0.5">
      <c r="A13" s="527" t="s">
        <v>957</v>
      </c>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8"/>
      <c r="AY13" s="528"/>
      <c r="AZ13" s="528"/>
      <c r="BA13" s="528"/>
      <c r="BB13" s="528"/>
      <c r="BC13" s="528"/>
      <c r="BD13" s="528"/>
      <c r="BE13" s="528"/>
      <c r="BF13" s="528"/>
      <c r="BG13" s="528"/>
      <c r="BH13" s="528"/>
      <c r="BI13" s="528"/>
      <c r="BJ13" s="528"/>
      <c r="BK13" s="528"/>
      <c r="BL13" s="528"/>
      <c r="BM13" s="528"/>
      <c r="BN13" s="528"/>
      <c r="BO13" s="528"/>
      <c r="BP13" s="528"/>
      <c r="BQ13" s="528"/>
      <c r="BR13" s="532"/>
    </row>
    <row r="15" spans="1:70" ht="15" customHeight="1" x14ac:dyDescent="0.3">
      <c r="A15" s="49"/>
      <c r="B15" s="49"/>
      <c r="C15" s="49"/>
      <c r="D15" s="49"/>
      <c r="E15" s="49"/>
      <c r="F15" s="49"/>
      <c r="G15" s="49"/>
      <c r="H15" s="113"/>
      <c r="I15" s="113"/>
      <c r="J15" s="49"/>
      <c r="K15" s="148"/>
      <c r="L15" s="245"/>
      <c r="M15" s="245"/>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row>
    <row r="16" spans="1:70" ht="15" customHeight="1" x14ac:dyDescent="0.35">
      <c r="A16" s="49"/>
      <c r="B16" s="49"/>
      <c r="C16" s="49"/>
      <c r="D16" s="49"/>
      <c r="E16" s="49"/>
      <c r="F16" s="49"/>
      <c r="G16" s="49"/>
      <c r="H16" s="113"/>
      <c r="I16" s="113"/>
      <c r="J16" s="49"/>
      <c r="K16" s="148"/>
      <c r="L16" s="49"/>
      <c r="M16" s="245"/>
      <c r="N16" s="49"/>
      <c r="O16" s="49"/>
      <c r="P16" s="535" t="s">
        <v>958</v>
      </c>
      <c r="Q16" s="535"/>
      <c r="R16" s="535"/>
      <c r="S16" s="535"/>
      <c r="T16" s="535"/>
      <c r="U16" s="535"/>
      <c r="V16" s="535"/>
      <c r="W16" s="535"/>
      <c r="X16" s="535"/>
      <c r="Y16" s="535"/>
      <c r="Z16" s="535"/>
      <c r="AA16" s="535"/>
      <c r="AB16" s="535"/>
      <c r="AC16" s="536"/>
      <c r="AD16" s="529" t="s">
        <v>959</v>
      </c>
      <c r="AE16" s="529"/>
      <c r="AF16" s="529"/>
      <c r="AG16" s="529"/>
      <c r="AH16" s="529"/>
      <c r="AI16" s="529"/>
      <c r="AJ16" s="529"/>
      <c r="AK16" s="529"/>
      <c r="AL16" s="529"/>
      <c r="AM16" s="529"/>
      <c r="AN16" s="529"/>
      <c r="AO16" s="529"/>
      <c r="AP16" s="529"/>
      <c r="AQ16" s="534" t="s">
        <v>960</v>
      </c>
      <c r="AR16" s="534"/>
      <c r="AS16" s="534"/>
      <c r="AT16" s="534"/>
      <c r="AU16" s="534"/>
      <c r="AV16" s="534"/>
      <c r="AW16" s="534"/>
      <c r="AX16" s="534"/>
      <c r="AY16" s="534"/>
      <c r="AZ16" s="534"/>
      <c r="BA16" s="534"/>
      <c r="BB16" s="534"/>
      <c r="BC16" s="534"/>
      <c r="BD16" s="533" t="s">
        <v>961</v>
      </c>
      <c r="BE16" s="533"/>
      <c r="BF16" s="533"/>
      <c r="BG16" s="533"/>
      <c r="BH16" s="533"/>
      <c r="BI16" s="533"/>
      <c r="BJ16" s="533"/>
      <c r="BK16" s="533"/>
      <c r="BL16" s="533"/>
      <c r="BM16" s="533"/>
      <c r="BN16" s="533"/>
      <c r="BO16" s="533"/>
      <c r="BP16" s="533"/>
      <c r="BQ16" s="49"/>
      <c r="BR16" s="49"/>
    </row>
    <row r="17" spans="1:71" ht="64.95" customHeight="1" x14ac:dyDescent="0.3">
      <c r="A17" s="53" t="s">
        <v>3</v>
      </c>
      <c r="B17" s="53" t="s">
        <v>726</v>
      </c>
      <c r="C17" s="10" t="s">
        <v>962</v>
      </c>
      <c r="D17" s="10" t="s">
        <v>788</v>
      </c>
      <c r="E17" s="10" t="s">
        <v>21</v>
      </c>
      <c r="F17" s="10" t="s">
        <v>30</v>
      </c>
      <c r="G17" s="10" t="s">
        <v>31</v>
      </c>
      <c r="H17" s="10" t="s">
        <v>963</v>
      </c>
      <c r="I17" s="10" t="s">
        <v>906</v>
      </c>
      <c r="J17" s="10" t="s">
        <v>964</v>
      </c>
      <c r="K17" s="10" t="s">
        <v>965</v>
      </c>
      <c r="L17" s="10" t="s">
        <v>966</v>
      </c>
      <c r="M17" s="10" t="s">
        <v>967</v>
      </c>
      <c r="N17" s="10" t="s">
        <v>968</v>
      </c>
      <c r="O17" s="10" t="s">
        <v>969</v>
      </c>
      <c r="P17" s="10" t="s">
        <v>970</v>
      </c>
      <c r="Q17" s="10" t="s">
        <v>814</v>
      </c>
      <c r="R17" s="10" t="s">
        <v>815</v>
      </c>
      <c r="S17" s="10" t="s">
        <v>816</v>
      </c>
      <c r="T17" s="10" t="s">
        <v>817</v>
      </c>
      <c r="U17" s="10" t="s">
        <v>818</v>
      </c>
      <c r="V17" s="10" t="s">
        <v>819</v>
      </c>
      <c r="W17" s="10" t="s">
        <v>820</v>
      </c>
      <c r="X17" s="10" t="s">
        <v>821</v>
      </c>
      <c r="Y17" s="10" t="s">
        <v>822</v>
      </c>
      <c r="Z17" s="10" t="s">
        <v>823</v>
      </c>
      <c r="AA17" s="10" t="s">
        <v>824</v>
      </c>
      <c r="AB17" s="10" t="s">
        <v>825</v>
      </c>
      <c r="AC17" s="10" t="s">
        <v>911</v>
      </c>
      <c r="AD17" s="10" t="s">
        <v>971</v>
      </c>
      <c r="AE17" s="10" t="s">
        <v>972</v>
      </c>
      <c r="AF17" s="10" t="s">
        <v>973</v>
      </c>
      <c r="AG17" s="10" t="s">
        <v>974</v>
      </c>
      <c r="AH17" s="10" t="s">
        <v>975</v>
      </c>
      <c r="AI17" s="10" t="s">
        <v>976</v>
      </c>
      <c r="AJ17" s="10" t="s">
        <v>977</v>
      </c>
      <c r="AK17" s="10" t="s">
        <v>978</v>
      </c>
      <c r="AL17" s="10" t="s">
        <v>979</v>
      </c>
      <c r="AM17" s="10" t="s">
        <v>980</v>
      </c>
      <c r="AN17" s="10" t="s">
        <v>981</v>
      </c>
      <c r="AO17" s="10" t="s">
        <v>982</v>
      </c>
      <c r="AP17" s="10" t="s">
        <v>983</v>
      </c>
      <c r="AQ17" s="10" t="s">
        <v>827</v>
      </c>
      <c r="AR17" s="10" t="s">
        <v>828</v>
      </c>
      <c r="AS17" s="10" t="s">
        <v>829</v>
      </c>
      <c r="AT17" s="10" t="s">
        <v>830</v>
      </c>
      <c r="AU17" s="10" t="s">
        <v>831</v>
      </c>
      <c r="AV17" s="10" t="s">
        <v>832</v>
      </c>
      <c r="AW17" s="10" t="s">
        <v>833</v>
      </c>
      <c r="AX17" s="10" t="s">
        <v>834</v>
      </c>
      <c r="AY17" s="10" t="s">
        <v>835</v>
      </c>
      <c r="AZ17" s="10" t="s">
        <v>836</v>
      </c>
      <c r="BA17" s="10" t="s">
        <v>837</v>
      </c>
      <c r="BB17" s="10" t="s">
        <v>838</v>
      </c>
      <c r="BC17" s="10" t="s">
        <v>912</v>
      </c>
      <c r="BD17" s="10" t="s">
        <v>984</v>
      </c>
      <c r="BE17" s="10" t="s">
        <v>985</v>
      </c>
      <c r="BF17" s="10" t="s">
        <v>986</v>
      </c>
      <c r="BG17" s="10" t="s">
        <v>987</v>
      </c>
      <c r="BH17" s="10" t="s">
        <v>988</v>
      </c>
      <c r="BI17" s="10" t="s">
        <v>989</v>
      </c>
      <c r="BJ17" s="10" t="s">
        <v>990</v>
      </c>
      <c r="BK17" s="10" t="s">
        <v>991</v>
      </c>
      <c r="BL17" s="10" t="s">
        <v>992</v>
      </c>
      <c r="BM17" s="10" t="s">
        <v>993</v>
      </c>
      <c r="BN17" s="10" t="s">
        <v>994</v>
      </c>
      <c r="BO17" s="10" t="s">
        <v>995</v>
      </c>
      <c r="BP17" s="10" t="s">
        <v>996</v>
      </c>
      <c r="BQ17" s="15" t="s">
        <v>997</v>
      </c>
      <c r="BR17" s="15" t="s">
        <v>998</v>
      </c>
      <c r="BS17" s="10" t="s">
        <v>742</v>
      </c>
    </row>
    <row r="18" spans="1:71" s="149" customFormat="1" ht="165.6" x14ac:dyDescent="0.35">
      <c r="A18" s="228" t="str">
        <f>Tareas[[#This Row],[Código proyecto]]&amp;Tareas[[#This Row],[No Meta proyecto]]</f>
        <v>77441</v>
      </c>
      <c r="B18" s="228" t="str">
        <f>Tareas[[#This Row],[Código proyecto]]&amp;Tareas[[#This Row],[No Meta proyecto]]&amp;Tareas[[#This Row],[N° de Actividad
(Consecutivo por meta)]]</f>
        <v>774411</v>
      </c>
      <c r="C18" s="11" t="str">
        <f>Tareas[[#This Row],[Código proyecto]]&amp;Tareas[[#This Row],[No Meta proyecto]]&amp;Tareas[[#This Row],[N° de Actividad
(Consecutivo por meta)]]&amp;Tareas[[#This Row],[N° de tarea]]</f>
        <v>7744111</v>
      </c>
      <c r="D18" s="11">
        <f>Proyecto!$B$19</f>
        <v>7744</v>
      </c>
      <c r="E18" s="11" t="str">
        <f>Proyecto!$D$19</f>
        <v>Generación de Oportunidades para el Desarrollo Integral de la Niñez y la Adolescencia de Bogotá</v>
      </c>
      <c r="F18" s="374">
        <v>1</v>
      </c>
      <c r="G18" s="11" t="str">
        <f>VLOOKUP(A18,ESTRATÉGICO!$C$3:$AA$110,14,0)</f>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v>
      </c>
      <c r="H18" s="374">
        <v>1</v>
      </c>
      <c r="I18" s="11" t="str">
        <f>VLOOKUP(B18,Actividades!$B$18:$I$35,8,0)</f>
        <v>Liderar la actualización, movilización, implementación y seguimiento de la Política Pública de Infancia y Adolescencia de Bogotá (2021-2032), con las voces de las niñas, niños y adolescentes, en articulación con las familias, actores públic</v>
      </c>
      <c r="J18" s="374">
        <v>1</v>
      </c>
      <c r="K18" s="373" t="s">
        <v>999</v>
      </c>
      <c r="L18" s="290" t="s">
        <v>1000</v>
      </c>
      <c r="M18" s="291">
        <v>45306</v>
      </c>
      <c r="N18" s="291">
        <v>45443</v>
      </c>
      <c r="O18" s="280" t="s">
        <v>844</v>
      </c>
      <c r="P18" s="304">
        <v>0.3</v>
      </c>
      <c r="Q18"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18"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S18"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0.15</v>
      </c>
      <c r="T18"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U18"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0.15</v>
      </c>
      <c r="V18"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18"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18"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18"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18"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18"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18"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18" s="285">
        <f>+SUM(Tareas[[#This Row],[Programación Plan de actividades
Enero]:[Programación Plan de actividades
Diciembre]])</f>
        <v>0.3</v>
      </c>
      <c r="AD18" s="253"/>
      <c r="AE18" s="253"/>
      <c r="AF18" s="253"/>
      <c r="AG18" s="253"/>
      <c r="AH18" s="253"/>
      <c r="AI18" s="292"/>
      <c r="AJ18" s="292"/>
      <c r="AK18" s="292"/>
      <c r="AL18" s="292"/>
      <c r="AM18" s="292"/>
      <c r="AN18" s="292"/>
      <c r="AO18" s="292"/>
      <c r="AP18" s="375">
        <f>SUM(Tareas[[#This Row],[Población programada enero]:[Población programada diciembre]])</f>
        <v>0</v>
      </c>
      <c r="AQ18"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18"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18"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18"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18"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18"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18"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18"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18"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18"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18"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18"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18" s="285">
        <f>+SUM(Tareas[[#This Row],[Ejecución Plan de actividades
Enero]:[Ejecución Plan de actividades
Diciembre]])</f>
        <v>0</v>
      </c>
      <c r="BD18" s="269"/>
      <c r="BE18" s="269"/>
      <c r="BF18" s="269"/>
      <c r="BG18" s="269"/>
      <c r="BH18" s="269"/>
      <c r="BI18" s="269"/>
      <c r="BJ18" s="269"/>
      <c r="BK18" s="269"/>
      <c r="BL18" s="269"/>
      <c r="BM18" s="269"/>
      <c r="BN18" s="269"/>
      <c r="BO18" s="269"/>
      <c r="BP18" s="271">
        <f>SUM(Tareas[[#This Row],[Población atendida enero]:[Población atendida diciembre]])</f>
        <v>0</v>
      </c>
      <c r="BQ18" s="294">
        <f>IFERROR(Tareas[[#This Row],[Total Ejecutado plan de actividades]]/Tareas[[#This Row],[Total programado plan de actividades]],"No Programado")</f>
        <v>0</v>
      </c>
      <c r="BR18" s="294" t="str">
        <f>IFERROR(Tareas[[#This Row],[Total  de Población atendida]]/Tareas[[#This Row],[Total  de Población programada]],"No Aplica")</f>
        <v>No Aplica</v>
      </c>
      <c r="BS18" s="295"/>
    </row>
    <row r="19" spans="1:71" s="149" customFormat="1" ht="165.6" x14ac:dyDescent="0.35">
      <c r="A19" s="228" t="str">
        <f>Tareas[[#This Row],[Código proyecto]]&amp;Tareas[[#This Row],[No Meta proyecto]]</f>
        <v>77441</v>
      </c>
      <c r="B19" s="228" t="str">
        <f>Tareas[[#This Row],[Código proyecto]]&amp;Tareas[[#This Row],[No Meta proyecto]]&amp;Tareas[[#This Row],[N° de Actividad
(Consecutivo por meta)]]</f>
        <v>774411</v>
      </c>
      <c r="C19" s="11" t="str">
        <f>Tareas[[#This Row],[Código proyecto]]&amp;Tareas[[#This Row],[No Meta proyecto]]&amp;Tareas[[#This Row],[N° de Actividad
(Consecutivo por meta)]]&amp;Tareas[[#This Row],[N° de tarea]]</f>
        <v>7744112</v>
      </c>
      <c r="D19" s="11">
        <f>Proyecto!$B$19</f>
        <v>7744</v>
      </c>
      <c r="E19" s="11" t="str">
        <f>Proyecto!$D$19</f>
        <v>Generación de Oportunidades para el Desarrollo Integral de la Niñez y la Adolescencia de Bogotá</v>
      </c>
      <c r="F19" s="374">
        <v>1</v>
      </c>
      <c r="G19" s="11" t="str">
        <f>VLOOKUP(A19,ESTRATÉGICO!$C$3:$AA$110,14,0)</f>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v>
      </c>
      <c r="H19" s="374">
        <v>1</v>
      </c>
      <c r="I19" s="11" t="str">
        <f>VLOOKUP(B19,Actividades!$B$18:$I$35,8,0)</f>
        <v>Liderar la actualización, movilización, implementación y seguimiento de la Política Pública de Infancia y Adolescencia de Bogotá (2021-2032), con las voces de las niñas, niños y adolescentes, en articulación con las familias, actores públic</v>
      </c>
      <c r="J19" s="374">
        <v>2</v>
      </c>
      <c r="K19" s="373" t="s">
        <v>1001</v>
      </c>
      <c r="L19" s="290" t="s">
        <v>1000</v>
      </c>
      <c r="M19" s="291">
        <v>45306</v>
      </c>
      <c r="N19" s="291">
        <v>45443</v>
      </c>
      <c r="O19" s="280" t="s">
        <v>844</v>
      </c>
      <c r="P19" s="304">
        <v>0.4</v>
      </c>
      <c r="Q19"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19"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S19"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0.4</v>
      </c>
      <c r="T19"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U19"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V19"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19"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19"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19"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19"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19"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19"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19" s="285">
        <f>+SUM(Tareas[[#This Row],[Programación Plan de actividades
Enero]:[Programación Plan de actividades
Diciembre]])</f>
        <v>0.4</v>
      </c>
      <c r="AD19" s="253"/>
      <c r="AE19" s="253"/>
      <c r="AF19" s="253"/>
      <c r="AG19" s="253"/>
      <c r="AH19" s="253"/>
      <c r="AI19" s="292"/>
      <c r="AJ19" s="292"/>
      <c r="AK19" s="292"/>
      <c r="AL19" s="292"/>
      <c r="AM19" s="292"/>
      <c r="AN19" s="292"/>
      <c r="AO19" s="292"/>
      <c r="AP19" s="375">
        <f>SUM(Tareas[[#This Row],[Población programada enero]:[Población programada diciembre]])</f>
        <v>0</v>
      </c>
      <c r="AQ19"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19"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19"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19"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19"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19"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19"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19"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19"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19"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19"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19"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19" s="285">
        <f>+SUM(Tareas[[#This Row],[Ejecución Plan de actividades
Enero]:[Ejecución Plan de actividades
Diciembre]])</f>
        <v>0</v>
      </c>
      <c r="BD19" s="269"/>
      <c r="BE19" s="269"/>
      <c r="BF19" s="269"/>
      <c r="BG19" s="269"/>
      <c r="BH19" s="269"/>
      <c r="BI19" s="269"/>
      <c r="BJ19" s="269"/>
      <c r="BK19" s="269"/>
      <c r="BL19" s="269"/>
      <c r="BM19" s="269"/>
      <c r="BN19" s="269"/>
      <c r="BO19" s="269"/>
      <c r="BP19" s="271">
        <f>SUM(Tareas[[#This Row],[Población atendida enero]:[Población atendida diciembre]])</f>
        <v>0</v>
      </c>
      <c r="BQ19" s="294">
        <f>IFERROR(Tareas[[#This Row],[Total Ejecutado plan de actividades]]/Tareas[[#This Row],[Total programado plan de actividades]],"No Programado")</f>
        <v>0</v>
      </c>
      <c r="BR19" s="294" t="str">
        <f>IFERROR(Tareas[[#This Row],[Total  de Población atendida]]/Tareas[[#This Row],[Total  de Población programada]],"No Aplica")</f>
        <v>No Aplica</v>
      </c>
      <c r="BS19" s="295"/>
    </row>
    <row r="20" spans="1:71" s="149" customFormat="1" ht="165.6" x14ac:dyDescent="0.35">
      <c r="A20" s="228" t="str">
        <f>Tareas[[#This Row],[Código proyecto]]&amp;Tareas[[#This Row],[No Meta proyecto]]</f>
        <v>77441</v>
      </c>
      <c r="B20" s="228" t="str">
        <f>Tareas[[#This Row],[Código proyecto]]&amp;Tareas[[#This Row],[No Meta proyecto]]&amp;Tareas[[#This Row],[N° de Actividad
(Consecutivo por meta)]]</f>
        <v>774411</v>
      </c>
      <c r="C20" s="11" t="str">
        <f>Tareas[[#This Row],[Código proyecto]]&amp;Tareas[[#This Row],[No Meta proyecto]]&amp;Tareas[[#This Row],[N° de Actividad
(Consecutivo por meta)]]&amp;Tareas[[#This Row],[N° de tarea]]</f>
        <v>7744113</v>
      </c>
      <c r="D20" s="11">
        <f>Proyecto!$B$19</f>
        <v>7744</v>
      </c>
      <c r="E20" s="11" t="str">
        <f>Proyecto!$D$19</f>
        <v>Generación de Oportunidades para el Desarrollo Integral de la Niñez y la Adolescencia de Bogotá</v>
      </c>
      <c r="F20" s="374">
        <v>1</v>
      </c>
      <c r="G20" s="11" t="str">
        <f>VLOOKUP(A20,ESTRATÉGICO!$C$3:$AA$110,14,0)</f>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v>
      </c>
      <c r="H20" s="374">
        <v>1</v>
      </c>
      <c r="I20" s="11" t="str">
        <f>VLOOKUP(B20,Actividades!$B$18:$I$35,8,0)</f>
        <v>Liderar la actualización, movilización, implementación y seguimiento de la Política Pública de Infancia y Adolescencia de Bogotá (2021-2032), con las voces de las niñas, niños y adolescentes, en articulación con las familias, actores públic</v>
      </c>
      <c r="J20" s="374">
        <v>3</v>
      </c>
      <c r="K20" s="373" t="s">
        <v>1002</v>
      </c>
      <c r="L20" s="290" t="s">
        <v>1000</v>
      </c>
      <c r="M20" s="291">
        <v>45306</v>
      </c>
      <c r="N20" s="291">
        <v>45443</v>
      </c>
      <c r="O20" s="280" t="s">
        <v>844</v>
      </c>
      <c r="P20" s="304">
        <v>0.3</v>
      </c>
      <c r="Q20"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20"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S20"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T20"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0.3</v>
      </c>
      <c r="U20"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V20"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20"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20"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20"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20"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20"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20"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20" s="285">
        <f>+SUM(Tareas[[#This Row],[Programación Plan de actividades
Enero]:[Programación Plan de actividades
Diciembre]])</f>
        <v>0.3</v>
      </c>
      <c r="AD20" s="253"/>
      <c r="AE20" s="253"/>
      <c r="AF20" s="253"/>
      <c r="AG20" s="253"/>
      <c r="AH20" s="253"/>
      <c r="AI20" s="292"/>
      <c r="AJ20" s="292"/>
      <c r="AK20" s="292"/>
      <c r="AL20" s="292"/>
      <c r="AM20" s="292"/>
      <c r="AN20" s="292"/>
      <c r="AO20" s="292"/>
      <c r="AP20" s="375">
        <f>SUM(Tareas[[#This Row],[Población programada enero]:[Población programada diciembre]])</f>
        <v>0</v>
      </c>
      <c r="AQ20"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20"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20"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20"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20"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20"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20"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20"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20"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20"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20"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20"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20" s="285">
        <f>+SUM(Tareas[[#This Row],[Ejecución Plan de actividades
Enero]:[Ejecución Plan de actividades
Diciembre]])</f>
        <v>0</v>
      </c>
      <c r="BD20" s="269"/>
      <c r="BE20" s="269"/>
      <c r="BF20" s="269"/>
      <c r="BG20" s="269"/>
      <c r="BH20" s="269"/>
      <c r="BI20" s="269"/>
      <c r="BJ20" s="269"/>
      <c r="BK20" s="269"/>
      <c r="BL20" s="269"/>
      <c r="BM20" s="269"/>
      <c r="BN20" s="269"/>
      <c r="BO20" s="269"/>
      <c r="BP20" s="271">
        <f>SUM(Tareas[[#This Row],[Población atendida enero]:[Población atendida diciembre]])</f>
        <v>0</v>
      </c>
      <c r="BQ20" s="294">
        <f>IFERROR(Tareas[[#This Row],[Total Ejecutado plan de actividades]]/Tareas[[#This Row],[Total programado plan de actividades]],"No Programado")</f>
        <v>0</v>
      </c>
      <c r="BR20" s="294" t="str">
        <f>IFERROR(Tareas[[#This Row],[Total  de Población atendida]]/Tareas[[#This Row],[Total  de Población programada]],"No Aplica")</f>
        <v>No Aplica</v>
      </c>
      <c r="BS20" s="295"/>
    </row>
    <row r="21" spans="1:71" s="149" customFormat="1" ht="165.6" x14ac:dyDescent="0.35">
      <c r="A21" s="228" t="str">
        <f>Tareas[[#This Row],[Código proyecto]]&amp;Tareas[[#This Row],[No Meta proyecto]]</f>
        <v>77441</v>
      </c>
      <c r="B21" s="228" t="str">
        <f>Tareas[[#This Row],[Código proyecto]]&amp;Tareas[[#This Row],[No Meta proyecto]]&amp;Tareas[[#This Row],[N° de Actividad
(Consecutivo por meta)]]</f>
        <v>774412</v>
      </c>
      <c r="C21" s="11" t="str">
        <f>Tareas[[#This Row],[Código proyecto]]&amp;Tareas[[#This Row],[No Meta proyecto]]&amp;Tareas[[#This Row],[N° de Actividad
(Consecutivo por meta)]]&amp;Tareas[[#This Row],[N° de tarea]]</f>
        <v>7744121</v>
      </c>
      <c r="D21" s="11">
        <f>Proyecto!$B$19</f>
        <v>7744</v>
      </c>
      <c r="E21" s="11" t="str">
        <f>Proyecto!$D$19</f>
        <v>Generación de Oportunidades para el Desarrollo Integral de la Niñez y la Adolescencia de Bogotá</v>
      </c>
      <c r="F21" s="374">
        <v>1</v>
      </c>
      <c r="G21" s="11" t="str">
        <f>VLOOKUP(A21,ESTRATÉGICO!$C$3:$AA$110,14,0)</f>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v>
      </c>
      <c r="H21" s="374">
        <v>2</v>
      </c>
      <c r="I21" s="11" t="str">
        <f>VLOOKUP(B21,Actividades!$B$18:$I$35,8,0)</f>
        <v>Fortalecer los 20 consejos consultivos de participacion infantil y el consejo  Distrital de participacion infantil, con el fin de movilizar a los niñas, niños y adolescentes para su participacion e incidencia en los entornos hogar, educativo</v>
      </c>
      <c r="J21" s="374">
        <v>1</v>
      </c>
      <c r="K21" s="373" t="s">
        <v>1003</v>
      </c>
      <c r="L21" s="290" t="s">
        <v>1004</v>
      </c>
      <c r="M21" s="291">
        <v>45306</v>
      </c>
      <c r="N21" s="291">
        <v>45443</v>
      </c>
      <c r="O21" s="280" t="s">
        <v>844</v>
      </c>
      <c r="P21" s="304">
        <v>0.4</v>
      </c>
      <c r="Q21"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21"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S21"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0.12</v>
      </c>
      <c r="T21"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0.12</v>
      </c>
      <c r="U21"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0.16000000000000003</v>
      </c>
      <c r="V21"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21"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21"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21"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21"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21"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21"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21" s="285">
        <f>+SUM(Tareas[[#This Row],[Programación Plan de actividades
Enero]:[Programación Plan de actividades
Diciembre]])</f>
        <v>0.4</v>
      </c>
      <c r="AD21" s="253"/>
      <c r="AE21" s="253"/>
      <c r="AF21" s="253"/>
      <c r="AG21" s="253"/>
      <c r="AH21" s="253"/>
      <c r="AI21" s="292"/>
      <c r="AJ21" s="292"/>
      <c r="AK21" s="292"/>
      <c r="AL21" s="292"/>
      <c r="AM21" s="292"/>
      <c r="AN21" s="292"/>
      <c r="AO21" s="292"/>
      <c r="AP21" s="375">
        <f>SUM(Tareas[[#This Row],[Población programada enero]:[Población programada diciembre]])</f>
        <v>0</v>
      </c>
      <c r="AQ21"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21"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21"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21"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21"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21"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21"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21"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21"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21"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21"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21"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21" s="285">
        <f>+SUM(Tareas[[#This Row],[Ejecución Plan de actividades
Enero]:[Ejecución Plan de actividades
Diciembre]])</f>
        <v>0</v>
      </c>
      <c r="BD21" s="269"/>
      <c r="BE21" s="269"/>
      <c r="BF21" s="269"/>
      <c r="BG21" s="269"/>
      <c r="BH21" s="269"/>
      <c r="BI21" s="269"/>
      <c r="BJ21" s="269"/>
      <c r="BK21" s="269"/>
      <c r="BL21" s="269"/>
      <c r="BM21" s="269"/>
      <c r="BN21" s="269"/>
      <c r="BO21" s="269"/>
      <c r="BP21" s="271">
        <f>SUM(Tareas[[#This Row],[Población atendida enero]:[Población atendida diciembre]])</f>
        <v>0</v>
      </c>
      <c r="BQ21" s="294">
        <f>IFERROR(Tareas[[#This Row],[Total Ejecutado plan de actividades]]/Tareas[[#This Row],[Total programado plan de actividades]],"No Programado")</f>
        <v>0</v>
      </c>
      <c r="BR21" s="294" t="str">
        <f>IFERROR(Tareas[[#This Row],[Total  de Población atendida]]/Tareas[[#This Row],[Total  de Población programada]],"No Aplica")</f>
        <v>No Aplica</v>
      </c>
      <c r="BS21" s="295"/>
    </row>
    <row r="22" spans="1:71" s="149" customFormat="1" ht="165.6" x14ac:dyDescent="0.35">
      <c r="A22" s="228" t="str">
        <f>Tareas[[#This Row],[Código proyecto]]&amp;Tareas[[#This Row],[No Meta proyecto]]</f>
        <v>77441</v>
      </c>
      <c r="B22" s="228" t="str">
        <f>Tareas[[#This Row],[Código proyecto]]&amp;Tareas[[#This Row],[No Meta proyecto]]&amp;Tareas[[#This Row],[N° de Actividad
(Consecutivo por meta)]]</f>
        <v>774412</v>
      </c>
      <c r="C22" s="11" t="str">
        <f>Tareas[[#This Row],[Código proyecto]]&amp;Tareas[[#This Row],[No Meta proyecto]]&amp;Tareas[[#This Row],[N° de Actividad
(Consecutivo por meta)]]&amp;Tareas[[#This Row],[N° de tarea]]</f>
        <v>7744122</v>
      </c>
      <c r="D22" s="11">
        <f>Proyecto!$B$19</f>
        <v>7744</v>
      </c>
      <c r="E22" s="11" t="str">
        <f>Proyecto!$D$19</f>
        <v>Generación de Oportunidades para el Desarrollo Integral de la Niñez y la Adolescencia de Bogotá</v>
      </c>
      <c r="F22" s="374">
        <v>1</v>
      </c>
      <c r="G22" s="11" t="str">
        <f>VLOOKUP(A22,ESTRATÉGICO!$C$3:$AA$110,14,0)</f>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v>
      </c>
      <c r="H22" s="374">
        <v>2</v>
      </c>
      <c r="I22" s="11" t="str">
        <f>VLOOKUP(B22,Actividades!$B$18:$I$35,8,0)</f>
        <v>Fortalecer los 20 consejos consultivos de participacion infantil y el consejo  Distrital de participacion infantil, con el fin de movilizar a los niñas, niños y adolescentes para su participacion e incidencia en los entornos hogar, educativo</v>
      </c>
      <c r="J22" s="374">
        <v>2</v>
      </c>
      <c r="K22" s="373" t="s">
        <v>1005</v>
      </c>
      <c r="L22" s="290" t="s">
        <v>1004</v>
      </c>
      <c r="M22" s="291">
        <v>45306</v>
      </c>
      <c r="N22" s="291">
        <v>45443</v>
      </c>
      <c r="O22" s="280" t="s">
        <v>844</v>
      </c>
      <c r="P22" s="304">
        <v>0.3</v>
      </c>
      <c r="Q22"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22"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S22"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0.09</v>
      </c>
      <c r="T22"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U22"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0.21</v>
      </c>
      <c r="V22"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22"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22"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22"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22"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22"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22"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22" s="285">
        <f>+SUM(Tareas[[#This Row],[Programación Plan de actividades
Enero]:[Programación Plan de actividades
Diciembre]])</f>
        <v>0.3</v>
      </c>
      <c r="AD22" s="253"/>
      <c r="AE22" s="253"/>
      <c r="AF22" s="253"/>
      <c r="AG22" s="253"/>
      <c r="AH22" s="253"/>
      <c r="AI22" s="292"/>
      <c r="AJ22" s="292"/>
      <c r="AK22" s="292"/>
      <c r="AL22" s="292"/>
      <c r="AM22" s="292"/>
      <c r="AN22" s="292"/>
      <c r="AO22" s="292"/>
      <c r="AP22" s="375">
        <f>SUM(Tareas[[#This Row],[Población programada enero]:[Población programada diciembre]])</f>
        <v>0</v>
      </c>
      <c r="AQ22"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22"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22"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22"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22"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22"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22"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22"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22"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22"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22"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22"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22" s="285">
        <f>+SUM(Tareas[[#This Row],[Ejecución Plan de actividades
Enero]:[Ejecución Plan de actividades
Diciembre]])</f>
        <v>0</v>
      </c>
      <c r="BD22" s="269"/>
      <c r="BE22" s="269"/>
      <c r="BF22" s="269"/>
      <c r="BG22" s="269"/>
      <c r="BH22" s="269"/>
      <c r="BI22" s="269"/>
      <c r="BJ22" s="269"/>
      <c r="BK22" s="269"/>
      <c r="BL22" s="269"/>
      <c r="BM22" s="269"/>
      <c r="BN22" s="269"/>
      <c r="BO22" s="269"/>
      <c r="BP22" s="271">
        <f>SUM(Tareas[[#This Row],[Población atendida enero]:[Población atendida diciembre]])</f>
        <v>0</v>
      </c>
      <c r="BQ22" s="294">
        <f>IFERROR(Tareas[[#This Row],[Total Ejecutado plan de actividades]]/Tareas[[#This Row],[Total programado plan de actividades]],"No Programado")</f>
        <v>0</v>
      </c>
      <c r="BR22" s="294" t="str">
        <f>IFERROR(Tareas[[#This Row],[Total  de Población atendida]]/Tareas[[#This Row],[Total  de Población programada]],"No Aplica")</f>
        <v>No Aplica</v>
      </c>
      <c r="BS22" s="295"/>
    </row>
    <row r="23" spans="1:71" s="149" customFormat="1" ht="165.6" x14ac:dyDescent="0.35">
      <c r="A23" s="228" t="str">
        <f>Tareas[[#This Row],[Código proyecto]]&amp;Tareas[[#This Row],[No Meta proyecto]]</f>
        <v>77441</v>
      </c>
      <c r="B23" s="228" t="str">
        <f>Tareas[[#This Row],[Código proyecto]]&amp;Tareas[[#This Row],[No Meta proyecto]]&amp;Tareas[[#This Row],[N° de Actividad
(Consecutivo por meta)]]</f>
        <v>774412</v>
      </c>
      <c r="C23" s="11" t="str">
        <f>Tareas[[#This Row],[Código proyecto]]&amp;Tareas[[#This Row],[No Meta proyecto]]&amp;Tareas[[#This Row],[N° de Actividad
(Consecutivo por meta)]]&amp;Tareas[[#This Row],[N° de tarea]]</f>
        <v>7744123</v>
      </c>
      <c r="D23" s="11">
        <f>Proyecto!$B$19</f>
        <v>7744</v>
      </c>
      <c r="E23" s="11" t="str">
        <f>Proyecto!$D$19</f>
        <v>Generación de Oportunidades para el Desarrollo Integral de la Niñez y la Adolescencia de Bogotá</v>
      </c>
      <c r="F23" s="374">
        <v>1</v>
      </c>
      <c r="G23" s="11" t="str">
        <f>VLOOKUP(A23,ESTRATÉGICO!$C$3:$AA$110,14,0)</f>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v>
      </c>
      <c r="H23" s="374">
        <v>2</v>
      </c>
      <c r="I23" s="11" t="str">
        <f>VLOOKUP(B23,Actividades!$B$18:$I$35,8,0)</f>
        <v>Fortalecer los 20 consejos consultivos de participacion infantil y el consejo  Distrital de participacion infantil, con el fin de movilizar a los niñas, niños y adolescentes para su participacion e incidencia en los entornos hogar, educativo</v>
      </c>
      <c r="J23" s="374">
        <v>3</v>
      </c>
      <c r="K23" s="373" t="s">
        <v>1006</v>
      </c>
      <c r="L23" s="290" t="s">
        <v>1007</v>
      </c>
      <c r="M23" s="291">
        <v>45306</v>
      </c>
      <c r="N23" s="291">
        <v>45443</v>
      </c>
      <c r="O23" s="280" t="s">
        <v>844</v>
      </c>
      <c r="P23" s="304">
        <v>0.3</v>
      </c>
      <c r="Q23"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23"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S23"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0.15</v>
      </c>
      <c r="T23"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U23"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0.15</v>
      </c>
      <c r="V23"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23"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23"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23"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23"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23"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23"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23" s="285">
        <f>+SUM(Tareas[[#This Row],[Programación Plan de actividades
Enero]:[Programación Plan de actividades
Diciembre]])</f>
        <v>0.3</v>
      </c>
      <c r="AD23" s="253"/>
      <c r="AE23" s="253"/>
      <c r="AF23" s="253"/>
      <c r="AG23" s="253"/>
      <c r="AH23" s="253"/>
      <c r="AI23" s="292"/>
      <c r="AJ23" s="292"/>
      <c r="AK23" s="292"/>
      <c r="AL23" s="292"/>
      <c r="AM23" s="292"/>
      <c r="AN23" s="292"/>
      <c r="AO23" s="292"/>
      <c r="AP23" s="375">
        <f>SUM(Tareas[[#This Row],[Población programada enero]:[Población programada diciembre]])</f>
        <v>0</v>
      </c>
      <c r="AQ23"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23"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23"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23"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23"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23"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23"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23"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23"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23"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23"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23"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23" s="285">
        <f>+SUM(Tareas[[#This Row],[Ejecución Plan de actividades
Enero]:[Ejecución Plan de actividades
Diciembre]])</f>
        <v>0</v>
      </c>
      <c r="BD23" s="269"/>
      <c r="BE23" s="269"/>
      <c r="BF23" s="269"/>
      <c r="BG23" s="269"/>
      <c r="BH23" s="269"/>
      <c r="BI23" s="269"/>
      <c r="BJ23" s="269"/>
      <c r="BK23" s="269"/>
      <c r="BL23" s="269"/>
      <c r="BM23" s="269"/>
      <c r="BN23" s="269"/>
      <c r="BO23" s="269"/>
      <c r="BP23" s="271">
        <f>SUM(Tareas[[#This Row],[Población atendida enero]:[Población atendida diciembre]])</f>
        <v>0</v>
      </c>
      <c r="BQ23" s="294">
        <f>IFERROR(Tareas[[#This Row],[Total Ejecutado plan de actividades]]/Tareas[[#This Row],[Total programado plan de actividades]],"No Programado")</f>
        <v>0</v>
      </c>
      <c r="BR23" s="294" t="str">
        <f>IFERROR(Tareas[[#This Row],[Total  de Población atendida]]/Tareas[[#This Row],[Total  de Población programada]],"No Aplica")</f>
        <v>No Aplica</v>
      </c>
      <c r="BS23" s="295"/>
    </row>
    <row r="24" spans="1:71" s="149" customFormat="1" ht="151.80000000000001" x14ac:dyDescent="0.35">
      <c r="A24" s="228" t="str">
        <f>Tareas[[#This Row],[Código proyecto]]&amp;Tareas[[#This Row],[No Meta proyecto]]</f>
        <v>77442</v>
      </c>
      <c r="B24" s="228" t="str">
        <f>Tareas[[#This Row],[Código proyecto]]&amp;Tareas[[#This Row],[No Meta proyecto]]&amp;Tareas[[#This Row],[N° de Actividad
(Consecutivo por meta)]]</f>
        <v>774422</v>
      </c>
      <c r="C24" s="11" t="str">
        <f>Tareas[[#This Row],[Código proyecto]]&amp;Tareas[[#This Row],[No Meta proyecto]]&amp;Tareas[[#This Row],[N° de Actividad
(Consecutivo por meta)]]&amp;Tareas[[#This Row],[N° de tarea]]</f>
        <v>7744221</v>
      </c>
      <c r="D24" s="11">
        <f>Proyecto!$B$19</f>
        <v>7744</v>
      </c>
      <c r="E24" s="11" t="str">
        <f>Proyecto!$D$19</f>
        <v>Generación de Oportunidades para el Desarrollo Integral de la Niñez y la Adolescencia de Bogotá</v>
      </c>
      <c r="F24" s="374">
        <v>2</v>
      </c>
      <c r="G24" s="11" t="str">
        <f>VLOOKUP(A26,ESTRATÉGICO!$C$3:$AA$110,14,0)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H24" s="374">
        <v>2</v>
      </c>
      <c r="I24" s="11" t="str">
        <f>VLOOKUP(B24,Actividades!$B$18:$I$35,8,0)</f>
        <v>Realizar  seguimiento a la operacion de los servicios y fortalecer la implementacion de su linea tecnica, para garantizar el derecho al desarrollo integral en la primera infancia</v>
      </c>
      <c r="J24" s="374">
        <v>1</v>
      </c>
      <c r="K24" s="373" t="s">
        <v>1008</v>
      </c>
      <c r="L24" s="384" t="s">
        <v>1009</v>
      </c>
      <c r="M24" s="291">
        <v>45306</v>
      </c>
      <c r="N24" s="291">
        <v>45443</v>
      </c>
      <c r="O24" s="280" t="s">
        <v>843</v>
      </c>
      <c r="P24" s="304">
        <v>1</v>
      </c>
      <c r="Q24"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24"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S24"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0.25</v>
      </c>
      <c r="T24"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U24"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0.75</v>
      </c>
      <c r="V24"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24"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24"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24"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24"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24"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24"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24" s="285">
        <f>+SUM(Tareas[[#This Row],[Programación Plan de actividades
Enero]:[Programación Plan de actividades
Diciembre]])</f>
        <v>1</v>
      </c>
      <c r="AD24" s="382"/>
      <c r="AE24" s="385">
        <v>3179</v>
      </c>
      <c r="AF24" s="385">
        <v>3500</v>
      </c>
      <c r="AG24" s="385">
        <v>4141</v>
      </c>
      <c r="AH24" s="385">
        <v>2412</v>
      </c>
      <c r="AI24" s="292"/>
      <c r="AJ24" s="292"/>
      <c r="AK24" s="292"/>
      <c r="AL24" s="292"/>
      <c r="AM24" s="292"/>
      <c r="AN24" s="292"/>
      <c r="AO24" s="292"/>
      <c r="AP24" s="375">
        <f>SUM(Tareas[[#This Row],[Población programada enero]:[Población programada diciembre]])</f>
        <v>13232</v>
      </c>
      <c r="AQ24"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24"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24"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24"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24"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24"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24"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24"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24"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24"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24"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24"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24" s="285">
        <f>+SUM(Tareas[[#This Row],[Ejecución Plan de actividades
Enero]:[Ejecución Plan de actividades
Diciembre]])</f>
        <v>0</v>
      </c>
      <c r="BD24" s="269"/>
      <c r="BE24" s="269"/>
      <c r="BF24" s="269"/>
      <c r="BG24" s="269"/>
      <c r="BH24" s="269"/>
      <c r="BI24" s="269"/>
      <c r="BJ24" s="269"/>
      <c r="BK24" s="269"/>
      <c r="BL24" s="269"/>
      <c r="BM24" s="269"/>
      <c r="BN24" s="269"/>
      <c r="BO24" s="269"/>
      <c r="BP24" s="271">
        <f>SUM(Tareas[[#This Row],[Población atendida enero]:[Población atendida diciembre]])</f>
        <v>0</v>
      </c>
      <c r="BQ24" s="294">
        <f>IFERROR(Tareas[[#This Row],[Total Ejecutado plan de actividades]]/Tareas[[#This Row],[Total programado plan de actividades]],"No Programado")</f>
        <v>0</v>
      </c>
      <c r="BR24" s="294">
        <f>IFERROR(Tareas[[#This Row],[Total  de Población atendida]]/Tareas[[#This Row],[Total  de Población programada]],"No Aplica")</f>
        <v>0</v>
      </c>
      <c r="BS24" s="295"/>
    </row>
    <row r="25" spans="1:71" s="149" customFormat="1" ht="151.80000000000001" x14ac:dyDescent="0.35">
      <c r="A25" s="228" t="str">
        <f>Tareas[[#This Row],[Código proyecto]]&amp;Tareas[[#This Row],[No Meta proyecto]]</f>
        <v>77442</v>
      </c>
      <c r="B25" s="228" t="str">
        <f>Tareas[[#This Row],[Código proyecto]]&amp;Tareas[[#This Row],[No Meta proyecto]]&amp;Tareas[[#This Row],[N° de Actividad
(Consecutivo por meta)]]</f>
        <v>774423</v>
      </c>
      <c r="C25" s="11" t="str">
        <f>Tareas[[#This Row],[Código proyecto]]&amp;Tareas[[#This Row],[No Meta proyecto]]&amp;Tareas[[#This Row],[N° de Actividad
(Consecutivo por meta)]]&amp;Tareas[[#This Row],[N° de tarea]]</f>
        <v>7744231</v>
      </c>
      <c r="D25" s="11">
        <f>Proyecto!$B$19</f>
        <v>7744</v>
      </c>
      <c r="E25" s="11" t="str">
        <f>Proyecto!$D$19</f>
        <v>Generación de Oportunidades para el Desarrollo Integral de la Niñez y la Adolescencia de Bogotá</v>
      </c>
      <c r="F25" s="374">
        <v>2</v>
      </c>
      <c r="G25" s="11" t="str">
        <f>VLOOKUP(A27,ESTRATÉGICO!$C$3:$AA$110,14,0)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H25" s="374">
        <v>3</v>
      </c>
      <c r="I25" s="11" t="str">
        <f>VLOOKUP(B25,Actividades!$B$18:$I$35,8,0)</f>
        <v>Atender con enfoque diferencial a las ninas y ninos desde la gestacion a traves del servicio social creciendo en familia, generando en ellos espacios protectores para un crecimiento y desarrollo en el marco de la garantia de derechos.</v>
      </c>
      <c r="J25" s="374">
        <v>1</v>
      </c>
      <c r="K25" s="373" t="s">
        <v>1010</v>
      </c>
      <c r="L25" s="290" t="s">
        <v>1009</v>
      </c>
      <c r="M25" s="291">
        <v>45306</v>
      </c>
      <c r="N25" s="291">
        <v>45443</v>
      </c>
      <c r="O25" s="280" t="s">
        <v>844</v>
      </c>
      <c r="P25" s="304">
        <v>1</v>
      </c>
      <c r="Q25"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25"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0.5</v>
      </c>
      <c r="S25"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0.5</v>
      </c>
      <c r="T25"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U25"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V25"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25"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25"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25"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25"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25"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25"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25" s="285">
        <f>+SUM(Tareas[[#This Row],[Programación Plan de actividades
Enero]:[Programación Plan de actividades
Diciembre]])</f>
        <v>1</v>
      </c>
      <c r="AD25" s="383"/>
      <c r="AE25" s="383"/>
      <c r="AF25" s="383"/>
      <c r="AG25" s="383"/>
      <c r="AH25" s="383"/>
      <c r="AI25" s="292"/>
      <c r="AJ25" s="292"/>
      <c r="AK25" s="292"/>
      <c r="AL25" s="292"/>
      <c r="AM25" s="292"/>
      <c r="AN25" s="292"/>
      <c r="AO25" s="292"/>
      <c r="AP25" s="375">
        <f>SUM(Tareas[[#This Row],[Población programada enero]:[Población programada diciembre]])</f>
        <v>0</v>
      </c>
      <c r="AQ25"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25"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25"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25"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25"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25"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25"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25"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25"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25"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25"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25"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25" s="285">
        <f>+SUM(Tareas[[#This Row],[Ejecución Plan de actividades
Enero]:[Ejecución Plan de actividades
Diciembre]])</f>
        <v>0</v>
      </c>
      <c r="BD25" s="269"/>
      <c r="BE25" s="269"/>
      <c r="BF25" s="269"/>
      <c r="BG25" s="269"/>
      <c r="BH25" s="269"/>
      <c r="BI25" s="269"/>
      <c r="BJ25" s="269"/>
      <c r="BK25" s="269"/>
      <c r="BL25" s="269"/>
      <c r="BM25" s="269"/>
      <c r="BN25" s="269"/>
      <c r="BO25" s="269"/>
      <c r="BP25" s="271">
        <f>SUM(Tareas[[#This Row],[Población atendida enero]:[Población atendida diciembre]])</f>
        <v>0</v>
      </c>
      <c r="BQ25" s="294">
        <f>IFERROR(Tareas[[#This Row],[Total Ejecutado plan de actividades]]/Tareas[[#This Row],[Total programado plan de actividades]],"No Programado")</f>
        <v>0</v>
      </c>
      <c r="BR25" s="294" t="str">
        <f>IFERROR(Tareas[[#This Row],[Total  de Población atendida]]/Tareas[[#This Row],[Total  de Población programada]],"No Aplica")</f>
        <v>No Aplica</v>
      </c>
      <c r="BS25" s="295"/>
    </row>
    <row r="26" spans="1:71" s="149" customFormat="1" ht="151.80000000000001" x14ac:dyDescent="0.35">
      <c r="A26" s="228" t="str">
        <f>Tareas[[#This Row],[Código proyecto]]&amp;Tareas[[#This Row],[No Meta proyecto]]</f>
        <v>77442</v>
      </c>
      <c r="B26" s="228" t="str">
        <f>Tareas[[#This Row],[Código proyecto]]&amp;Tareas[[#This Row],[No Meta proyecto]]&amp;Tareas[[#This Row],[N° de Actividad
(Consecutivo por meta)]]</f>
        <v>774426</v>
      </c>
      <c r="C26" s="11" t="str">
        <f>Tareas[[#This Row],[Código proyecto]]&amp;Tareas[[#This Row],[No Meta proyecto]]&amp;Tareas[[#This Row],[N° de Actividad
(Consecutivo por meta)]]&amp;Tareas[[#This Row],[N° de tarea]]</f>
        <v>7744261</v>
      </c>
      <c r="D26" s="11">
        <f>Proyecto!$B$19</f>
        <v>7744</v>
      </c>
      <c r="E26" s="11" t="str">
        <f>Proyecto!$D$19</f>
        <v>Generación de Oportunidades para el Desarrollo Integral de la Niñez y la Adolescencia de Bogotá</v>
      </c>
      <c r="F26" s="374">
        <v>2</v>
      </c>
      <c r="G26" s="11" t="str">
        <f>VLOOKUP(A28,ESTRATÉGICO!$C$3:$AA$110,14,0)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H26" s="374">
        <v>6</v>
      </c>
      <c r="I26" s="11" t="str">
        <f>VLOOKUP(B26,Actividades!$B$18:$I$35,8,0)</f>
        <v>Atender con enfoque diferencial y con proyectos pedagogicos actualizados a las ninas y ninos a traves del servicio social en Jardines Infantiles Diurnos, Nocturnos y Casas de Pensamiento Intercultural -SDIS, generando un acceso sin barreras</v>
      </c>
      <c r="J26" s="374">
        <v>1</v>
      </c>
      <c r="K26" s="373" t="s">
        <v>1361</v>
      </c>
      <c r="L26" s="290" t="s">
        <v>1011</v>
      </c>
      <c r="M26" s="291">
        <v>45306</v>
      </c>
      <c r="N26" s="291">
        <v>45443</v>
      </c>
      <c r="O26" s="264" t="s">
        <v>843</v>
      </c>
      <c r="P26" s="304">
        <v>1</v>
      </c>
      <c r="Q26"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26"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S26"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0.30000000000000004</v>
      </c>
      <c r="T26"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0.30000000000000004</v>
      </c>
      <c r="U26"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0.4</v>
      </c>
      <c r="V26"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26"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26"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26"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26"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26"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26"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26" s="285">
        <f>+SUM(Tareas[[#This Row],[Programación Plan de actividades
Enero]:[Programación Plan de actividades
Diciembre]])</f>
        <v>1</v>
      </c>
      <c r="AD26" s="382"/>
      <c r="AE26" s="385">
        <v>895</v>
      </c>
      <c r="AF26" s="385">
        <v>1821</v>
      </c>
      <c r="AG26" s="385">
        <v>2019</v>
      </c>
      <c r="AH26" s="385">
        <v>3916</v>
      </c>
      <c r="AI26" s="292"/>
      <c r="AJ26" s="292"/>
      <c r="AK26" s="292"/>
      <c r="AL26" s="292"/>
      <c r="AM26" s="292"/>
      <c r="AN26" s="292"/>
      <c r="AO26" s="292"/>
      <c r="AP26" s="375">
        <f>SUM(Tareas[[#This Row],[Población programada enero]:[Población programada diciembre]])</f>
        <v>8651</v>
      </c>
      <c r="AQ26"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26"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26"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26"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26"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26"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26"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26"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26"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26"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26"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26"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26" s="285">
        <f>+SUM(Tareas[[#This Row],[Ejecución Plan de actividades
Enero]:[Ejecución Plan de actividades
Diciembre]])</f>
        <v>0</v>
      </c>
      <c r="BD26" s="269"/>
      <c r="BE26" s="269"/>
      <c r="BF26" s="269"/>
      <c r="BG26" s="269"/>
      <c r="BH26" s="269"/>
      <c r="BI26" s="269"/>
      <c r="BJ26" s="269"/>
      <c r="BK26" s="269"/>
      <c r="BL26" s="269"/>
      <c r="BM26" s="269"/>
      <c r="BN26" s="269"/>
      <c r="BO26" s="269"/>
      <c r="BP26" s="271">
        <f>SUM(Tareas[[#This Row],[Población atendida enero]:[Población atendida diciembre]])</f>
        <v>0</v>
      </c>
      <c r="BQ26" s="294">
        <f>IFERROR(Tareas[[#This Row],[Total Ejecutado plan de actividades]]/Tareas[[#This Row],[Total programado plan de actividades]],"No Programado")</f>
        <v>0</v>
      </c>
      <c r="BR26" s="294">
        <f>IFERROR(Tareas[[#This Row],[Total  de Población atendida]]/Tareas[[#This Row],[Total  de Población programada]],"No Aplica")</f>
        <v>0</v>
      </c>
      <c r="BS26" s="295"/>
    </row>
    <row r="27" spans="1:71" s="149" customFormat="1" ht="151.80000000000001" x14ac:dyDescent="0.35">
      <c r="A27" s="228" t="str">
        <f>Tareas[[#This Row],[Código proyecto]]&amp;Tareas[[#This Row],[No Meta proyecto]]</f>
        <v>77442</v>
      </c>
      <c r="B27" s="228" t="str">
        <f>Tareas[[#This Row],[Código proyecto]]&amp;Tareas[[#This Row],[No Meta proyecto]]&amp;Tareas[[#This Row],[N° de Actividad
(Consecutivo por meta)]]</f>
        <v>774424</v>
      </c>
      <c r="C27" s="11" t="str">
        <f>Tareas[[#This Row],[Código proyecto]]&amp;Tareas[[#This Row],[No Meta proyecto]]&amp;Tareas[[#This Row],[N° de Actividad
(Consecutivo por meta)]]&amp;Tareas[[#This Row],[N° de tarea]]</f>
        <v>7744241</v>
      </c>
      <c r="D27" s="11">
        <f>Proyecto!$B$19</f>
        <v>7744</v>
      </c>
      <c r="E27" s="11" t="str">
        <f>Proyecto!$D$19</f>
        <v>Generación de Oportunidades para el Desarrollo Integral de la Niñez y la Adolescencia de Bogotá</v>
      </c>
      <c r="F27" s="374">
        <v>2</v>
      </c>
      <c r="G27" s="11" t="str">
        <f>VLOOKUP(A29,ESTRATÉGICO!$C$3:$AA$110,14,0)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H27" s="374">
        <v>4</v>
      </c>
      <c r="I27" s="11" t="str">
        <f>VLOOKUP(B27,Actividades!$B$18:$I$35,8,0)</f>
        <v>Atender con enfoque diferencial y con proyectos pedagogicos actualizados a las ninas y ninos a traves del servicio social en Jardines Infantiles - Cupos Cofinanciados generando un acceso sin barreras y flexible segun las particularidades de</v>
      </c>
      <c r="J27" s="374">
        <v>1</v>
      </c>
      <c r="K27" s="373" t="s">
        <v>1012</v>
      </c>
      <c r="L27" s="290" t="s">
        <v>942</v>
      </c>
      <c r="M27" s="291">
        <v>45306</v>
      </c>
      <c r="N27" s="291">
        <v>45443</v>
      </c>
      <c r="O27" s="264" t="s">
        <v>844</v>
      </c>
      <c r="P27" s="304">
        <v>1</v>
      </c>
      <c r="Q27"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27"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S27"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0.25</v>
      </c>
      <c r="T27"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U27"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0.75</v>
      </c>
      <c r="V27"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27"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27"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27"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27"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27"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27"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27" s="285">
        <f>+SUM(Tareas[[#This Row],[Programación Plan de actividades
Enero]:[Programación Plan de actividades
Diciembre]])</f>
        <v>1</v>
      </c>
      <c r="AD27" s="383"/>
      <c r="AE27" s="383"/>
      <c r="AF27" s="383"/>
      <c r="AG27" s="383"/>
      <c r="AH27" s="383"/>
      <c r="AI27" s="292"/>
      <c r="AJ27" s="292"/>
      <c r="AK27" s="292"/>
      <c r="AL27" s="292"/>
      <c r="AM27" s="292"/>
      <c r="AN27" s="292"/>
      <c r="AO27" s="292"/>
      <c r="AP27" s="375">
        <f>SUM(Tareas[[#This Row],[Población programada enero]:[Población programada diciembre]])</f>
        <v>0</v>
      </c>
      <c r="AQ27"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27"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27"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27"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27"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27"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27"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27"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27"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27"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27"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27"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27" s="285">
        <f>+SUM(Tareas[[#This Row],[Ejecución Plan de actividades
Enero]:[Ejecución Plan de actividades
Diciembre]])</f>
        <v>0</v>
      </c>
      <c r="BD27" s="269"/>
      <c r="BE27" s="269"/>
      <c r="BF27" s="269"/>
      <c r="BG27" s="269"/>
      <c r="BH27" s="269"/>
      <c r="BI27" s="269"/>
      <c r="BJ27" s="269"/>
      <c r="BK27" s="269"/>
      <c r="BL27" s="269"/>
      <c r="BM27" s="269"/>
      <c r="BN27" s="269"/>
      <c r="BO27" s="269"/>
      <c r="BP27" s="271">
        <f>SUM(Tareas[[#This Row],[Población atendida enero]:[Población atendida diciembre]])</f>
        <v>0</v>
      </c>
      <c r="BQ27" s="294">
        <f>IFERROR(Tareas[[#This Row],[Total Ejecutado plan de actividades]]/Tareas[[#This Row],[Total programado plan de actividades]],"No Programado")</f>
        <v>0</v>
      </c>
      <c r="BR27" s="294" t="str">
        <f>IFERROR(Tareas[[#This Row],[Total  de Población atendida]]/Tareas[[#This Row],[Total  de Población programada]],"No Aplica")</f>
        <v>No Aplica</v>
      </c>
      <c r="BS27" s="295"/>
    </row>
    <row r="28" spans="1:71" s="149" customFormat="1" ht="151.80000000000001" x14ac:dyDescent="0.35">
      <c r="A28" s="228" t="str">
        <f>Tareas[[#This Row],[Código proyecto]]&amp;Tareas[[#This Row],[No Meta proyecto]]</f>
        <v>77442</v>
      </c>
      <c r="B28" s="228" t="str">
        <f>Tareas[[#This Row],[Código proyecto]]&amp;Tareas[[#This Row],[No Meta proyecto]]&amp;Tareas[[#This Row],[N° de Actividad
(Consecutivo por meta)]]</f>
        <v>774425</v>
      </c>
      <c r="C28" s="11" t="str">
        <f>Tareas[[#This Row],[Código proyecto]]&amp;Tareas[[#This Row],[No Meta proyecto]]&amp;Tareas[[#This Row],[N° de Actividad
(Consecutivo por meta)]]&amp;Tareas[[#This Row],[N° de tarea]]</f>
        <v>7744251</v>
      </c>
      <c r="D28" s="11">
        <f>Proyecto!$B$19</f>
        <v>7744</v>
      </c>
      <c r="E28" s="11" t="str">
        <f>Proyecto!$D$19</f>
        <v>Generación de Oportunidades para el Desarrollo Integral de la Niñez y la Adolescencia de Bogotá</v>
      </c>
      <c r="F28" s="374">
        <v>2</v>
      </c>
      <c r="G28" s="11" t="str">
        <f>VLOOKUP(A30,ESTRATÉGICO!$C$3:$AA$110,14,0)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H28" s="374">
        <v>5</v>
      </c>
      <c r="I28" s="11" t="str">
        <f>VLOOKUP(B28,Actividades!$B$18:$I$35,8,0)</f>
        <v>Atender con enfoque diferencial y con proyectos pedagogicos actualizados a las ninas y ninos a traves del servicio social en Jardines Infantiles - Sociales generando un acceso sin barreras y flexible segun las particularidades del territori</v>
      </c>
      <c r="J28" s="374">
        <v>1</v>
      </c>
      <c r="K28" s="373" t="s">
        <v>1013</v>
      </c>
      <c r="L28" s="290" t="s">
        <v>1011</v>
      </c>
      <c r="M28" s="291">
        <v>45306</v>
      </c>
      <c r="N28" s="291">
        <v>45443</v>
      </c>
      <c r="O28" s="264" t="s">
        <v>844</v>
      </c>
      <c r="P28" s="304">
        <v>1</v>
      </c>
      <c r="Q28"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28"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S28"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0.25</v>
      </c>
      <c r="T28"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U28"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0.75</v>
      </c>
      <c r="V28"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28"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28"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28"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28"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28"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28"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28" s="285">
        <f>+SUM(Tareas[[#This Row],[Programación Plan de actividades
Enero]:[Programación Plan de actividades
Diciembre]])</f>
        <v>1</v>
      </c>
      <c r="AD28" s="383"/>
      <c r="AE28" s="383"/>
      <c r="AF28" s="383"/>
      <c r="AG28" s="383"/>
      <c r="AH28" s="383"/>
      <c r="AI28" s="292"/>
      <c r="AJ28" s="292"/>
      <c r="AK28" s="292"/>
      <c r="AL28" s="292"/>
      <c r="AM28" s="292"/>
      <c r="AN28" s="292"/>
      <c r="AO28" s="292"/>
      <c r="AP28" s="375">
        <f>SUM(Tareas[[#This Row],[Población programada enero]:[Población programada diciembre]])</f>
        <v>0</v>
      </c>
      <c r="AQ28"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28"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28"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28"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28"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28"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28"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28"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28"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28"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28"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28"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28" s="285">
        <f>+SUM(Tareas[[#This Row],[Ejecución Plan de actividades
Enero]:[Ejecución Plan de actividades
Diciembre]])</f>
        <v>0</v>
      </c>
      <c r="BD28" s="269"/>
      <c r="BE28" s="269"/>
      <c r="BF28" s="269"/>
      <c r="BG28" s="269"/>
      <c r="BH28" s="269"/>
      <c r="BI28" s="269"/>
      <c r="BJ28" s="269"/>
      <c r="BK28" s="269"/>
      <c r="BL28" s="269"/>
      <c r="BM28" s="269"/>
      <c r="BN28" s="269"/>
      <c r="BO28" s="269"/>
      <c r="BP28" s="271">
        <f>SUM(Tareas[[#This Row],[Población atendida enero]:[Población atendida diciembre]])</f>
        <v>0</v>
      </c>
      <c r="BQ28" s="294">
        <f>IFERROR(Tareas[[#This Row],[Total Ejecutado plan de actividades]]/Tareas[[#This Row],[Total programado plan de actividades]],"No Programado")</f>
        <v>0</v>
      </c>
      <c r="BR28" s="294" t="str">
        <f>IFERROR(Tareas[[#This Row],[Total  de Población atendida]]/Tareas[[#This Row],[Total  de Población programada]],"No Aplica")</f>
        <v>No Aplica</v>
      </c>
      <c r="BS28" s="295"/>
    </row>
    <row r="29" spans="1:71" s="149" customFormat="1" ht="151.80000000000001" x14ac:dyDescent="0.35">
      <c r="A29" s="228" t="str">
        <f>Tareas[[#This Row],[Código proyecto]]&amp;Tareas[[#This Row],[No Meta proyecto]]</f>
        <v>77442</v>
      </c>
      <c r="B29" s="228" t="str">
        <f>Tareas[[#This Row],[Código proyecto]]&amp;Tareas[[#This Row],[No Meta proyecto]]&amp;Tareas[[#This Row],[N° de Actividad
(Consecutivo por meta)]]</f>
        <v>774427</v>
      </c>
      <c r="C29" s="11" t="str">
        <f>Tareas[[#This Row],[Código proyecto]]&amp;Tareas[[#This Row],[No Meta proyecto]]&amp;Tareas[[#This Row],[N° de Actividad
(Consecutivo por meta)]]&amp;Tareas[[#This Row],[N° de tarea]]</f>
        <v>7744271</v>
      </c>
      <c r="D29" s="11">
        <f>Proyecto!$B$19</f>
        <v>7744</v>
      </c>
      <c r="E29" s="11" t="str">
        <f>Proyecto!$D$19</f>
        <v>Generación de Oportunidades para el Desarrollo Integral de la Niñez y la Adolescencia de Bogotá</v>
      </c>
      <c r="F29" s="374">
        <v>2</v>
      </c>
      <c r="G29" s="11" t="str">
        <f>VLOOKUP(A31,ESTRATÉGICO!$C$3:$AA$110,14,0)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H29" s="374">
        <v>7</v>
      </c>
      <c r="I29" s="11" t="str">
        <f>VLOOKUP(B29,Actividades!$B$18:$I$35,8,0)</f>
        <v>Atender con enfoque diferencial a las ninas y ninos desde la gestacion a traves del servicio social Creciendo en Familia en la Ruralidad, generando en ellos espacios protectores para un crecimiento y desarrollo en el marco de la garantia de</v>
      </c>
      <c r="J29" s="374">
        <v>1</v>
      </c>
      <c r="K29" s="373" t="s">
        <v>1014</v>
      </c>
      <c r="L29" s="290" t="s">
        <v>1015</v>
      </c>
      <c r="M29" s="291">
        <v>45306</v>
      </c>
      <c r="N29" s="291">
        <v>45443</v>
      </c>
      <c r="O29" s="264" t="s">
        <v>843</v>
      </c>
      <c r="P29" s="304">
        <v>0.6</v>
      </c>
      <c r="Q29"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29"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S29"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T29"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U29"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0.6</v>
      </c>
      <c r="V29"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29"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29"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29"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29"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29"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29"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29" s="285">
        <f>+SUM(Tareas[[#This Row],[Programación Plan de actividades
Enero]:[Programación Plan de actividades
Diciembre]])</f>
        <v>0.6</v>
      </c>
      <c r="AD29" s="382"/>
      <c r="AE29" s="382">
        <v>689</v>
      </c>
      <c r="AF29" s="382">
        <v>421</v>
      </c>
      <c r="AG29" s="382">
        <v>713</v>
      </c>
      <c r="AH29" s="382">
        <v>433</v>
      </c>
      <c r="AI29" s="292"/>
      <c r="AJ29" s="292"/>
      <c r="AK29" s="292"/>
      <c r="AL29" s="292"/>
      <c r="AM29" s="292"/>
      <c r="AN29" s="292"/>
      <c r="AO29" s="292"/>
      <c r="AP29" s="375">
        <f>SUM(Tareas[[#This Row],[Población programada enero]:[Población programada diciembre]])</f>
        <v>2256</v>
      </c>
      <c r="AQ29"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29"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29"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29"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29"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29"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29"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29"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29"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29"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29"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29"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29" s="285">
        <f>+SUM(Tareas[[#This Row],[Ejecución Plan de actividades
Enero]:[Ejecución Plan de actividades
Diciembre]])</f>
        <v>0</v>
      </c>
      <c r="BD29" s="269"/>
      <c r="BE29" s="269"/>
      <c r="BF29" s="269"/>
      <c r="BG29" s="269"/>
      <c r="BH29" s="269"/>
      <c r="BI29" s="269"/>
      <c r="BJ29" s="269"/>
      <c r="BK29" s="269"/>
      <c r="BL29" s="269"/>
      <c r="BM29" s="269"/>
      <c r="BN29" s="269"/>
      <c r="BO29" s="269"/>
      <c r="BP29" s="271">
        <f>SUM(Tareas[[#This Row],[Población atendida enero]:[Población atendida diciembre]])</f>
        <v>0</v>
      </c>
      <c r="BQ29" s="294">
        <f>IFERROR(Tareas[[#This Row],[Total Ejecutado plan de actividades]]/Tareas[[#This Row],[Total programado plan de actividades]],"No Programado")</f>
        <v>0</v>
      </c>
      <c r="BR29" s="294">
        <f>IFERROR(Tareas[[#This Row],[Total  de Población atendida]]/Tareas[[#This Row],[Total  de Población programada]],"No Aplica")</f>
        <v>0</v>
      </c>
      <c r="BS29" s="295"/>
    </row>
    <row r="30" spans="1:71" s="149" customFormat="1" ht="151.80000000000001" x14ac:dyDescent="0.35">
      <c r="A30" s="228" t="str">
        <f>Tareas[[#This Row],[Código proyecto]]&amp;Tareas[[#This Row],[No Meta proyecto]]</f>
        <v>77442</v>
      </c>
      <c r="B30" s="228" t="str">
        <f>Tareas[[#This Row],[Código proyecto]]&amp;Tareas[[#This Row],[No Meta proyecto]]&amp;Tareas[[#This Row],[N° de Actividad
(Consecutivo por meta)]]</f>
        <v>774427</v>
      </c>
      <c r="C30" s="11" t="str">
        <f>Tareas[[#This Row],[Código proyecto]]&amp;Tareas[[#This Row],[No Meta proyecto]]&amp;Tareas[[#This Row],[N° de Actividad
(Consecutivo por meta)]]&amp;Tareas[[#This Row],[N° de tarea]]</f>
        <v>7744272</v>
      </c>
      <c r="D30" s="11">
        <f>Proyecto!$B$19</f>
        <v>7744</v>
      </c>
      <c r="E30" s="11" t="str">
        <f>Proyecto!$D$19</f>
        <v>Generación de Oportunidades para el Desarrollo Integral de la Niñez y la Adolescencia de Bogotá</v>
      </c>
      <c r="F30" s="374">
        <v>2</v>
      </c>
      <c r="G30" s="11" t="str">
        <f>VLOOKUP(A32,ESTRATÉGICO!$C$3:$AA$110,14,0)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H30" s="374">
        <v>7</v>
      </c>
      <c r="I30" s="11" t="str">
        <f>VLOOKUP(B30,Actividades!$B$18:$I$35,8,0)</f>
        <v>Atender con enfoque diferencial a las ninas y ninos desde la gestacion a traves del servicio social Creciendo en Familia en la Ruralidad, generando en ellos espacios protectores para un crecimiento y desarrollo en el marco de la garantia de</v>
      </c>
      <c r="J30" s="374">
        <v>2</v>
      </c>
      <c r="K30" s="373" t="s">
        <v>1016</v>
      </c>
      <c r="L30" s="290" t="s">
        <v>1015</v>
      </c>
      <c r="M30" s="291">
        <v>45306</v>
      </c>
      <c r="N30" s="291">
        <v>45443</v>
      </c>
      <c r="O30" s="264" t="s">
        <v>844</v>
      </c>
      <c r="P30" s="304">
        <v>0.4</v>
      </c>
      <c r="Q30"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30"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S30"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0.12</v>
      </c>
      <c r="T30"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0.12</v>
      </c>
      <c r="U30"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0.16000000000000003</v>
      </c>
      <c r="V30"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30"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30"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30"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30"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30"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30"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30" s="285">
        <f>+SUM(Tareas[[#This Row],[Programación Plan de actividades
Enero]:[Programación Plan de actividades
Diciembre]])</f>
        <v>0.4</v>
      </c>
      <c r="AD30" s="383"/>
      <c r="AE30" s="383"/>
      <c r="AF30" s="383"/>
      <c r="AG30" s="383"/>
      <c r="AH30" s="383"/>
      <c r="AI30" s="292"/>
      <c r="AJ30" s="292"/>
      <c r="AK30" s="292"/>
      <c r="AL30" s="292"/>
      <c r="AM30" s="292"/>
      <c r="AN30" s="292"/>
      <c r="AO30" s="292"/>
      <c r="AP30" s="375">
        <f>SUM(Tareas[[#This Row],[Población programada enero]:[Población programada diciembre]])</f>
        <v>0</v>
      </c>
      <c r="AQ30"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30"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30"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30"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30"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30"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30"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30"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30"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30"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30"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30"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30" s="285">
        <f>+SUM(Tareas[[#This Row],[Ejecución Plan de actividades
Enero]:[Ejecución Plan de actividades
Diciembre]])</f>
        <v>0</v>
      </c>
      <c r="BD30" s="269"/>
      <c r="BE30" s="269"/>
      <c r="BF30" s="269"/>
      <c r="BG30" s="269"/>
      <c r="BH30" s="269"/>
      <c r="BI30" s="269"/>
      <c r="BJ30" s="269"/>
      <c r="BK30" s="269"/>
      <c r="BL30" s="269"/>
      <c r="BM30" s="269"/>
      <c r="BN30" s="269"/>
      <c r="BO30" s="269"/>
      <c r="BP30" s="271">
        <f>SUM(Tareas[[#This Row],[Población atendida enero]:[Población atendida diciembre]])</f>
        <v>0</v>
      </c>
      <c r="BQ30" s="294">
        <f>IFERROR(Tareas[[#This Row],[Total Ejecutado plan de actividades]]/Tareas[[#This Row],[Total programado plan de actividades]],"No Programado")</f>
        <v>0</v>
      </c>
      <c r="BR30" s="294" t="str">
        <f>IFERROR(Tareas[[#This Row],[Total  de Población atendida]]/Tareas[[#This Row],[Total  de Población programada]],"No Aplica")</f>
        <v>No Aplica</v>
      </c>
      <c r="BS30" s="295"/>
    </row>
    <row r="31" spans="1:71" s="149" customFormat="1" ht="124.2" x14ac:dyDescent="0.35">
      <c r="A31" s="228" t="str">
        <f>Tareas[[#This Row],[Código proyecto]]&amp;Tareas[[#This Row],[No Meta proyecto]]</f>
        <v>77442</v>
      </c>
      <c r="B31" s="228" t="str">
        <f>Tareas[[#This Row],[Código proyecto]]&amp;Tareas[[#This Row],[No Meta proyecto]]&amp;Tareas[[#This Row],[N° de Actividad
(Consecutivo por meta)]]</f>
        <v>774428</v>
      </c>
      <c r="C31" s="11" t="str">
        <f>Tareas[[#This Row],[Código proyecto]]&amp;Tareas[[#This Row],[No Meta proyecto]]&amp;Tareas[[#This Row],[N° de Actividad
(Consecutivo por meta)]]&amp;Tareas[[#This Row],[N° de tarea]]</f>
        <v>7744281</v>
      </c>
      <c r="D31" s="11">
        <f>Proyecto!$B$19</f>
        <v>7744</v>
      </c>
      <c r="E31" s="11" t="str">
        <f>Proyecto!$D$19</f>
        <v>Generación de Oportunidades para el Desarrollo Integral de la Niñez y la Adolescencia de Bogotá</v>
      </c>
      <c r="F31" s="374">
        <v>2</v>
      </c>
      <c r="G31" s="11" t="str">
        <f>VLOOKUP(A33,ESTRATÉGICO!$C$3:$AA$110,14,0)</f>
        <v xml:space="preserve">Atender a 20700 niñas niños y adolescentes con discapacidad, alteraciones en el desarrollo, restricciones médicas, pertenecientes a grupos étnicos y víctimas por el conflicto armado con enfoque diferencial y de género </v>
      </c>
      <c r="H31" s="374">
        <v>8</v>
      </c>
      <c r="I31" s="11" t="str">
        <f>VLOOKUP(B31,Actividades!$B$18:$I$35,8,0)</f>
        <v>Implementar y flexibilizar la estrategia de Salas Amigas de la Familia Lactante, con el fin de generar una cultura de la lactancia desde la gestacion y su practica segura en los diferentes entornos.</v>
      </c>
      <c r="J31" s="374">
        <v>1</v>
      </c>
      <c r="K31" s="373" t="s">
        <v>1017</v>
      </c>
      <c r="L31" s="290" t="s">
        <v>1018</v>
      </c>
      <c r="M31" s="291">
        <v>45306</v>
      </c>
      <c r="N31" s="291">
        <v>45443</v>
      </c>
      <c r="O31" s="264" t="s">
        <v>844</v>
      </c>
      <c r="P31" s="304">
        <v>0.5</v>
      </c>
      <c r="Q31"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31"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0.125</v>
      </c>
      <c r="S31"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0.125</v>
      </c>
      <c r="T31"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0.125</v>
      </c>
      <c r="U31"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0.125</v>
      </c>
      <c r="V31"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31"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31"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31"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31"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31"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31"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31" s="285">
        <f>+SUM(Tareas[[#This Row],[Programación Plan de actividades
Enero]:[Programación Plan de actividades
Diciembre]])</f>
        <v>0.5</v>
      </c>
      <c r="AD31" s="383"/>
      <c r="AE31" s="383"/>
      <c r="AF31" s="383"/>
      <c r="AG31" s="383"/>
      <c r="AH31" s="383"/>
      <c r="AI31" s="292"/>
      <c r="AJ31" s="292"/>
      <c r="AK31" s="292"/>
      <c r="AL31" s="292"/>
      <c r="AM31" s="292"/>
      <c r="AN31" s="292"/>
      <c r="AO31" s="292"/>
      <c r="AP31" s="375">
        <f>SUM(Tareas[[#This Row],[Población programada enero]:[Población programada diciembre]])</f>
        <v>0</v>
      </c>
      <c r="AQ31"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31"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31"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31"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31"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31"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31"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31"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31"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31"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31"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31"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31" s="285">
        <f>+SUM(Tareas[[#This Row],[Ejecución Plan de actividades
Enero]:[Ejecución Plan de actividades
Diciembre]])</f>
        <v>0</v>
      </c>
      <c r="BD31" s="269"/>
      <c r="BE31" s="269"/>
      <c r="BF31" s="269"/>
      <c r="BG31" s="269"/>
      <c r="BH31" s="269"/>
      <c r="BI31" s="269"/>
      <c r="BJ31" s="269"/>
      <c r="BK31" s="269"/>
      <c r="BL31" s="269"/>
      <c r="BM31" s="269"/>
      <c r="BN31" s="269"/>
      <c r="BO31" s="269"/>
      <c r="BP31" s="271">
        <f>SUM(Tareas[[#This Row],[Población atendida enero]:[Población atendida diciembre]])</f>
        <v>0</v>
      </c>
      <c r="BQ31" s="294">
        <f>IFERROR(Tareas[[#This Row],[Total Ejecutado plan de actividades]]/Tareas[[#This Row],[Total programado plan de actividades]],"No Programado")</f>
        <v>0</v>
      </c>
      <c r="BR31" s="294" t="str">
        <f>IFERROR(Tareas[[#This Row],[Total  de Población atendida]]/Tareas[[#This Row],[Total  de Población programada]],"No Aplica")</f>
        <v>No Aplica</v>
      </c>
      <c r="BS31" s="295"/>
    </row>
    <row r="32" spans="1:71" s="149" customFormat="1" ht="96.6" x14ac:dyDescent="0.35">
      <c r="A32" s="228" t="str">
        <f>Tareas[[#This Row],[Código proyecto]]&amp;Tareas[[#This Row],[No Meta proyecto]]</f>
        <v>77442</v>
      </c>
      <c r="B32" s="228" t="str">
        <f>Tareas[[#This Row],[Código proyecto]]&amp;Tareas[[#This Row],[No Meta proyecto]]&amp;Tareas[[#This Row],[N° de Actividad
(Consecutivo por meta)]]</f>
        <v>774428</v>
      </c>
      <c r="C32" s="11" t="str">
        <f>Tareas[[#This Row],[Código proyecto]]&amp;Tareas[[#This Row],[No Meta proyecto]]&amp;Tareas[[#This Row],[N° de Actividad
(Consecutivo por meta)]]&amp;Tareas[[#This Row],[N° de tarea]]</f>
        <v>7744282</v>
      </c>
      <c r="D32" s="11">
        <f>Proyecto!$B$19</f>
        <v>7744</v>
      </c>
      <c r="E32" s="11" t="str">
        <f>Proyecto!$D$19</f>
        <v>Generación de Oportunidades para el Desarrollo Integral de la Niñez y la Adolescencia de Bogotá</v>
      </c>
      <c r="F32" s="374">
        <v>2</v>
      </c>
      <c r="G32" s="11" t="str">
        <f>VLOOKUP(A34,ESTRATÉGICO!$C$3:$AA$110,14,0)</f>
        <v xml:space="preserve">Atender a 20700 niñas niños y adolescentes con discapacidad, alteraciones en el desarrollo, restricciones médicas, pertenecientes a grupos étnicos y víctimas por el conflicto armado con enfoque diferencial y de género </v>
      </c>
      <c r="H32" s="374">
        <v>8</v>
      </c>
      <c r="I32" s="11" t="str">
        <f>VLOOKUP(B32,Actividades!$B$18:$I$35,8,0)</f>
        <v>Implementar y flexibilizar la estrategia de Salas Amigas de la Familia Lactante, con el fin de generar una cultura de la lactancia desde la gestacion y su practica segura en los diferentes entornos.</v>
      </c>
      <c r="J32" s="374">
        <v>2</v>
      </c>
      <c r="K32" s="373" t="s">
        <v>1019</v>
      </c>
      <c r="L32" s="290" t="s">
        <v>1018</v>
      </c>
      <c r="M32" s="291">
        <v>45306</v>
      </c>
      <c r="N32" s="291">
        <v>45443</v>
      </c>
      <c r="O32" s="264" t="s">
        <v>844</v>
      </c>
      <c r="P32" s="304">
        <v>0.5</v>
      </c>
      <c r="Q32"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32"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0.1</v>
      </c>
      <c r="S32"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0.15</v>
      </c>
      <c r="T32"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0.25</v>
      </c>
      <c r="U32"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V32"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32"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32"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32"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32"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32"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32"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32" s="285">
        <f>+SUM(Tareas[[#This Row],[Programación Plan de actividades
Enero]:[Programación Plan de actividades
Diciembre]])</f>
        <v>0.5</v>
      </c>
      <c r="AD32" s="383"/>
      <c r="AE32" s="383"/>
      <c r="AF32" s="383"/>
      <c r="AG32" s="383"/>
      <c r="AH32" s="383"/>
      <c r="AI32" s="292"/>
      <c r="AJ32" s="292"/>
      <c r="AK32" s="292"/>
      <c r="AL32" s="292"/>
      <c r="AM32" s="292"/>
      <c r="AN32" s="292"/>
      <c r="AO32" s="292"/>
      <c r="AP32" s="375">
        <f>SUM(Tareas[[#This Row],[Población programada enero]:[Población programada diciembre]])</f>
        <v>0</v>
      </c>
      <c r="AQ32"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32"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32"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32"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32"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32"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32"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32"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32"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32"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32"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32"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32" s="285">
        <f>+SUM(Tareas[[#This Row],[Ejecución Plan de actividades
Enero]:[Ejecución Plan de actividades
Diciembre]])</f>
        <v>0</v>
      </c>
      <c r="BD32" s="269"/>
      <c r="BE32" s="269"/>
      <c r="BF32" s="269"/>
      <c r="BG32" s="269"/>
      <c r="BH32" s="269"/>
      <c r="BI32" s="269"/>
      <c r="BJ32" s="269"/>
      <c r="BK32" s="269"/>
      <c r="BL32" s="269"/>
      <c r="BM32" s="269"/>
      <c r="BN32" s="269"/>
      <c r="BO32" s="269"/>
      <c r="BP32" s="271">
        <f>SUM(Tareas[[#This Row],[Población atendida enero]:[Población atendida diciembre]])</f>
        <v>0</v>
      </c>
      <c r="BQ32" s="294">
        <f>IFERROR(Tareas[[#This Row],[Total Ejecutado plan de actividades]]/Tareas[[#This Row],[Total programado plan de actividades]],"No Programado")</f>
        <v>0</v>
      </c>
      <c r="BR32" s="294" t="str">
        <f>IFERROR(Tareas[[#This Row],[Total  de Población atendida]]/Tareas[[#This Row],[Total  de Población programada]],"No Aplica")</f>
        <v>No Aplica</v>
      </c>
      <c r="BS32" s="295"/>
    </row>
    <row r="33" spans="1:71" s="149" customFormat="1" ht="96.6" x14ac:dyDescent="0.35">
      <c r="A33" s="228" t="str">
        <f>Tareas[[#This Row],[Código proyecto]]&amp;Tareas[[#This Row],[No Meta proyecto]]</f>
        <v>77443</v>
      </c>
      <c r="B33" s="228" t="str">
        <f>Tareas[[#This Row],[Código proyecto]]&amp;Tareas[[#This Row],[No Meta proyecto]]&amp;Tareas[[#This Row],[N° de Actividad
(Consecutivo por meta)]]</f>
        <v>774431</v>
      </c>
      <c r="C33" s="11" t="str">
        <f>Tareas[[#This Row],[Código proyecto]]&amp;Tareas[[#This Row],[No Meta proyecto]]&amp;Tareas[[#This Row],[N° de Actividad
(Consecutivo por meta)]]&amp;Tareas[[#This Row],[N° de tarea]]</f>
        <v>7744311</v>
      </c>
      <c r="D33" s="11">
        <f>Proyecto!$B$19</f>
        <v>7744</v>
      </c>
      <c r="E33" s="11" t="str">
        <f>Proyecto!$D$19</f>
        <v>Generación de Oportunidades para el Desarrollo Integral de la Niñez y la Adolescencia de Bogotá</v>
      </c>
      <c r="F33" s="374">
        <v>3</v>
      </c>
      <c r="G33" s="11" t="str">
        <f>VLOOKUP(A33,ESTRATÉGICO!$C$3:$AA$110,14,0)</f>
        <v xml:space="preserve">Atender a 20700 niñas niños y adolescentes con discapacidad, alteraciones en el desarrollo, restricciones médicas, pertenecientes a grupos étnicos y víctimas por el conflicto armado con enfoque diferencial y de género </v>
      </c>
      <c r="H33" s="374">
        <v>1</v>
      </c>
      <c r="I33" s="11" t="str">
        <f>VLOOKUP(B33,Actividades!$B$18:$I$35,8,0)</f>
        <v>Transversalizar el enfoque diferencial y de genero en atencion de ninas, ninos y adolescentes.</v>
      </c>
      <c r="J33" s="374">
        <v>1</v>
      </c>
      <c r="K33" s="373" t="s">
        <v>1362</v>
      </c>
      <c r="L33" s="290" t="s">
        <v>1020</v>
      </c>
      <c r="M33" s="291">
        <v>45306</v>
      </c>
      <c r="N33" s="291">
        <v>45443</v>
      </c>
      <c r="O33" s="280" t="s">
        <v>844</v>
      </c>
      <c r="P33" s="304">
        <v>0.3</v>
      </c>
      <c r="Q33"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33"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0.06</v>
      </c>
      <c r="S33"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0.09</v>
      </c>
      <c r="T33"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0.06</v>
      </c>
      <c r="U33"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0.09</v>
      </c>
      <c r="V33"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33"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33"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33"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33"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33"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33"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33" s="285">
        <f>+SUM(Tareas[[#This Row],[Programación Plan de actividades
Enero]:[Programación Plan de actividades
Diciembre]])</f>
        <v>0.3</v>
      </c>
      <c r="AD33" s="383"/>
      <c r="AE33" s="383"/>
      <c r="AF33" s="383"/>
      <c r="AG33" s="383"/>
      <c r="AH33" s="383"/>
      <c r="AI33" s="292"/>
      <c r="AJ33" s="292"/>
      <c r="AK33" s="292"/>
      <c r="AL33" s="292"/>
      <c r="AM33" s="292"/>
      <c r="AN33" s="292"/>
      <c r="AO33" s="292"/>
      <c r="AP33" s="375">
        <f>SUM(Tareas[[#This Row],[Población programada enero]:[Población programada diciembre]])</f>
        <v>0</v>
      </c>
      <c r="AQ33"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33"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33"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33"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33"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33"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33"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33"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33"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33"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33"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33"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33" s="285">
        <f>+SUM(Tareas[[#This Row],[Ejecución Plan de actividades
Enero]:[Ejecución Plan de actividades
Diciembre]])</f>
        <v>0</v>
      </c>
      <c r="BD33" s="269"/>
      <c r="BE33" s="269"/>
      <c r="BF33" s="269"/>
      <c r="BG33" s="269"/>
      <c r="BH33" s="269"/>
      <c r="BI33" s="269"/>
      <c r="BJ33" s="269"/>
      <c r="BK33" s="269"/>
      <c r="BL33" s="269"/>
      <c r="BM33" s="269"/>
      <c r="BN33" s="269"/>
      <c r="BO33" s="269"/>
      <c r="BP33" s="271">
        <f>SUM(Tareas[[#This Row],[Población atendida enero]:[Población atendida diciembre]])</f>
        <v>0</v>
      </c>
      <c r="BQ33" s="294">
        <f>IFERROR(Tareas[[#This Row],[Total Ejecutado plan de actividades]]/Tareas[[#This Row],[Total programado plan de actividades]],"No Programado")</f>
        <v>0</v>
      </c>
      <c r="BR33" s="294" t="str">
        <f>IFERROR(Tareas[[#This Row],[Total  de Población atendida]]/Tareas[[#This Row],[Total  de Población programada]],"No Aplica")</f>
        <v>No Aplica</v>
      </c>
      <c r="BS33" s="295"/>
    </row>
    <row r="34" spans="1:71" s="149" customFormat="1" ht="96.6" x14ac:dyDescent="0.35">
      <c r="A34" s="228" t="str">
        <f>Tareas[[#This Row],[Código proyecto]]&amp;Tareas[[#This Row],[No Meta proyecto]]</f>
        <v>77443</v>
      </c>
      <c r="B34" s="228" t="str">
        <f>Tareas[[#This Row],[Código proyecto]]&amp;Tareas[[#This Row],[No Meta proyecto]]&amp;Tareas[[#This Row],[N° de Actividad
(Consecutivo por meta)]]</f>
        <v>774431</v>
      </c>
      <c r="C34" s="11" t="str">
        <f>Tareas[[#This Row],[Código proyecto]]&amp;Tareas[[#This Row],[No Meta proyecto]]&amp;Tareas[[#This Row],[N° de Actividad
(Consecutivo por meta)]]&amp;Tareas[[#This Row],[N° de tarea]]</f>
        <v>7744312</v>
      </c>
      <c r="D34" s="11">
        <f>Proyecto!$B$19</f>
        <v>7744</v>
      </c>
      <c r="E34" s="11" t="str">
        <f>Proyecto!$D$19</f>
        <v>Generación de Oportunidades para el Desarrollo Integral de la Niñez y la Adolescencia de Bogotá</v>
      </c>
      <c r="F34" s="374">
        <v>3</v>
      </c>
      <c r="G34" s="11" t="str">
        <f>VLOOKUP(A34,ESTRATÉGICO!$C$3:$AA$110,14,0)</f>
        <v xml:space="preserve">Atender a 20700 niñas niños y adolescentes con discapacidad, alteraciones en el desarrollo, restricciones médicas, pertenecientes a grupos étnicos y víctimas por el conflicto armado con enfoque diferencial y de género </v>
      </c>
      <c r="H34" s="374">
        <v>1</v>
      </c>
      <c r="I34" s="11" t="str">
        <f>VLOOKUP(B34,Actividades!$B$18:$I$35,8,0)</f>
        <v>Transversalizar el enfoque diferencial y de genero en atencion de ninas, ninos y adolescentes.</v>
      </c>
      <c r="J34" s="374">
        <v>2</v>
      </c>
      <c r="K34" s="373" t="s">
        <v>1363</v>
      </c>
      <c r="L34" s="290" t="s">
        <v>1020</v>
      </c>
      <c r="M34" s="291">
        <v>45306</v>
      </c>
      <c r="N34" s="291">
        <v>45443</v>
      </c>
      <c r="O34" s="280" t="s">
        <v>844</v>
      </c>
      <c r="P34" s="304">
        <v>0.3</v>
      </c>
      <c r="Q34"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34"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0.06</v>
      </c>
      <c r="S34"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0.09</v>
      </c>
      <c r="T34"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0.06</v>
      </c>
      <c r="U34"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0.09</v>
      </c>
      <c r="V34"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34"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34"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34"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34"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34"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34"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34" s="285">
        <f>+SUM(Tareas[[#This Row],[Programación Plan de actividades
Enero]:[Programación Plan de actividades
Diciembre]])</f>
        <v>0.3</v>
      </c>
      <c r="AD34" s="383"/>
      <c r="AE34" s="383"/>
      <c r="AF34" s="383"/>
      <c r="AG34" s="383"/>
      <c r="AH34" s="383"/>
      <c r="AI34" s="292"/>
      <c r="AJ34" s="292"/>
      <c r="AK34" s="292"/>
      <c r="AL34" s="292"/>
      <c r="AM34" s="292"/>
      <c r="AN34" s="292"/>
      <c r="AO34" s="292"/>
      <c r="AP34" s="375">
        <f>SUM(Tareas[[#This Row],[Población programada enero]:[Población programada diciembre]])</f>
        <v>0</v>
      </c>
      <c r="AQ34"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34"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34"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34"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34"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34"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34"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34"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34"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34"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34"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34"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34" s="285">
        <f>+SUM(Tareas[[#This Row],[Ejecución Plan de actividades
Enero]:[Ejecución Plan de actividades
Diciembre]])</f>
        <v>0</v>
      </c>
      <c r="BD34" s="269"/>
      <c r="BE34" s="269"/>
      <c r="BF34" s="269"/>
      <c r="BG34" s="269"/>
      <c r="BH34" s="269"/>
      <c r="BI34" s="269"/>
      <c r="BJ34" s="269"/>
      <c r="BK34" s="269"/>
      <c r="BL34" s="269"/>
      <c r="BM34" s="269"/>
      <c r="BN34" s="269"/>
      <c r="BO34" s="269"/>
      <c r="BP34" s="271">
        <f>SUM(Tareas[[#This Row],[Población atendida enero]:[Población atendida diciembre]])</f>
        <v>0</v>
      </c>
      <c r="BQ34" s="294">
        <f>IFERROR(Tareas[[#This Row],[Total Ejecutado plan de actividades]]/Tareas[[#This Row],[Total programado plan de actividades]],"No Programado")</f>
        <v>0</v>
      </c>
      <c r="BR34" s="294" t="str">
        <f>IFERROR(Tareas[[#This Row],[Total  de Población atendida]]/Tareas[[#This Row],[Total  de Población programada]],"No Aplica")</f>
        <v>No Aplica</v>
      </c>
      <c r="BS34" s="295"/>
    </row>
    <row r="35" spans="1:71" s="149" customFormat="1" ht="110.4" x14ac:dyDescent="0.35">
      <c r="A35" s="228" t="str">
        <f>Tareas[[#This Row],[Código proyecto]]&amp;Tareas[[#This Row],[No Meta proyecto]]</f>
        <v>77443</v>
      </c>
      <c r="B35" s="228" t="str">
        <f>Tareas[[#This Row],[Código proyecto]]&amp;Tareas[[#This Row],[No Meta proyecto]]&amp;Tareas[[#This Row],[N° de Actividad
(Consecutivo por meta)]]</f>
        <v>774431</v>
      </c>
      <c r="C35" s="11" t="str">
        <f>Tareas[[#This Row],[Código proyecto]]&amp;Tareas[[#This Row],[No Meta proyecto]]&amp;Tareas[[#This Row],[N° de Actividad
(Consecutivo por meta)]]&amp;Tareas[[#This Row],[N° de tarea]]</f>
        <v>7744313</v>
      </c>
      <c r="D35" s="11">
        <f>Proyecto!$B$19</f>
        <v>7744</v>
      </c>
      <c r="E35" s="11" t="str">
        <f>Proyecto!$D$19</f>
        <v>Generación de Oportunidades para el Desarrollo Integral de la Niñez y la Adolescencia de Bogotá</v>
      </c>
      <c r="F35" s="374">
        <v>3</v>
      </c>
      <c r="G35" s="11" t="str">
        <f>VLOOKUP(A35,ESTRATÉGICO!$C$3:$AA$110,14,0)</f>
        <v xml:space="preserve">Atender a 20700 niñas niños y adolescentes con discapacidad, alteraciones en el desarrollo, restricciones médicas, pertenecientes a grupos étnicos y víctimas por el conflicto armado con enfoque diferencial y de género </v>
      </c>
      <c r="H35" s="374">
        <v>1</v>
      </c>
      <c r="I35" s="11" t="str">
        <f>VLOOKUP(B35,Actividades!$B$18:$I$35,8,0)</f>
        <v>Transversalizar el enfoque diferencial y de genero en atencion de ninas, ninos y adolescentes.</v>
      </c>
      <c r="J35" s="374">
        <v>3</v>
      </c>
      <c r="K35" s="373" t="s">
        <v>1021</v>
      </c>
      <c r="L35" s="290" t="s">
        <v>1020</v>
      </c>
      <c r="M35" s="291">
        <v>45306</v>
      </c>
      <c r="N35" s="291">
        <v>45443</v>
      </c>
      <c r="O35" s="264" t="s">
        <v>844</v>
      </c>
      <c r="P35" s="304">
        <v>0.4</v>
      </c>
      <c r="Q35"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35"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8.0000000000000016E-2</v>
      </c>
      <c r="S35"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0.12</v>
      </c>
      <c r="T35"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8.0000000000000016E-2</v>
      </c>
      <c r="U35"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0.12</v>
      </c>
      <c r="V35"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35"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35"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35"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35"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35"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35"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35" s="285">
        <f>+SUM(Tareas[[#This Row],[Programación Plan de actividades
Enero]:[Programación Plan de actividades
Diciembre]])</f>
        <v>0.4</v>
      </c>
      <c r="AD35" s="383"/>
      <c r="AE35" s="383"/>
      <c r="AF35" s="383"/>
      <c r="AG35" s="383"/>
      <c r="AH35" s="383"/>
      <c r="AI35" s="292"/>
      <c r="AJ35" s="292"/>
      <c r="AK35" s="292"/>
      <c r="AL35" s="292"/>
      <c r="AM35" s="292"/>
      <c r="AN35" s="292"/>
      <c r="AO35" s="292"/>
      <c r="AP35" s="375">
        <f>SUM(Tareas[[#This Row],[Población programada enero]:[Población programada diciembre]])</f>
        <v>0</v>
      </c>
      <c r="AQ35"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35"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35"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35"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35"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35"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35"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35"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35"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35"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35"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35"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35" s="285">
        <f>+SUM(Tareas[[#This Row],[Ejecución Plan de actividades
Enero]:[Ejecución Plan de actividades
Diciembre]])</f>
        <v>0</v>
      </c>
      <c r="BD35" s="269"/>
      <c r="BE35" s="269"/>
      <c r="BF35" s="269"/>
      <c r="BG35" s="269"/>
      <c r="BH35" s="269"/>
      <c r="BI35" s="269"/>
      <c r="BJ35" s="269"/>
      <c r="BK35" s="269"/>
      <c r="BL35" s="269"/>
      <c r="BM35" s="269"/>
      <c r="BN35" s="269"/>
      <c r="BO35" s="269"/>
      <c r="BP35" s="271">
        <f>SUM(Tareas[[#This Row],[Población atendida enero]:[Población atendida diciembre]])</f>
        <v>0</v>
      </c>
      <c r="BQ35" s="294">
        <f>IFERROR(Tareas[[#This Row],[Total Ejecutado plan de actividades]]/Tareas[[#This Row],[Total programado plan de actividades]],"No Programado")</f>
        <v>0</v>
      </c>
      <c r="BR35" s="294" t="str">
        <f>IFERROR(Tareas[[#This Row],[Total  de Población atendida]]/Tareas[[#This Row],[Total  de Población programada]],"No Aplica")</f>
        <v>No Aplica</v>
      </c>
      <c r="BS35" s="295"/>
    </row>
    <row r="36" spans="1:71" s="149" customFormat="1" ht="96.6" x14ac:dyDescent="0.35">
      <c r="A36" s="228" t="str">
        <f>Tareas[[#This Row],[Código proyecto]]&amp;Tareas[[#This Row],[No Meta proyecto]]</f>
        <v>77443</v>
      </c>
      <c r="B36" s="228" t="str">
        <f>Tareas[[#This Row],[Código proyecto]]&amp;Tareas[[#This Row],[No Meta proyecto]]&amp;Tareas[[#This Row],[N° de Actividad
(Consecutivo por meta)]]</f>
        <v>774432</v>
      </c>
      <c r="C36" s="11" t="str">
        <f>Tareas[[#This Row],[Código proyecto]]&amp;Tareas[[#This Row],[No Meta proyecto]]&amp;Tareas[[#This Row],[N° de Actividad
(Consecutivo por meta)]]&amp;Tareas[[#This Row],[N° de tarea]]</f>
        <v>7744321</v>
      </c>
      <c r="D36" s="11">
        <f>Proyecto!$B$19</f>
        <v>7744</v>
      </c>
      <c r="E36" s="11" t="str">
        <f>Proyecto!$D$19</f>
        <v>Generación de Oportunidades para el Desarrollo Integral de la Niñez y la Adolescencia de Bogotá</v>
      </c>
      <c r="F36" s="374">
        <v>3</v>
      </c>
      <c r="G36" s="11" t="str">
        <f>VLOOKUP(A36,ESTRATÉGICO!$C$3:$AA$110,14,0)</f>
        <v xml:space="preserve">Atender a 20700 niñas niños y adolescentes con discapacidad, alteraciones en el desarrollo, restricciones médicas, pertenecientes a grupos étnicos y víctimas por el conflicto armado con enfoque diferencial y de género </v>
      </c>
      <c r="H36" s="374">
        <v>2</v>
      </c>
      <c r="I36" s="11" t="str">
        <f>VLOOKUP(B36,Actividades!$B$18:$I$35,8,0)</f>
        <v>Fortalecer los procesos de inclusion de las ninas, ninos y adolescentes con alteraciones en el desarrollo, restricciones medicas y discapacidad, para el goce efectivo de sus derechos.</v>
      </c>
      <c r="J36" s="374">
        <v>1</v>
      </c>
      <c r="K36" s="373" t="s">
        <v>1022</v>
      </c>
      <c r="L36" s="290" t="s">
        <v>1020</v>
      </c>
      <c r="M36" s="291">
        <v>45306</v>
      </c>
      <c r="N36" s="291">
        <v>45443</v>
      </c>
      <c r="O36" s="264" t="s">
        <v>843</v>
      </c>
      <c r="P36" s="304">
        <v>0.6</v>
      </c>
      <c r="Q36"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36"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0.12</v>
      </c>
      <c r="S36"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0.18</v>
      </c>
      <c r="T36"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0.12</v>
      </c>
      <c r="U36"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0.18</v>
      </c>
      <c r="V36"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36"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36"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36"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36"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36"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36"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36" s="285">
        <f>+SUM(Tareas[[#This Row],[Programación Plan de actividades
Enero]:[Programación Plan de actividades
Diciembre]])</f>
        <v>0.6</v>
      </c>
      <c r="AD36" s="382">
        <v>1884</v>
      </c>
      <c r="AE36" s="382">
        <v>1278</v>
      </c>
      <c r="AF36" s="382">
        <v>1628</v>
      </c>
      <c r="AG36" s="382">
        <v>1155</v>
      </c>
      <c r="AH36" s="382">
        <v>1115</v>
      </c>
      <c r="AI36" s="292"/>
      <c r="AJ36" s="292"/>
      <c r="AK36" s="292"/>
      <c r="AL36" s="292"/>
      <c r="AM36" s="292"/>
      <c r="AN36" s="292"/>
      <c r="AO36" s="292"/>
      <c r="AP36" s="375">
        <f>SUM(Tareas[[#This Row],[Población programada enero]:[Población programada diciembre]])</f>
        <v>7060</v>
      </c>
      <c r="AQ36"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36"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36"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36"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36"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36"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36"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36"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36"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36"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36"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36"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36" s="285">
        <f>+SUM(Tareas[[#This Row],[Ejecución Plan de actividades
Enero]:[Ejecución Plan de actividades
Diciembre]])</f>
        <v>0</v>
      </c>
      <c r="BD36" s="269"/>
      <c r="BE36" s="269"/>
      <c r="BF36" s="269"/>
      <c r="BG36" s="269"/>
      <c r="BH36" s="269"/>
      <c r="BI36" s="269"/>
      <c r="BJ36" s="269"/>
      <c r="BK36" s="269"/>
      <c r="BL36" s="269"/>
      <c r="BM36" s="269"/>
      <c r="BN36" s="269"/>
      <c r="BO36" s="269"/>
      <c r="BP36" s="271">
        <f>SUM(Tareas[[#This Row],[Población atendida enero]:[Población atendida diciembre]])</f>
        <v>0</v>
      </c>
      <c r="BQ36" s="294">
        <f>IFERROR(Tareas[[#This Row],[Total Ejecutado plan de actividades]]/Tareas[[#This Row],[Total programado plan de actividades]],"No Programado")</f>
        <v>0</v>
      </c>
      <c r="BR36" s="294">
        <f>IFERROR(Tareas[[#This Row],[Total  de Población atendida]]/Tareas[[#This Row],[Total  de Población programada]],"No Aplica")</f>
        <v>0</v>
      </c>
      <c r="BS36" s="295"/>
    </row>
    <row r="37" spans="1:71" s="149" customFormat="1" ht="96.6" x14ac:dyDescent="0.35">
      <c r="A37" s="228" t="str">
        <f>Tareas[[#This Row],[Código proyecto]]&amp;Tareas[[#This Row],[No Meta proyecto]]</f>
        <v>77443</v>
      </c>
      <c r="B37" s="228" t="str">
        <f>Tareas[[#This Row],[Código proyecto]]&amp;Tareas[[#This Row],[No Meta proyecto]]&amp;Tareas[[#This Row],[N° de Actividad
(Consecutivo por meta)]]</f>
        <v>774432</v>
      </c>
      <c r="C37" s="11" t="str">
        <f>Tareas[[#This Row],[Código proyecto]]&amp;Tareas[[#This Row],[No Meta proyecto]]&amp;Tareas[[#This Row],[N° de Actividad
(Consecutivo por meta)]]&amp;Tareas[[#This Row],[N° de tarea]]</f>
        <v>7744322</v>
      </c>
      <c r="D37" s="11">
        <f>Proyecto!$B$19</f>
        <v>7744</v>
      </c>
      <c r="E37" s="11" t="str">
        <f>Proyecto!$D$19</f>
        <v>Generación de Oportunidades para el Desarrollo Integral de la Niñez y la Adolescencia de Bogotá</v>
      </c>
      <c r="F37" s="374">
        <v>3</v>
      </c>
      <c r="G37" s="11" t="str">
        <f>VLOOKUP(A37,ESTRATÉGICO!$C$3:$AA$110,14,0)</f>
        <v xml:space="preserve">Atender a 20700 niñas niños y adolescentes con discapacidad, alteraciones en el desarrollo, restricciones médicas, pertenecientes a grupos étnicos y víctimas por el conflicto armado con enfoque diferencial y de género </v>
      </c>
      <c r="H37" s="374">
        <v>2</v>
      </c>
      <c r="I37" s="11" t="str">
        <f>VLOOKUP(B37,Actividades!$B$18:$I$35,8,0)</f>
        <v>Fortalecer los procesos de inclusion de las ninas, ninos y adolescentes con alteraciones en el desarrollo, restricciones medicas y discapacidad, para el goce efectivo de sus derechos.</v>
      </c>
      <c r="J37" s="374">
        <v>2</v>
      </c>
      <c r="K37" s="373" t="s">
        <v>1364</v>
      </c>
      <c r="L37" s="290" t="s">
        <v>1020</v>
      </c>
      <c r="M37" s="291">
        <v>45306</v>
      </c>
      <c r="N37" s="291">
        <v>45443</v>
      </c>
      <c r="O37" s="280" t="s">
        <v>844</v>
      </c>
      <c r="P37" s="304">
        <v>0.2</v>
      </c>
      <c r="Q37"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37"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4.0000000000000008E-2</v>
      </c>
      <c r="S37"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0.06</v>
      </c>
      <c r="T37"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4.0000000000000008E-2</v>
      </c>
      <c r="U37"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0.06</v>
      </c>
      <c r="V37"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37"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37"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37"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37"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37"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37"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37" s="285">
        <f>+SUM(Tareas[[#This Row],[Programación Plan de actividades
Enero]:[Programación Plan de actividades
Diciembre]])</f>
        <v>0.2</v>
      </c>
      <c r="AD37" s="383"/>
      <c r="AE37" s="383"/>
      <c r="AF37" s="383"/>
      <c r="AG37" s="383"/>
      <c r="AH37" s="383"/>
      <c r="AI37" s="292"/>
      <c r="AJ37" s="292"/>
      <c r="AK37" s="292"/>
      <c r="AL37" s="292"/>
      <c r="AM37" s="292"/>
      <c r="AN37" s="292"/>
      <c r="AO37" s="292"/>
      <c r="AP37" s="375">
        <f>SUM(Tareas[[#This Row],[Población programada enero]:[Población programada diciembre]])</f>
        <v>0</v>
      </c>
      <c r="AQ37"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37"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37"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37"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37"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37"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37"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37"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37"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37"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37"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37"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37" s="285">
        <f>+SUM(Tareas[[#This Row],[Ejecución Plan de actividades
Enero]:[Ejecución Plan de actividades
Diciembre]])</f>
        <v>0</v>
      </c>
      <c r="BD37" s="269"/>
      <c r="BE37" s="269"/>
      <c r="BF37" s="269"/>
      <c r="BG37" s="269"/>
      <c r="BH37" s="269"/>
      <c r="BI37" s="269"/>
      <c r="BJ37" s="269"/>
      <c r="BK37" s="269"/>
      <c r="BL37" s="269"/>
      <c r="BM37" s="269"/>
      <c r="BN37" s="269"/>
      <c r="BO37" s="269"/>
      <c r="BP37" s="271">
        <f>SUM(Tareas[[#This Row],[Población atendida enero]:[Población atendida diciembre]])</f>
        <v>0</v>
      </c>
      <c r="BQ37" s="294">
        <f>IFERROR(Tareas[[#This Row],[Total Ejecutado plan de actividades]]/Tareas[[#This Row],[Total programado plan de actividades]],"No Programado")</f>
        <v>0</v>
      </c>
      <c r="BR37" s="294" t="str">
        <f>IFERROR(Tareas[[#This Row],[Total  de Población atendida]]/Tareas[[#This Row],[Total  de Población programada]],"No Aplica")</f>
        <v>No Aplica</v>
      </c>
      <c r="BS37" s="295"/>
    </row>
    <row r="38" spans="1:71" s="149" customFormat="1" ht="96.6" x14ac:dyDescent="0.35">
      <c r="A38" s="228" t="str">
        <f>Tareas[[#This Row],[Código proyecto]]&amp;Tareas[[#This Row],[No Meta proyecto]]</f>
        <v>77443</v>
      </c>
      <c r="B38" s="228" t="str">
        <f>Tareas[[#This Row],[Código proyecto]]&amp;Tareas[[#This Row],[No Meta proyecto]]&amp;Tareas[[#This Row],[N° de Actividad
(Consecutivo por meta)]]</f>
        <v>774432</v>
      </c>
      <c r="C38" s="11" t="str">
        <f>Tareas[[#This Row],[Código proyecto]]&amp;Tareas[[#This Row],[No Meta proyecto]]&amp;Tareas[[#This Row],[N° de Actividad
(Consecutivo por meta)]]&amp;Tareas[[#This Row],[N° de tarea]]</f>
        <v>7744323</v>
      </c>
      <c r="D38" s="11">
        <f>Proyecto!$B$19</f>
        <v>7744</v>
      </c>
      <c r="E38" s="11" t="str">
        <f>Proyecto!$D$19</f>
        <v>Generación de Oportunidades para el Desarrollo Integral de la Niñez y la Adolescencia de Bogotá</v>
      </c>
      <c r="F38" s="374">
        <v>3</v>
      </c>
      <c r="G38" s="11" t="str">
        <f>VLOOKUP(A38,ESTRATÉGICO!$C$3:$AA$110,14,0)</f>
        <v xml:space="preserve">Atender a 20700 niñas niños y adolescentes con discapacidad, alteraciones en el desarrollo, restricciones médicas, pertenecientes a grupos étnicos y víctimas por el conflicto armado con enfoque diferencial y de género </v>
      </c>
      <c r="H38" s="374">
        <v>2</v>
      </c>
      <c r="I38" s="11" t="str">
        <f>VLOOKUP(B38,Actividades!$B$18:$I$35,8,0)</f>
        <v>Fortalecer los procesos de inclusion de las ninas, ninos y adolescentes con alteraciones en el desarrollo, restricciones medicas y discapacidad, para el goce efectivo de sus derechos.</v>
      </c>
      <c r="J38" s="374">
        <v>3</v>
      </c>
      <c r="K38" s="373" t="s">
        <v>1365</v>
      </c>
      <c r="L38" s="290" t="s">
        <v>1020</v>
      </c>
      <c r="M38" s="291">
        <v>45306</v>
      </c>
      <c r="N38" s="291">
        <v>45443</v>
      </c>
      <c r="O38" s="280" t="s">
        <v>844</v>
      </c>
      <c r="P38" s="304">
        <v>0.2</v>
      </c>
      <c r="Q38"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38"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4.0000000000000008E-2</v>
      </c>
      <c r="S38"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0.06</v>
      </c>
      <c r="T38"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4.0000000000000008E-2</v>
      </c>
      <c r="U38"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0.06</v>
      </c>
      <c r="V38"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38"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38"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38"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38"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38"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38"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38" s="285">
        <f>+SUM(Tareas[[#This Row],[Programación Plan de actividades
Enero]:[Programación Plan de actividades
Diciembre]])</f>
        <v>0.2</v>
      </c>
      <c r="AD38" s="383"/>
      <c r="AE38" s="383"/>
      <c r="AF38" s="383"/>
      <c r="AG38" s="383"/>
      <c r="AH38" s="383"/>
      <c r="AI38" s="292"/>
      <c r="AJ38" s="292"/>
      <c r="AK38" s="292"/>
      <c r="AL38" s="292"/>
      <c r="AM38" s="292"/>
      <c r="AN38" s="292"/>
      <c r="AO38" s="292"/>
      <c r="AP38" s="375">
        <f>SUM(Tareas[[#This Row],[Población programada enero]:[Población programada diciembre]])</f>
        <v>0</v>
      </c>
      <c r="AQ38"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38"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38"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38"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38"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38"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38"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38"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38"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38"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38"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38"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38" s="285">
        <f>+SUM(Tareas[[#This Row],[Ejecución Plan de actividades
Enero]:[Ejecución Plan de actividades
Diciembre]])</f>
        <v>0</v>
      </c>
      <c r="BD38" s="269"/>
      <c r="BE38" s="269"/>
      <c r="BF38" s="269"/>
      <c r="BG38" s="269"/>
      <c r="BH38" s="269"/>
      <c r="BI38" s="269"/>
      <c r="BJ38" s="269"/>
      <c r="BK38" s="269"/>
      <c r="BL38" s="269"/>
      <c r="BM38" s="269"/>
      <c r="BN38" s="269"/>
      <c r="BO38" s="269"/>
      <c r="BP38" s="271">
        <f>SUM(Tareas[[#This Row],[Población atendida enero]:[Población atendida diciembre]])</f>
        <v>0</v>
      </c>
      <c r="BQ38" s="294">
        <f>IFERROR(Tareas[[#This Row],[Total Ejecutado plan de actividades]]/Tareas[[#This Row],[Total programado plan de actividades]],"No Programado")</f>
        <v>0</v>
      </c>
      <c r="BR38" s="294" t="str">
        <f>IFERROR(Tareas[[#This Row],[Total  de Población atendida]]/Tareas[[#This Row],[Total  de Población programada]],"No Aplica")</f>
        <v>No Aplica</v>
      </c>
      <c r="BS38" s="295"/>
    </row>
    <row r="39" spans="1:71" s="149" customFormat="1" ht="124.2" x14ac:dyDescent="0.35">
      <c r="A39" s="228" t="str">
        <f>Tareas[[#This Row],[Código proyecto]]&amp;Tareas[[#This Row],[No Meta proyecto]]</f>
        <v>77443</v>
      </c>
      <c r="B39" s="228" t="str">
        <f>Tareas[[#This Row],[Código proyecto]]&amp;Tareas[[#This Row],[No Meta proyecto]]&amp;Tareas[[#This Row],[N° de Actividad
(Consecutivo por meta)]]</f>
        <v>774433</v>
      </c>
      <c r="C39" s="11" t="str">
        <f>Tareas[[#This Row],[Código proyecto]]&amp;Tareas[[#This Row],[No Meta proyecto]]&amp;Tareas[[#This Row],[N° de Actividad
(Consecutivo por meta)]]&amp;Tareas[[#This Row],[N° de tarea]]</f>
        <v>7744331</v>
      </c>
      <c r="D39" s="11">
        <f>Proyecto!$B$19</f>
        <v>7744</v>
      </c>
      <c r="E39" s="11" t="str">
        <f>Proyecto!$D$19</f>
        <v>Generación de Oportunidades para el Desarrollo Integral de la Niñez y la Adolescencia de Bogotá</v>
      </c>
      <c r="F39" s="374">
        <v>3</v>
      </c>
      <c r="G39" s="11" t="str">
        <f>VLOOKUP(A39,ESTRATÉGICO!$C$3:$AA$110,14,0)</f>
        <v xml:space="preserve">Atender a 20700 niñas niños y adolescentes con discapacidad, alteraciones en el desarrollo, restricciones médicas, pertenecientes a grupos étnicos y víctimas por el conflicto armado con enfoque diferencial y de género </v>
      </c>
      <c r="H39" s="374">
        <v>3</v>
      </c>
      <c r="I39" s="11" t="str">
        <f>VLOOKUP(B39,Actividades!$B$18:$I$35,8,0)</f>
        <v>Fortalecer los procesos de inclusion de las ninas, ninos y adolescentes pertenecientes a grupos etnicos, garantizando que sean incluyentes para el goce efectivo de sus derechos.</v>
      </c>
      <c r="J39" s="374">
        <v>1</v>
      </c>
      <c r="K39" s="373" t="s">
        <v>1023</v>
      </c>
      <c r="L39" s="290" t="s">
        <v>1020</v>
      </c>
      <c r="M39" s="291">
        <v>45306</v>
      </c>
      <c r="N39" s="291">
        <v>45443</v>
      </c>
      <c r="O39" s="264" t="s">
        <v>843</v>
      </c>
      <c r="P39" s="304">
        <v>0.4</v>
      </c>
      <c r="Q39"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39"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8.0000000000000016E-2</v>
      </c>
      <c r="S39"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0.12</v>
      </c>
      <c r="T39"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8.0000000000000016E-2</v>
      </c>
      <c r="U39"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0.12</v>
      </c>
      <c r="V39"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39"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39"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39"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39"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39"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39"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39" s="285">
        <f>+SUM(Tareas[[#This Row],[Programación Plan de actividades
Enero]:[Programación Plan de actividades
Diciembre]])</f>
        <v>0.4</v>
      </c>
      <c r="AD39" s="382">
        <v>1503</v>
      </c>
      <c r="AE39" s="382">
        <v>1203</v>
      </c>
      <c r="AF39" s="382">
        <v>1289</v>
      </c>
      <c r="AG39" s="382">
        <v>1190</v>
      </c>
      <c r="AH39" s="382">
        <v>1243</v>
      </c>
      <c r="AI39" s="292"/>
      <c r="AJ39" s="292"/>
      <c r="AK39" s="292"/>
      <c r="AL39" s="292"/>
      <c r="AM39" s="292"/>
      <c r="AN39" s="292"/>
      <c r="AO39" s="292"/>
      <c r="AP39" s="375">
        <f>SUM(Tareas[[#This Row],[Población programada enero]:[Población programada diciembre]])</f>
        <v>6428</v>
      </c>
      <c r="AQ39"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39"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39"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39"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39"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39"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39"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39"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39"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39"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39"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39"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39" s="285">
        <f>+SUM(Tareas[[#This Row],[Ejecución Plan de actividades
Enero]:[Ejecución Plan de actividades
Diciembre]])</f>
        <v>0</v>
      </c>
      <c r="BD39" s="292"/>
      <c r="BE39" s="292"/>
      <c r="BF39" s="292"/>
      <c r="BG39" s="292"/>
      <c r="BH39" s="292"/>
      <c r="BI39" s="292"/>
      <c r="BJ39" s="292"/>
      <c r="BK39" s="269"/>
      <c r="BL39" s="269"/>
      <c r="BM39" s="269"/>
      <c r="BN39" s="269"/>
      <c r="BO39" s="269"/>
      <c r="BP39" s="271">
        <f>SUM(Tareas[[#This Row],[Población atendida enero]:[Población atendida diciembre]])</f>
        <v>0</v>
      </c>
      <c r="BQ39" s="294">
        <f>IFERROR(Tareas[[#This Row],[Total Ejecutado plan de actividades]]/Tareas[[#This Row],[Total programado plan de actividades]],"No Programado")</f>
        <v>0</v>
      </c>
      <c r="BR39" s="294">
        <f>IFERROR(Tareas[[#This Row],[Total  de Población atendida]]/Tareas[[#This Row],[Total  de Población programada]],"No Aplica")</f>
        <v>0</v>
      </c>
      <c r="BS39" s="295"/>
    </row>
    <row r="40" spans="1:71" s="149" customFormat="1" ht="138" x14ac:dyDescent="0.35">
      <c r="A40" s="228" t="str">
        <f>Tareas[[#This Row],[Código proyecto]]&amp;Tareas[[#This Row],[No Meta proyecto]]</f>
        <v>77443</v>
      </c>
      <c r="B40" s="228" t="str">
        <f>Tareas[[#This Row],[Código proyecto]]&amp;Tareas[[#This Row],[No Meta proyecto]]&amp;Tareas[[#This Row],[N° de Actividad
(Consecutivo por meta)]]</f>
        <v>774433</v>
      </c>
      <c r="C40" s="11" t="str">
        <f>Tareas[[#This Row],[Código proyecto]]&amp;Tareas[[#This Row],[No Meta proyecto]]&amp;Tareas[[#This Row],[N° de Actividad
(Consecutivo por meta)]]&amp;Tareas[[#This Row],[N° de tarea]]</f>
        <v>7744332</v>
      </c>
      <c r="D40" s="11">
        <f>Proyecto!$B$19</f>
        <v>7744</v>
      </c>
      <c r="E40" s="11" t="str">
        <f>Proyecto!$D$19</f>
        <v>Generación de Oportunidades para el Desarrollo Integral de la Niñez y la Adolescencia de Bogotá</v>
      </c>
      <c r="F40" s="374">
        <v>3</v>
      </c>
      <c r="G40" s="11" t="str">
        <f>VLOOKUP(A40,ESTRATÉGICO!$C$3:$AA$110,14,0)</f>
        <v xml:space="preserve">Atender a 20700 niñas niños y adolescentes con discapacidad, alteraciones en el desarrollo, restricciones médicas, pertenecientes a grupos étnicos y víctimas por el conflicto armado con enfoque diferencial y de género </v>
      </c>
      <c r="H40" s="374">
        <v>3</v>
      </c>
      <c r="I40" s="11" t="str">
        <f>VLOOKUP(B40,Actividades!$B$18:$I$35,8,0)</f>
        <v>Fortalecer los procesos de inclusion de las ninas, ninos y adolescentes pertenecientes a grupos etnicos, garantizando que sean incluyentes para el goce efectivo de sus derechos.</v>
      </c>
      <c r="J40" s="374">
        <v>2</v>
      </c>
      <c r="K40" s="373" t="s">
        <v>1366</v>
      </c>
      <c r="L40" s="290" t="s">
        <v>1020</v>
      </c>
      <c r="M40" s="291">
        <v>45306</v>
      </c>
      <c r="N40" s="291">
        <v>45443</v>
      </c>
      <c r="O40" s="280" t="s">
        <v>844</v>
      </c>
      <c r="P40" s="304">
        <v>0.2</v>
      </c>
      <c r="Q40"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40"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4.0000000000000008E-2</v>
      </c>
      <c r="S40"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0.06</v>
      </c>
      <c r="T40"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4.0000000000000008E-2</v>
      </c>
      <c r="U40"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0.06</v>
      </c>
      <c r="V40"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40"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40"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40"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40"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40"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40"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40" s="285">
        <f>+SUM(Tareas[[#This Row],[Programación Plan de actividades
Enero]:[Programación Plan de actividades
Diciembre]])</f>
        <v>0.2</v>
      </c>
      <c r="AD40" s="383"/>
      <c r="AE40" s="383"/>
      <c r="AF40" s="383"/>
      <c r="AG40" s="383"/>
      <c r="AH40" s="383"/>
      <c r="AI40" s="292"/>
      <c r="AJ40" s="292"/>
      <c r="AK40" s="292"/>
      <c r="AL40" s="292"/>
      <c r="AM40" s="292"/>
      <c r="AN40" s="292"/>
      <c r="AO40" s="292"/>
      <c r="AP40" s="375">
        <f>SUM(Tareas[[#This Row],[Población programada enero]:[Población programada diciembre]])</f>
        <v>0</v>
      </c>
      <c r="AQ40"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40"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40"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40"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40"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40"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40"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40"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40"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40"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40"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40"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40" s="285">
        <f>+SUM(Tareas[[#This Row],[Ejecución Plan de actividades
Enero]:[Ejecución Plan de actividades
Diciembre]])</f>
        <v>0</v>
      </c>
      <c r="BD40" s="269"/>
      <c r="BE40" s="269"/>
      <c r="BF40" s="269"/>
      <c r="BG40" s="269"/>
      <c r="BH40" s="269"/>
      <c r="BI40" s="269"/>
      <c r="BJ40" s="269"/>
      <c r="BK40" s="269"/>
      <c r="BL40" s="269"/>
      <c r="BM40" s="269"/>
      <c r="BN40" s="269"/>
      <c r="BO40" s="269"/>
      <c r="BP40" s="271">
        <f>SUM(Tareas[[#This Row],[Población atendida enero]:[Población atendida diciembre]])</f>
        <v>0</v>
      </c>
      <c r="BQ40" s="294">
        <f>IFERROR(Tareas[[#This Row],[Total Ejecutado plan de actividades]]/Tareas[[#This Row],[Total programado plan de actividades]],"No Programado")</f>
        <v>0</v>
      </c>
      <c r="BR40" s="294" t="str">
        <f>IFERROR(Tareas[[#This Row],[Total  de Población atendida]]/Tareas[[#This Row],[Total  de Población programada]],"No Aplica")</f>
        <v>No Aplica</v>
      </c>
      <c r="BS40" s="295"/>
    </row>
    <row r="41" spans="1:71" s="149" customFormat="1" ht="96.6" x14ac:dyDescent="0.35">
      <c r="A41" s="228" t="str">
        <f>Tareas[[#This Row],[Código proyecto]]&amp;Tareas[[#This Row],[No Meta proyecto]]</f>
        <v>77443</v>
      </c>
      <c r="B41" s="228" t="str">
        <f>Tareas[[#This Row],[Código proyecto]]&amp;Tareas[[#This Row],[No Meta proyecto]]&amp;Tareas[[#This Row],[N° de Actividad
(Consecutivo por meta)]]</f>
        <v>774433</v>
      </c>
      <c r="C41" s="11" t="str">
        <f>Tareas[[#This Row],[Código proyecto]]&amp;Tareas[[#This Row],[No Meta proyecto]]&amp;Tareas[[#This Row],[N° de Actividad
(Consecutivo por meta)]]&amp;Tareas[[#This Row],[N° de tarea]]</f>
        <v>7744333</v>
      </c>
      <c r="D41" s="11">
        <f>Proyecto!$B$19</f>
        <v>7744</v>
      </c>
      <c r="E41" s="11" t="str">
        <f>Proyecto!$D$19</f>
        <v>Generación de Oportunidades para el Desarrollo Integral de la Niñez y la Adolescencia de Bogotá</v>
      </c>
      <c r="F41" s="374">
        <v>3</v>
      </c>
      <c r="G41" s="11" t="str">
        <f>VLOOKUP(A41,ESTRATÉGICO!$C$3:$AA$110,14,0)</f>
        <v xml:space="preserve">Atender a 20700 niñas niños y adolescentes con discapacidad, alteraciones en el desarrollo, restricciones médicas, pertenecientes a grupos étnicos y víctimas por el conflicto armado con enfoque diferencial y de género </v>
      </c>
      <c r="H41" s="374">
        <v>3</v>
      </c>
      <c r="I41" s="11" t="str">
        <f>VLOOKUP(B41,Actividades!$B$18:$I$35,8,0)</f>
        <v>Fortalecer los procesos de inclusion de las ninas, ninos y adolescentes pertenecientes a grupos etnicos, garantizando que sean incluyentes para el goce efectivo de sus derechos.</v>
      </c>
      <c r="J41" s="374">
        <v>3</v>
      </c>
      <c r="K41" s="373" t="s">
        <v>1367</v>
      </c>
      <c r="L41" s="290" t="s">
        <v>1020</v>
      </c>
      <c r="M41" s="291">
        <v>45306</v>
      </c>
      <c r="N41" s="291">
        <v>45443</v>
      </c>
      <c r="O41" s="280" t="s">
        <v>844</v>
      </c>
      <c r="P41" s="304">
        <v>0.2</v>
      </c>
      <c r="Q41"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41"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4.0000000000000008E-2</v>
      </c>
      <c r="S41"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0.06</v>
      </c>
      <c r="T41"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4.0000000000000008E-2</v>
      </c>
      <c r="U41"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0.06</v>
      </c>
      <c r="V41"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41"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41"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41"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41"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41"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41"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41" s="285">
        <f>+SUM(Tareas[[#This Row],[Programación Plan de actividades
Enero]:[Programación Plan de actividades
Diciembre]])</f>
        <v>0.2</v>
      </c>
      <c r="AD41" s="383"/>
      <c r="AE41" s="383"/>
      <c r="AF41" s="383"/>
      <c r="AG41" s="383"/>
      <c r="AH41" s="383"/>
      <c r="AI41" s="292"/>
      <c r="AJ41" s="292"/>
      <c r="AK41" s="292"/>
      <c r="AL41" s="292"/>
      <c r="AM41" s="292"/>
      <c r="AN41" s="292"/>
      <c r="AO41" s="292"/>
      <c r="AP41" s="375">
        <f>SUM(Tareas[[#This Row],[Población programada enero]:[Población programada diciembre]])</f>
        <v>0</v>
      </c>
      <c r="AQ41"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41"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41"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41"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41"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41"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41"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41"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41"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41"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41"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41"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41" s="285">
        <f>+SUM(Tareas[[#This Row],[Ejecución Plan de actividades
Enero]:[Ejecución Plan de actividades
Diciembre]])</f>
        <v>0</v>
      </c>
      <c r="BD41" s="269"/>
      <c r="BE41" s="269"/>
      <c r="BF41" s="269"/>
      <c r="BG41" s="269"/>
      <c r="BH41" s="269"/>
      <c r="BI41" s="269"/>
      <c r="BJ41" s="269"/>
      <c r="BK41" s="269"/>
      <c r="BL41" s="269"/>
      <c r="BM41" s="269"/>
      <c r="BN41" s="269"/>
      <c r="BO41" s="269"/>
      <c r="BP41" s="271">
        <f>SUM(Tareas[[#This Row],[Población atendida enero]:[Población atendida diciembre]])</f>
        <v>0</v>
      </c>
      <c r="BQ41" s="294">
        <f>IFERROR(Tareas[[#This Row],[Total Ejecutado plan de actividades]]/Tareas[[#This Row],[Total programado plan de actividades]],"No Programado")</f>
        <v>0</v>
      </c>
      <c r="BR41" s="294" t="str">
        <f>IFERROR(Tareas[[#This Row],[Total  de Población atendida]]/Tareas[[#This Row],[Total  de Población programada]],"No Aplica")</f>
        <v>No Aplica</v>
      </c>
      <c r="BS41" s="295"/>
    </row>
    <row r="42" spans="1:71" s="149" customFormat="1" ht="96.6" x14ac:dyDescent="0.35">
      <c r="A42" s="228" t="str">
        <f>Tareas[[#This Row],[Código proyecto]]&amp;Tareas[[#This Row],[No Meta proyecto]]</f>
        <v>77443</v>
      </c>
      <c r="B42" s="228" t="str">
        <f>Tareas[[#This Row],[Código proyecto]]&amp;Tareas[[#This Row],[No Meta proyecto]]&amp;Tareas[[#This Row],[N° de Actividad
(Consecutivo por meta)]]</f>
        <v>774433</v>
      </c>
      <c r="C42" s="11" t="str">
        <f>Tareas[[#This Row],[Código proyecto]]&amp;Tareas[[#This Row],[No Meta proyecto]]&amp;Tareas[[#This Row],[N° de Actividad
(Consecutivo por meta)]]&amp;Tareas[[#This Row],[N° de tarea]]</f>
        <v>7744334</v>
      </c>
      <c r="D42" s="11">
        <f>Proyecto!$B$19</f>
        <v>7744</v>
      </c>
      <c r="E42" s="11" t="str">
        <f>Proyecto!$D$19</f>
        <v>Generación de Oportunidades para el Desarrollo Integral de la Niñez y la Adolescencia de Bogotá</v>
      </c>
      <c r="F42" s="374">
        <v>3</v>
      </c>
      <c r="G42" s="11" t="str">
        <f>VLOOKUP(A42,ESTRATÉGICO!$C$3:$AA$110,14,0)</f>
        <v xml:space="preserve">Atender a 20700 niñas niños y adolescentes con discapacidad, alteraciones en el desarrollo, restricciones médicas, pertenecientes a grupos étnicos y víctimas por el conflicto armado con enfoque diferencial y de género </v>
      </c>
      <c r="H42" s="374">
        <v>3</v>
      </c>
      <c r="I42" s="11" t="str">
        <f>VLOOKUP(B42,Actividades!$B$18:$I$35,8,0)</f>
        <v>Fortalecer los procesos de inclusion de las ninas, ninos y adolescentes pertenecientes a grupos etnicos, garantizando que sean incluyentes para el goce efectivo de sus derechos.</v>
      </c>
      <c r="J42" s="374">
        <v>4</v>
      </c>
      <c r="K42" s="373" t="s">
        <v>1368</v>
      </c>
      <c r="L42" s="290" t="s">
        <v>1020</v>
      </c>
      <c r="M42" s="291">
        <v>45306</v>
      </c>
      <c r="N42" s="291">
        <v>45443</v>
      </c>
      <c r="O42" s="280" t="s">
        <v>844</v>
      </c>
      <c r="P42" s="304">
        <v>0.1</v>
      </c>
      <c r="Q42"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42"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2.0000000000000004E-2</v>
      </c>
      <c r="S42"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0.03</v>
      </c>
      <c r="T42"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2.0000000000000004E-2</v>
      </c>
      <c r="U42"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0.03</v>
      </c>
      <c r="V42"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42"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42"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42"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42"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42"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42"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42" s="285">
        <f>+SUM(Tareas[[#This Row],[Programación Plan de actividades
Enero]:[Programación Plan de actividades
Diciembre]])</f>
        <v>0.1</v>
      </c>
      <c r="AD42" s="383"/>
      <c r="AE42" s="383"/>
      <c r="AF42" s="383"/>
      <c r="AG42" s="383"/>
      <c r="AH42" s="383"/>
      <c r="AI42" s="292"/>
      <c r="AJ42" s="292"/>
      <c r="AK42" s="292"/>
      <c r="AL42" s="292"/>
      <c r="AM42" s="292"/>
      <c r="AN42" s="292"/>
      <c r="AO42" s="292"/>
      <c r="AP42" s="375">
        <f>SUM(Tareas[[#This Row],[Población programada enero]:[Población programada diciembre]])</f>
        <v>0</v>
      </c>
      <c r="AQ42"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42"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42"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42"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42"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42"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42"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42"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42"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42"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42"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42"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42" s="285">
        <f>+SUM(Tareas[[#This Row],[Ejecución Plan de actividades
Enero]:[Ejecución Plan de actividades
Diciembre]])</f>
        <v>0</v>
      </c>
      <c r="BD42" s="269"/>
      <c r="BE42" s="269"/>
      <c r="BF42" s="269"/>
      <c r="BG42" s="269"/>
      <c r="BH42" s="269"/>
      <c r="BI42" s="269"/>
      <c r="BJ42" s="269"/>
      <c r="BK42" s="269"/>
      <c r="BL42" s="269"/>
      <c r="BM42" s="269"/>
      <c r="BN42" s="269"/>
      <c r="BO42" s="269"/>
      <c r="BP42" s="271">
        <f>SUM(Tareas[[#This Row],[Población atendida enero]:[Población atendida diciembre]])</f>
        <v>0</v>
      </c>
      <c r="BQ42" s="294">
        <f>IFERROR(Tareas[[#This Row],[Total Ejecutado plan de actividades]]/Tareas[[#This Row],[Total programado plan de actividades]],"No Programado")</f>
        <v>0</v>
      </c>
      <c r="BR42" s="294" t="str">
        <f>IFERROR(Tareas[[#This Row],[Total  de Población atendida]]/Tareas[[#This Row],[Total  de Población programada]],"No Aplica")</f>
        <v>No Aplica</v>
      </c>
      <c r="BS42" s="295"/>
    </row>
    <row r="43" spans="1:71" s="149" customFormat="1" ht="96.6" x14ac:dyDescent="0.35">
      <c r="A43" s="228" t="str">
        <f>Tareas[[#This Row],[Código proyecto]]&amp;Tareas[[#This Row],[No Meta proyecto]]</f>
        <v>77443</v>
      </c>
      <c r="B43" s="228" t="str">
        <f>Tareas[[#This Row],[Código proyecto]]&amp;Tareas[[#This Row],[No Meta proyecto]]&amp;Tareas[[#This Row],[N° de Actividad
(Consecutivo por meta)]]</f>
        <v>774433</v>
      </c>
      <c r="C43" s="11" t="str">
        <f>Tareas[[#This Row],[Código proyecto]]&amp;Tareas[[#This Row],[No Meta proyecto]]&amp;Tareas[[#This Row],[N° de Actividad
(Consecutivo por meta)]]&amp;Tareas[[#This Row],[N° de tarea]]</f>
        <v>7744335</v>
      </c>
      <c r="D43" s="11">
        <f>Proyecto!$B$19</f>
        <v>7744</v>
      </c>
      <c r="E43" s="11" t="str">
        <f>Proyecto!$D$19</f>
        <v>Generación de Oportunidades para el Desarrollo Integral de la Niñez y la Adolescencia de Bogotá</v>
      </c>
      <c r="F43" s="374">
        <v>3</v>
      </c>
      <c r="G43" s="11" t="str">
        <f>VLOOKUP(A43,ESTRATÉGICO!$C$3:$AA$110,14,0)</f>
        <v xml:space="preserve">Atender a 20700 niñas niños y adolescentes con discapacidad, alteraciones en el desarrollo, restricciones médicas, pertenecientes a grupos étnicos y víctimas por el conflicto armado con enfoque diferencial y de género </v>
      </c>
      <c r="H43" s="374">
        <v>3</v>
      </c>
      <c r="I43" s="11" t="str">
        <f>VLOOKUP(B43,Actividades!$B$18:$I$35,8,0)</f>
        <v>Fortalecer los procesos de inclusion de las ninas, ninos y adolescentes pertenecientes a grupos etnicos, garantizando que sean incluyentes para el goce efectivo de sus derechos.</v>
      </c>
      <c r="J43" s="374">
        <v>5</v>
      </c>
      <c r="K43" s="373" t="s">
        <v>1369</v>
      </c>
      <c r="L43" s="290" t="s">
        <v>1020</v>
      </c>
      <c r="M43" s="291">
        <v>45306</v>
      </c>
      <c r="N43" s="291">
        <v>45443</v>
      </c>
      <c r="O43" s="280" t="s">
        <v>844</v>
      </c>
      <c r="P43" s="304">
        <v>0.1</v>
      </c>
      <c r="Q43"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43"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2.0000000000000004E-2</v>
      </c>
      <c r="S43"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0.03</v>
      </c>
      <c r="T43"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2.0000000000000004E-2</v>
      </c>
      <c r="U43"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0.03</v>
      </c>
      <c r="V43"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43"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43"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43"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43"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43"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43"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43" s="285">
        <f>+SUM(Tareas[[#This Row],[Programación Plan de actividades
Enero]:[Programación Plan de actividades
Diciembre]])</f>
        <v>0.1</v>
      </c>
      <c r="AD43" s="383"/>
      <c r="AE43" s="383"/>
      <c r="AF43" s="383"/>
      <c r="AG43" s="383"/>
      <c r="AH43" s="383"/>
      <c r="AI43" s="292"/>
      <c r="AJ43" s="292"/>
      <c r="AK43" s="292"/>
      <c r="AL43" s="292"/>
      <c r="AM43" s="292"/>
      <c r="AN43" s="292"/>
      <c r="AO43" s="292"/>
      <c r="AP43" s="375">
        <f>SUM(Tareas[[#This Row],[Población programada enero]:[Población programada diciembre]])</f>
        <v>0</v>
      </c>
      <c r="AQ43"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43"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43"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43"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43"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43"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43"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43"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43"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43"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43"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43"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43" s="285">
        <f>+SUM(Tareas[[#This Row],[Ejecución Plan de actividades
Enero]:[Ejecución Plan de actividades
Diciembre]])</f>
        <v>0</v>
      </c>
      <c r="BD43" s="269"/>
      <c r="BE43" s="269"/>
      <c r="BF43" s="269"/>
      <c r="BG43" s="269"/>
      <c r="BH43" s="269"/>
      <c r="BI43" s="269"/>
      <c r="BJ43" s="269"/>
      <c r="BK43" s="269"/>
      <c r="BL43" s="269"/>
      <c r="BM43" s="269"/>
      <c r="BN43" s="269"/>
      <c r="BO43" s="269"/>
      <c r="BP43" s="271">
        <f>SUM(Tareas[[#This Row],[Población atendida enero]:[Población atendida diciembre]])</f>
        <v>0</v>
      </c>
      <c r="BQ43" s="294">
        <f>IFERROR(Tareas[[#This Row],[Total Ejecutado plan de actividades]]/Tareas[[#This Row],[Total programado plan de actividades]],"No Programado")</f>
        <v>0</v>
      </c>
      <c r="BR43" s="294" t="str">
        <f>IFERROR(Tareas[[#This Row],[Total  de Población atendida]]/Tareas[[#This Row],[Total  de Población programada]],"No Aplica")</f>
        <v>No Aplica</v>
      </c>
      <c r="BS43" s="295"/>
    </row>
    <row r="44" spans="1:71" s="149" customFormat="1" ht="110.4" x14ac:dyDescent="0.35">
      <c r="A44" s="228" t="str">
        <f>Tareas[[#This Row],[Código proyecto]]&amp;Tareas[[#This Row],[No Meta proyecto]]</f>
        <v>77443</v>
      </c>
      <c r="B44" s="228" t="str">
        <f>Tareas[[#This Row],[Código proyecto]]&amp;Tareas[[#This Row],[No Meta proyecto]]&amp;Tareas[[#This Row],[N° de Actividad
(Consecutivo por meta)]]</f>
        <v>774434</v>
      </c>
      <c r="C44" s="11" t="str">
        <f>Tareas[[#This Row],[Código proyecto]]&amp;Tareas[[#This Row],[No Meta proyecto]]&amp;Tareas[[#This Row],[N° de Actividad
(Consecutivo por meta)]]&amp;Tareas[[#This Row],[N° de tarea]]</f>
        <v>7744341</v>
      </c>
      <c r="D44" s="11">
        <f>Proyecto!$B$19</f>
        <v>7744</v>
      </c>
      <c r="E44" s="11" t="str">
        <f>Proyecto!$D$19</f>
        <v>Generación de Oportunidades para el Desarrollo Integral de la Niñez y la Adolescencia de Bogotá</v>
      </c>
      <c r="F44" s="374">
        <v>3</v>
      </c>
      <c r="G44" s="11" t="str">
        <f>VLOOKUP(A44,ESTRATÉGICO!$C$3:$AA$110,14,0)</f>
        <v xml:space="preserve">Atender a 20700 niñas niños y adolescentes con discapacidad, alteraciones en el desarrollo, restricciones médicas, pertenecientes a grupos étnicos y víctimas por el conflicto armado con enfoque diferencial y de género </v>
      </c>
      <c r="H44" s="374">
        <v>4</v>
      </c>
      <c r="I44" s="11" t="str">
        <f>VLOOKUP(B44,Actividades!$B$18:$I$35,8,0)</f>
        <v>Fortalecer los procesos tecnicos para la atencion e inclusion de las ninas, ninos y adolescentes  victimas por el conflicto armado que asisten a los diferentes programas de la subdireccion para la infancia.</v>
      </c>
      <c r="J44" s="374">
        <v>1</v>
      </c>
      <c r="K44" s="373" t="s">
        <v>1370</v>
      </c>
      <c r="L44" s="290" t="s">
        <v>1020</v>
      </c>
      <c r="M44" s="291">
        <v>45306</v>
      </c>
      <c r="N44" s="291">
        <v>45443</v>
      </c>
      <c r="O44" s="280" t="s">
        <v>843</v>
      </c>
      <c r="P44" s="304">
        <v>0.4</v>
      </c>
      <c r="Q44"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44"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8.0000000000000016E-2</v>
      </c>
      <c r="S44"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0.12</v>
      </c>
      <c r="T44"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8.0000000000000016E-2</v>
      </c>
      <c r="U44"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0.12</v>
      </c>
      <c r="V44"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44"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44"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44"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44"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44"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44"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44" s="285">
        <f>+SUM(Tareas[[#This Row],[Programación Plan de actividades
Enero]:[Programación Plan de actividades
Diciembre]])</f>
        <v>0.4</v>
      </c>
      <c r="AD44" s="382">
        <v>1635</v>
      </c>
      <c r="AE44" s="382">
        <v>1413</v>
      </c>
      <c r="AF44" s="382">
        <v>1354</v>
      </c>
      <c r="AG44" s="382">
        <v>1472</v>
      </c>
      <c r="AH44" s="382">
        <v>1338</v>
      </c>
      <c r="AI44" s="292"/>
      <c r="AJ44" s="292"/>
      <c r="AK44" s="292"/>
      <c r="AL44" s="292"/>
      <c r="AM44" s="292"/>
      <c r="AN44" s="292"/>
      <c r="AO44" s="292"/>
      <c r="AP44" s="375">
        <f>SUM(Tareas[[#This Row],[Población programada enero]:[Población programada diciembre]])</f>
        <v>7212</v>
      </c>
      <c r="AQ44"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44"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44"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44"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44"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44"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44"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44"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44"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44"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44"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44"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44" s="285">
        <f>+SUM(Tareas[[#This Row],[Ejecución Plan de actividades
Enero]:[Ejecución Plan de actividades
Diciembre]])</f>
        <v>0</v>
      </c>
      <c r="BD44" s="269"/>
      <c r="BE44" s="269"/>
      <c r="BF44" s="269"/>
      <c r="BG44" s="269"/>
      <c r="BH44" s="269"/>
      <c r="BI44" s="269"/>
      <c r="BJ44" s="269"/>
      <c r="BK44" s="269"/>
      <c r="BL44" s="269"/>
      <c r="BM44" s="269"/>
      <c r="BN44" s="269"/>
      <c r="BO44" s="269"/>
      <c r="BP44" s="271">
        <f>SUM(Tareas[[#This Row],[Población atendida enero]:[Población atendida diciembre]])</f>
        <v>0</v>
      </c>
      <c r="BQ44" s="294">
        <f>IFERROR(Tareas[[#This Row],[Total Ejecutado plan de actividades]]/Tareas[[#This Row],[Total programado plan de actividades]],"No Programado")</f>
        <v>0</v>
      </c>
      <c r="BR44" s="294">
        <f>IFERROR(Tareas[[#This Row],[Total  de Población atendida]]/Tareas[[#This Row],[Total  de Población programada]],"No Aplica")</f>
        <v>0</v>
      </c>
      <c r="BS44" s="295"/>
    </row>
    <row r="45" spans="1:71" s="149" customFormat="1" ht="96.6" x14ac:dyDescent="0.35">
      <c r="A45" s="228" t="str">
        <f>Tareas[[#This Row],[Código proyecto]]&amp;Tareas[[#This Row],[No Meta proyecto]]</f>
        <v>77443</v>
      </c>
      <c r="B45" s="228" t="str">
        <f>Tareas[[#This Row],[Código proyecto]]&amp;Tareas[[#This Row],[No Meta proyecto]]&amp;Tareas[[#This Row],[N° de Actividad
(Consecutivo por meta)]]</f>
        <v>774434</v>
      </c>
      <c r="C45" s="11" t="str">
        <f>Tareas[[#This Row],[Código proyecto]]&amp;Tareas[[#This Row],[No Meta proyecto]]&amp;Tareas[[#This Row],[N° de Actividad
(Consecutivo por meta)]]&amp;Tareas[[#This Row],[N° de tarea]]</f>
        <v>7744342</v>
      </c>
      <c r="D45" s="11">
        <f>Proyecto!$B$19</f>
        <v>7744</v>
      </c>
      <c r="E45" s="11" t="str">
        <f>Proyecto!$D$19</f>
        <v>Generación de Oportunidades para el Desarrollo Integral de la Niñez y la Adolescencia de Bogotá</v>
      </c>
      <c r="F45" s="374">
        <v>3</v>
      </c>
      <c r="G45" s="11" t="str">
        <f>VLOOKUP(A45,ESTRATÉGICO!$C$3:$AA$110,14,0)</f>
        <v xml:space="preserve">Atender a 20700 niñas niños y adolescentes con discapacidad, alteraciones en el desarrollo, restricciones médicas, pertenecientes a grupos étnicos y víctimas por el conflicto armado con enfoque diferencial y de género </v>
      </c>
      <c r="H45" s="374">
        <v>4</v>
      </c>
      <c r="I45" s="11" t="str">
        <f>VLOOKUP(B45,Actividades!$B$18:$I$35,8,0)</f>
        <v>Fortalecer los procesos tecnicos para la atencion e inclusion de las ninas, ninos y adolescentes  victimas por el conflicto armado que asisten a los diferentes programas de la subdireccion para la infancia.</v>
      </c>
      <c r="J45" s="374">
        <v>2</v>
      </c>
      <c r="K45" s="373" t="s">
        <v>1371</v>
      </c>
      <c r="L45" s="290" t="s">
        <v>1020</v>
      </c>
      <c r="M45" s="291">
        <v>45306</v>
      </c>
      <c r="N45" s="291">
        <v>45443</v>
      </c>
      <c r="O45" s="280" t="s">
        <v>844</v>
      </c>
      <c r="P45" s="304">
        <v>0.3</v>
      </c>
      <c r="Q45"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45"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0.06</v>
      </c>
      <c r="S45"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0.09</v>
      </c>
      <c r="T45"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0.06</v>
      </c>
      <c r="U45"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0.09</v>
      </c>
      <c r="V45"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45"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45"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45"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45"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45"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45"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45" s="285">
        <f>+SUM(Tareas[[#This Row],[Programación Plan de actividades
Enero]:[Programación Plan de actividades
Diciembre]])</f>
        <v>0.3</v>
      </c>
      <c r="AD45" s="383"/>
      <c r="AE45" s="383"/>
      <c r="AF45" s="383"/>
      <c r="AG45" s="383"/>
      <c r="AH45" s="383"/>
      <c r="AI45" s="292"/>
      <c r="AJ45" s="292"/>
      <c r="AK45" s="292"/>
      <c r="AL45" s="292"/>
      <c r="AM45" s="292"/>
      <c r="AN45" s="292"/>
      <c r="AO45" s="292"/>
      <c r="AP45" s="375">
        <f>SUM(Tareas[[#This Row],[Población programada enero]:[Población programada diciembre]])</f>
        <v>0</v>
      </c>
      <c r="AQ45"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45"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45"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45"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45"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45"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45"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45"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45"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45"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45"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45"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45" s="285">
        <f>+SUM(Tareas[[#This Row],[Ejecución Plan de actividades
Enero]:[Ejecución Plan de actividades
Diciembre]])</f>
        <v>0</v>
      </c>
      <c r="BD45" s="269"/>
      <c r="BE45" s="269"/>
      <c r="BF45" s="269"/>
      <c r="BG45" s="269"/>
      <c r="BH45" s="269"/>
      <c r="BI45" s="269"/>
      <c r="BJ45" s="269"/>
      <c r="BK45" s="269"/>
      <c r="BL45" s="269"/>
      <c r="BM45" s="269"/>
      <c r="BN45" s="269"/>
      <c r="BO45" s="269"/>
      <c r="BP45" s="271">
        <f>SUM(Tareas[[#This Row],[Población atendida enero]:[Población atendida diciembre]])</f>
        <v>0</v>
      </c>
      <c r="BQ45" s="294">
        <f>IFERROR(Tareas[[#This Row],[Total Ejecutado plan de actividades]]/Tareas[[#This Row],[Total programado plan de actividades]],"No Programado")</f>
        <v>0</v>
      </c>
      <c r="BR45" s="294" t="str">
        <f>IFERROR(Tareas[[#This Row],[Total  de Población atendida]]/Tareas[[#This Row],[Total  de Población programada]],"No Aplica")</f>
        <v>No Aplica</v>
      </c>
      <c r="BS45" s="295"/>
    </row>
    <row r="46" spans="1:71" s="149" customFormat="1" ht="124.2" x14ac:dyDescent="0.35">
      <c r="A46" s="228" t="str">
        <f>Tareas[[#This Row],[Código proyecto]]&amp;Tareas[[#This Row],[No Meta proyecto]]</f>
        <v>77443</v>
      </c>
      <c r="B46" s="228" t="str">
        <f>Tareas[[#This Row],[Código proyecto]]&amp;Tareas[[#This Row],[No Meta proyecto]]&amp;Tareas[[#This Row],[N° de Actividad
(Consecutivo por meta)]]</f>
        <v>774434</v>
      </c>
      <c r="C46" s="11" t="str">
        <f>Tareas[[#This Row],[Código proyecto]]&amp;Tareas[[#This Row],[No Meta proyecto]]&amp;Tareas[[#This Row],[N° de Actividad
(Consecutivo por meta)]]&amp;Tareas[[#This Row],[N° de tarea]]</f>
        <v>7744343</v>
      </c>
      <c r="D46" s="11">
        <f>Proyecto!$B$19</f>
        <v>7744</v>
      </c>
      <c r="E46" s="11" t="str">
        <f>Proyecto!$D$19</f>
        <v>Generación de Oportunidades para el Desarrollo Integral de la Niñez y la Adolescencia de Bogotá</v>
      </c>
      <c r="F46" s="374">
        <v>3</v>
      </c>
      <c r="G46" s="11" t="str">
        <f>VLOOKUP(A46,ESTRATÉGICO!$C$3:$AA$110,14,0)</f>
        <v xml:space="preserve">Atender a 20700 niñas niños y adolescentes con discapacidad, alteraciones en el desarrollo, restricciones médicas, pertenecientes a grupos étnicos y víctimas por el conflicto armado con enfoque diferencial y de género </v>
      </c>
      <c r="H46" s="374">
        <v>4</v>
      </c>
      <c r="I46" s="11" t="str">
        <f>VLOOKUP(B46,Actividades!$B$18:$I$35,8,0)</f>
        <v>Fortalecer los procesos tecnicos para la atencion e inclusion de las ninas, ninos y adolescentes  victimas por el conflicto armado que asisten a los diferentes programas de la subdireccion para la infancia.</v>
      </c>
      <c r="J46" s="374">
        <v>3</v>
      </c>
      <c r="K46" s="373" t="s">
        <v>1372</v>
      </c>
      <c r="L46" s="290" t="s">
        <v>1020</v>
      </c>
      <c r="M46" s="291">
        <v>45306</v>
      </c>
      <c r="N46" s="291">
        <v>45443</v>
      </c>
      <c r="O46" s="280" t="s">
        <v>844</v>
      </c>
      <c r="P46" s="304">
        <v>0.3</v>
      </c>
      <c r="Q46"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46"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0.06</v>
      </c>
      <c r="S46"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0.09</v>
      </c>
      <c r="T46"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0.06</v>
      </c>
      <c r="U46"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0.09</v>
      </c>
      <c r="V46"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46"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46"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46"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46"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46"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46"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46" s="285">
        <f>+SUM(Tareas[[#This Row],[Programación Plan de actividades
Enero]:[Programación Plan de actividades
Diciembre]])</f>
        <v>0.3</v>
      </c>
      <c r="AD46" s="383"/>
      <c r="AE46" s="383"/>
      <c r="AF46" s="383"/>
      <c r="AG46" s="383"/>
      <c r="AH46" s="383"/>
      <c r="AI46" s="292"/>
      <c r="AJ46" s="292"/>
      <c r="AK46" s="292"/>
      <c r="AL46" s="292"/>
      <c r="AM46" s="292"/>
      <c r="AN46" s="292"/>
      <c r="AO46" s="292"/>
      <c r="AP46" s="375">
        <f>SUM(Tareas[[#This Row],[Población programada enero]:[Población programada diciembre]])</f>
        <v>0</v>
      </c>
      <c r="AQ46"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46"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46"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46"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46"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46"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46"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46"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46"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46"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46"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46"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46" s="285">
        <f>+SUM(Tareas[[#This Row],[Ejecución Plan de actividades
Enero]:[Ejecución Plan de actividades
Diciembre]])</f>
        <v>0</v>
      </c>
      <c r="BD46" s="269"/>
      <c r="BE46" s="269"/>
      <c r="BF46" s="269"/>
      <c r="BG46" s="269"/>
      <c r="BH46" s="269"/>
      <c r="BI46" s="269"/>
      <c r="BJ46" s="269"/>
      <c r="BK46" s="269"/>
      <c r="BL46" s="269"/>
      <c r="BM46" s="269"/>
      <c r="BN46" s="269"/>
      <c r="BO46" s="269"/>
      <c r="BP46" s="271">
        <f>SUM(Tareas[[#This Row],[Población atendida enero]:[Población atendida diciembre]])</f>
        <v>0</v>
      </c>
      <c r="BQ46" s="294">
        <f>IFERROR(Tareas[[#This Row],[Total Ejecutado plan de actividades]]/Tareas[[#This Row],[Total programado plan de actividades]],"No Programado")</f>
        <v>0</v>
      </c>
      <c r="BR46" s="294" t="str">
        <f>IFERROR(Tareas[[#This Row],[Total  de Población atendida]]/Tareas[[#This Row],[Total  de Población programada]],"No Aplica")</f>
        <v>No Aplica</v>
      </c>
      <c r="BS46" s="295"/>
    </row>
    <row r="47" spans="1:71" s="149" customFormat="1" ht="96.6" x14ac:dyDescent="0.35">
      <c r="A47" s="228" t="str">
        <f>Tareas[[#This Row],[Código proyecto]]&amp;Tareas[[#This Row],[No Meta proyecto]]</f>
        <v>77444</v>
      </c>
      <c r="B47" s="228" t="str">
        <f>Tareas[[#This Row],[Código proyecto]]&amp;Tareas[[#This Row],[No Meta proyecto]]&amp;Tareas[[#This Row],[N° de Actividad
(Consecutivo por meta)]]</f>
        <v>774441</v>
      </c>
      <c r="C47" s="11" t="str">
        <f>Tareas[[#This Row],[Código proyecto]]&amp;Tareas[[#This Row],[No Meta proyecto]]&amp;Tareas[[#This Row],[N° de Actividad
(Consecutivo por meta)]]&amp;Tareas[[#This Row],[N° de tarea]]</f>
        <v>7744411</v>
      </c>
      <c r="D47" s="11">
        <f>Proyecto!$B$19</f>
        <v>7744</v>
      </c>
      <c r="E47" s="11" t="str">
        <f>Proyecto!$D$19</f>
        <v>Generación de Oportunidades para el Desarrollo Integral de la Niñez y la Adolescencia de Bogotá</v>
      </c>
      <c r="F47" s="374">
        <v>4</v>
      </c>
      <c r="G47" s="11" t="str">
        <f>VLOOKUP(A47,ESTRATÉGICO!$C$3:$AA$110,14,0)</f>
        <v>Consolidar 1 herramienta de medición de la atención integral a niñas, niños y adolescentes que permita la trazabilidad de la Ruta Integral de Atenciones desde la Gestación hasta la Adolescencia -RIAGA-</v>
      </c>
      <c r="H47" s="374">
        <v>1</v>
      </c>
      <c r="I47" s="11" t="str">
        <f>VLOOKUP(B47,Actividades!$B$18:$I$35,8,0)</f>
        <v>Fortalecer, articular y movilizar la gestion distrital y local para la realizacion de las atenciones definidas en la Ruta Integral de Atenciones desde la gestacion hasta la Adolescencia, en el marco del sistema distrital de cuidado.</v>
      </c>
      <c r="J47" s="374">
        <v>1</v>
      </c>
      <c r="K47" s="373" t="s">
        <v>1024</v>
      </c>
      <c r="L47" s="290" t="s">
        <v>952</v>
      </c>
      <c r="M47" s="291">
        <v>45306</v>
      </c>
      <c r="N47" s="291">
        <v>45443</v>
      </c>
      <c r="O47" s="280" t="s">
        <v>844</v>
      </c>
      <c r="P47" s="304">
        <v>0.3</v>
      </c>
      <c r="Q47"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47"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S47"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0.09</v>
      </c>
      <c r="T47"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0.09</v>
      </c>
      <c r="U47"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0.12</v>
      </c>
      <c r="V47"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47"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47"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47"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47"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47"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47"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47" s="285">
        <f>+SUM(Tareas[[#This Row],[Programación Plan de actividades
Enero]:[Programación Plan de actividades
Diciembre]])</f>
        <v>0.3</v>
      </c>
      <c r="AD47" s="383"/>
      <c r="AE47" s="383"/>
      <c r="AF47" s="383"/>
      <c r="AG47" s="383"/>
      <c r="AH47" s="383"/>
      <c r="AI47" s="292"/>
      <c r="AJ47" s="292"/>
      <c r="AK47" s="292"/>
      <c r="AL47" s="292"/>
      <c r="AM47" s="292"/>
      <c r="AN47" s="292"/>
      <c r="AO47" s="292"/>
      <c r="AP47" s="375">
        <f>SUM(Tareas[[#This Row],[Población programada enero]:[Población programada diciembre]])</f>
        <v>0</v>
      </c>
      <c r="AQ47"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47"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47"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47"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47"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47"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47"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47"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47"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47"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47"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47"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47" s="285">
        <f>+SUM(Tareas[[#This Row],[Ejecución Plan de actividades
Enero]:[Ejecución Plan de actividades
Diciembre]])</f>
        <v>0</v>
      </c>
      <c r="BD47" s="269"/>
      <c r="BE47" s="269"/>
      <c r="BF47" s="269"/>
      <c r="BG47" s="269"/>
      <c r="BH47" s="269"/>
      <c r="BI47" s="269"/>
      <c r="BJ47" s="269"/>
      <c r="BK47" s="269"/>
      <c r="BL47" s="269"/>
      <c r="BM47" s="269"/>
      <c r="BN47" s="269"/>
      <c r="BO47" s="269"/>
      <c r="BP47" s="271">
        <f>SUM(Tareas[[#This Row],[Población atendida enero]:[Población atendida diciembre]])</f>
        <v>0</v>
      </c>
      <c r="BQ47" s="294">
        <f>IFERROR(Tareas[[#This Row],[Total Ejecutado plan de actividades]]/Tareas[[#This Row],[Total programado plan de actividades]],"No Programado")</f>
        <v>0</v>
      </c>
      <c r="BR47" s="294" t="str">
        <f>IFERROR(Tareas[[#This Row],[Total  de Población atendida]]/Tareas[[#This Row],[Total  de Población programada]],"No Aplica")</f>
        <v>No Aplica</v>
      </c>
      <c r="BS47" s="295"/>
    </row>
    <row r="48" spans="1:71" s="149" customFormat="1" ht="96.6" x14ac:dyDescent="0.35">
      <c r="A48" s="228" t="str">
        <f>Tareas[[#This Row],[Código proyecto]]&amp;Tareas[[#This Row],[No Meta proyecto]]</f>
        <v>77444</v>
      </c>
      <c r="B48" s="228" t="str">
        <f>Tareas[[#This Row],[Código proyecto]]&amp;Tareas[[#This Row],[No Meta proyecto]]&amp;Tareas[[#This Row],[N° de Actividad
(Consecutivo por meta)]]</f>
        <v>774441</v>
      </c>
      <c r="C48" s="11" t="str">
        <f>Tareas[[#This Row],[Código proyecto]]&amp;Tareas[[#This Row],[No Meta proyecto]]&amp;Tareas[[#This Row],[N° de Actividad
(Consecutivo por meta)]]&amp;Tareas[[#This Row],[N° de tarea]]</f>
        <v>7744412</v>
      </c>
      <c r="D48" s="11">
        <f>Proyecto!$B$19</f>
        <v>7744</v>
      </c>
      <c r="E48" s="11" t="str">
        <f>Proyecto!$D$19</f>
        <v>Generación de Oportunidades para el Desarrollo Integral de la Niñez y la Adolescencia de Bogotá</v>
      </c>
      <c r="F48" s="374">
        <v>4</v>
      </c>
      <c r="G48" s="11" t="str">
        <f>VLOOKUP(A48,ESTRATÉGICO!$C$3:$AA$110,14,0)</f>
        <v>Consolidar 1 herramienta de medición de la atención integral a niñas, niños y adolescentes que permita la trazabilidad de la Ruta Integral de Atenciones desde la Gestación hasta la Adolescencia -RIAGA-</v>
      </c>
      <c r="H48" s="374">
        <v>1</v>
      </c>
      <c r="I48" s="11" t="str">
        <f>VLOOKUP(B48,Actividades!$B$18:$I$35,8,0)</f>
        <v>Fortalecer, articular y movilizar la gestion distrital y local para la realizacion de las atenciones definidas en la Ruta Integral de Atenciones desde la gestacion hasta la Adolescencia, en el marco del sistema distrital de cuidado.</v>
      </c>
      <c r="J48" s="374">
        <v>2</v>
      </c>
      <c r="K48" s="373" t="s">
        <v>1025</v>
      </c>
      <c r="L48" s="290" t="s">
        <v>952</v>
      </c>
      <c r="M48" s="291">
        <v>45306</v>
      </c>
      <c r="N48" s="291">
        <v>45443</v>
      </c>
      <c r="O48" s="280" t="s">
        <v>844</v>
      </c>
      <c r="P48" s="304">
        <v>0.35</v>
      </c>
      <c r="Q48"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48"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S48"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T48"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U48"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0.35</v>
      </c>
      <c r="V48"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48"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48"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48"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48"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48"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48"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48" s="285">
        <f>+SUM(Tareas[[#This Row],[Programación Plan de actividades
Enero]:[Programación Plan de actividades
Diciembre]])</f>
        <v>0.35</v>
      </c>
      <c r="AD48" s="383"/>
      <c r="AE48" s="383"/>
      <c r="AF48" s="383"/>
      <c r="AG48" s="383"/>
      <c r="AH48" s="383"/>
      <c r="AI48" s="292"/>
      <c r="AJ48" s="292"/>
      <c r="AK48" s="292"/>
      <c r="AL48" s="292"/>
      <c r="AM48" s="292"/>
      <c r="AN48" s="292"/>
      <c r="AO48" s="292"/>
      <c r="AP48" s="375">
        <f>SUM(Tareas[[#This Row],[Población programada enero]:[Población programada diciembre]])</f>
        <v>0</v>
      </c>
      <c r="AQ48"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48"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48"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48"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48"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48"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48"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48"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48"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48"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48"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48"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48" s="285">
        <f>+SUM(Tareas[[#This Row],[Ejecución Plan de actividades
Enero]:[Ejecución Plan de actividades
Diciembre]])</f>
        <v>0</v>
      </c>
      <c r="BD48" s="269"/>
      <c r="BE48" s="269"/>
      <c r="BF48" s="269"/>
      <c r="BG48" s="269"/>
      <c r="BH48" s="269"/>
      <c r="BI48" s="269"/>
      <c r="BJ48" s="269"/>
      <c r="BK48" s="269"/>
      <c r="BL48" s="269"/>
      <c r="BM48" s="269"/>
      <c r="BN48" s="269"/>
      <c r="BO48" s="269"/>
      <c r="BP48" s="271">
        <f>SUM(Tareas[[#This Row],[Población atendida enero]:[Población atendida diciembre]])</f>
        <v>0</v>
      </c>
      <c r="BQ48" s="294">
        <f>IFERROR(Tareas[[#This Row],[Total Ejecutado plan de actividades]]/Tareas[[#This Row],[Total programado plan de actividades]],"No Programado")</f>
        <v>0</v>
      </c>
      <c r="BR48" s="294" t="str">
        <f>IFERROR(Tareas[[#This Row],[Total  de Población atendida]]/Tareas[[#This Row],[Total  de Población programada]],"No Aplica")</f>
        <v>No Aplica</v>
      </c>
      <c r="BS48" s="295"/>
    </row>
    <row r="49" spans="1:71" s="149" customFormat="1" ht="96.6" x14ac:dyDescent="0.35">
      <c r="A49" s="228" t="str">
        <f>Tareas[[#This Row],[Código proyecto]]&amp;Tareas[[#This Row],[No Meta proyecto]]</f>
        <v>77444</v>
      </c>
      <c r="B49" s="228" t="str">
        <f>Tareas[[#This Row],[Código proyecto]]&amp;Tareas[[#This Row],[No Meta proyecto]]&amp;Tareas[[#This Row],[N° de Actividad
(Consecutivo por meta)]]</f>
        <v>774441</v>
      </c>
      <c r="C49" s="11" t="str">
        <f>Tareas[[#This Row],[Código proyecto]]&amp;Tareas[[#This Row],[No Meta proyecto]]&amp;Tareas[[#This Row],[N° de Actividad
(Consecutivo por meta)]]&amp;Tareas[[#This Row],[N° de tarea]]</f>
        <v>7744413</v>
      </c>
      <c r="D49" s="11">
        <f>Proyecto!$B$19</f>
        <v>7744</v>
      </c>
      <c r="E49" s="11" t="str">
        <f>Proyecto!$D$19</f>
        <v>Generación de Oportunidades para el Desarrollo Integral de la Niñez y la Adolescencia de Bogotá</v>
      </c>
      <c r="F49" s="374">
        <v>4</v>
      </c>
      <c r="G49" s="11" t="str">
        <f>VLOOKUP(A49,ESTRATÉGICO!$C$3:$AA$110,14,0)</f>
        <v>Consolidar 1 herramienta de medición de la atención integral a niñas, niños y adolescentes que permita la trazabilidad de la Ruta Integral de Atenciones desde la Gestación hasta la Adolescencia -RIAGA-</v>
      </c>
      <c r="H49" s="374">
        <v>1</v>
      </c>
      <c r="I49" s="11" t="str">
        <f>VLOOKUP(B49,Actividades!$B$18:$I$35,8,0)</f>
        <v>Fortalecer, articular y movilizar la gestion distrital y local para la realizacion de las atenciones definidas en la Ruta Integral de Atenciones desde la gestacion hasta la Adolescencia, en el marco del sistema distrital de cuidado.</v>
      </c>
      <c r="J49" s="374">
        <v>3</v>
      </c>
      <c r="K49" s="373" t="s">
        <v>1026</v>
      </c>
      <c r="L49" s="290" t="s">
        <v>952</v>
      </c>
      <c r="M49" s="291">
        <v>45306</v>
      </c>
      <c r="N49" s="291">
        <v>45443</v>
      </c>
      <c r="O49" s="280" t="s">
        <v>844</v>
      </c>
      <c r="P49" s="304">
        <v>0.35</v>
      </c>
      <c r="Q49"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49"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S49"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0.17499999999999999</v>
      </c>
      <c r="T49"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U49"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0.17499999999999999</v>
      </c>
      <c r="V49"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49"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49"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49"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49"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49"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49"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49" s="285">
        <f>+SUM(Tareas[[#This Row],[Programación Plan de actividades
Enero]:[Programación Plan de actividades
Diciembre]])</f>
        <v>0.35</v>
      </c>
      <c r="AD49" s="383"/>
      <c r="AE49" s="383"/>
      <c r="AF49" s="383"/>
      <c r="AG49" s="383"/>
      <c r="AH49" s="383"/>
      <c r="AI49" s="292"/>
      <c r="AJ49" s="292"/>
      <c r="AK49" s="292"/>
      <c r="AL49" s="292"/>
      <c r="AM49" s="292"/>
      <c r="AN49" s="292"/>
      <c r="AO49" s="292"/>
      <c r="AP49" s="375">
        <f>SUM(Tareas[[#This Row],[Población programada enero]:[Población programada diciembre]])</f>
        <v>0</v>
      </c>
      <c r="AQ49"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49"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49"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49"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49"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49"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49"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49"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49"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49"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49"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49"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49" s="285">
        <f>+SUM(Tareas[[#This Row],[Ejecución Plan de actividades
Enero]:[Ejecución Plan de actividades
Diciembre]])</f>
        <v>0</v>
      </c>
      <c r="BD49" s="269"/>
      <c r="BE49" s="269"/>
      <c r="BF49" s="269"/>
      <c r="BG49" s="269"/>
      <c r="BH49" s="269"/>
      <c r="BI49" s="269"/>
      <c r="BJ49" s="269"/>
      <c r="BK49" s="269"/>
      <c r="BL49" s="269"/>
      <c r="BM49" s="269"/>
      <c r="BN49" s="269"/>
      <c r="BO49" s="269"/>
      <c r="BP49" s="271">
        <f>SUM(Tareas[[#This Row],[Población atendida enero]:[Población atendida diciembre]])</f>
        <v>0</v>
      </c>
      <c r="BQ49" s="294">
        <f>IFERROR(Tareas[[#This Row],[Total Ejecutado plan de actividades]]/Tareas[[#This Row],[Total programado plan de actividades]],"No Programado")</f>
        <v>0</v>
      </c>
      <c r="BR49" s="294" t="str">
        <f>IFERROR(Tareas[[#This Row],[Total  de Población atendida]]/Tareas[[#This Row],[Total  de Población programada]],"No Aplica")</f>
        <v>No Aplica</v>
      </c>
      <c r="BS49" s="295"/>
    </row>
    <row r="50" spans="1:71" s="149" customFormat="1" ht="82.8" x14ac:dyDescent="0.35">
      <c r="A50" s="228" t="str">
        <f>Tareas[[#This Row],[Código proyecto]]&amp;Tareas[[#This Row],[No Meta proyecto]]</f>
        <v>77445</v>
      </c>
      <c r="B50" s="228" t="str">
        <f>Tareas[[#This Row],[Código proyecto]]&amp;Tareas[[#This Row],[No Meta proyecto]]&amp;Tareas[[#This Row],[N° de Actividad
(Consecutivo por meta)]]</f>
        <v>774451</v>
      </c>
      <c r="C50" s="11" t="str">
        <f>Tareas[[#This Row],[Código proyecto]]&amp;Tareas[[#This Row],[No Meta proyecto]]&amp;Tareas[[#This Row],[N° de Actividad
(Consecutivo por meta)]]&amp;Tareas[[#This Row],[N° de tarea]]</f>
        <v>7744511</v>
      </c>
      <c r="D50" s="11">
        <f>Proyecto!$B$19</f>
        <v>7744</v>
      </c>
      <c r="E50" s="11" t="str">
        <f>Proyecto!$D$19</f>
        <v>Generación de Oportunidades para el Desarrollo Integral de la Niñez y la Adolescencia de Bogotá</v>
      </c>
      <c r="F50" s="374">
        <v>5</v>
      </c>
      <c r="G50" s="11" t="str">
        <f>VLOOKUP(A50,ESTRATÉGICO!$C$3:$AA$110,14,0)</f>
        <v>Atender a 21200 niñas, niños y adolescentes del distrito en riesgo de trabajo infantil y violencias sexuales; y migrantes en riesgo de vulneración de sus derechos de manera flexible con enfoque diferencial y de género  </v>
      </c>
      <c r="H50" s="374">
        <v>1</v>
      </c>
      <c r="I50" s="11" t="str">
        <f>VLOOKUP(B50,Actividades!$B$18:$I$35,8,0)</f>
        <v>Atender mediante procesos flexibles y diferenciales a las ninas, ninos y adolescentes en riesgo o situacion de trabajo infantil, generando espacios protectores que garanticen sus derechos.</v>
      </c>
      <c r="J50" s="374">
        <v>1</v>
      </c>
      <c r="K50" s="373" t="s">
        <v>1027</v>
      </c>
      <c r="L50" s="290" t="s">
        <v>1028</v>
      </c>
      <c r="M50" s="291">
        <v>45306</v>
      </c>
      <c r="N50" s="291">
        <v>45443</v>
      </c>
      <c r="O50" s="264" t="s">
        <v>843</v>
      </c>
      <c r="P50" s="304">
        <v>0.6</v>
      </c>
      <c r="Q50"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50"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0.15</v>
      </c>
      <c r="S50"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0.15</v>
      </c>
      <c r="T50"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0.15</v>
      </c>
      <c r="U50"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0.15</v>
      </c>
      <c r="V50"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50"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50"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50"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50"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50"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50"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50" s="285">
        <f>+SUM(Tareas[[#This Row],[Programación Plan de actividades
Enero]:[Programación Plan de actividades
Diciembre]])</f>
        <v>0.6</v>
      </c>
      <c r="AD50" s="382">
        <f>2045+56</f>
        <v>2101</v>
      </c>
      <c r="AE50" s="382">
        <f>1876+56</f>
        <v>1932</v>
      </c>
      <c r="AF50" s="382">
        <v>1402</v>
      </c>
      <c r="AG50" s="382">
        <v>1519</v>
      </c>
      <c r="AH50" s="382">
        <f>1528+56</f>
        <v>1584</v>
      </c>
      <c r="AI50" s="292"/>
      <c r="AJ50" s="292"/>
      <c r="AK50" s="292"/>
      <c r="AL50" s="292"/>
      <c r="AM50" s="292"/>
      <c r="AN50" s="292"/>
      <c r="AO50" s="292"/>
      <c r="AP50" s="375">
        <f>SUM(Tareas[[#This Row],[Población programada enero]:[Población programada diciembre]])</f>
        <v>8538</v>
      </c>
      <c r="AQ50"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50"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50"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50"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50"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50"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50"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50"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50"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50"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50"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50"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50" s="285">
        <f>+SUM(Tareas[[#This Row],[Ejecución Plan de actividades
Enero]:[Ejecución Plan de actividades
Diciembre]])</f>
        <v>0</v>
      </c>
      <c r="BD50" s="292"/>
      <c r="BE50" s="292"/>
      <c r="BF50" s="292"/>
      <c r="BG50" s="292"/>
      <c r="BH50" s="292"/>
      <c r="BI50" s="292"/>
      <c r="BJ50" s="292"/>
      <c r="BK50" s="269"/>
      <c r="BL50" s="269"/>
      <c r="BM50" s="269"/>
      <c r="BN50" s="269"/>
      <c r="BO50" s="269"/>
      <c r="BP50" s="271">
        <f>SUM(Tareas[[#This Row],[Población atendida enero]:[Población atendida diciembre]])</f>
        <v>0</v>
      </c>
      <c r="BQ50" s="294">
        <f>IFERROR(Tareas[[#This Row],[Total Ejecutado plan de actividades]]/Tareas[[#This Row],[Total programado plan de actividades]],"No Programado")</f>
        <v>0</v>
      </c>
      <c r="BR50" s="294">
        <f>IFERROR(Tareas[[#This Row],[Total  de Población atendida]]/Tareas[[#This Row],[Total  de Población programada]],"No Aplica")</f>
        <v>0</v>
      </c>
      <c r="BS50" s="295"/>
    </row>
    <row r="51" spans="1:71" s="149" customFormat="1" ht="82.8" x14ac:dyDescent="0.35">
      <c r="A51" s="228" t="str">
        <f>Tareas[[#This Row],[Código proyecto]]&amp;Tareas[[#This Row],[No Meta proyecto]]</f>
        <v>77445</v>
      </c>
      <c r="B51" s="228" t="str">
        <f>Tareas[[#This Row],[Código proyecto]]&amp;Tareas[[#This Row],[No Meta proyecto]]&amp;Tareas[[#This Row],[N° de Actividad
(Consecutivo por meta)]]</f>
        <v>774451</v>
      </c>
      <c r="C51" s="11" t="str">
        <f>Tareas[[#This Row],[Código proyecto]]&amp;Tareas[[#This Row],[No Meta proyecto]]&amp;Tareas[[#This Row],[N° de Actividad
(Consecutivo por meta)]]&amp;Tareas[[#This Row],[N° de tarea]]</f>
        <v>7744512</v>
      </c>
      <c r="D51" s="11">
        <f>Proyecto!$B$19</f>
        <v>7744</v>
      </c>
      <c r="E51" s="11" t="str">
        <f>Proyecto!$D$19</f>
        <v>Generación de Oportunidades para el Desarrollo Integral de la Niñez y la Adolescencia de Bogotá</v>
      </c>
      <c r="F51" s="374">
        <v>5</v>
      </c>
      <c r="G51" s="11" t="str">
        <f>VLOOKUP(A51,ESTRATÉGICO!$C$3:$AA$110,14,0)</f>
        <v>Atender a 21200 niñas, niños y adolescentes del distrito en riesgo de trabajo infantil y violencias sexuales; y migrantes en riesgo de vulneración de sus derechos de manera flexible con enfoque diferencial y de género  </v>
      </c>
      <c r="H51" s="374">
        <v>1</v>
      </c>
      <c r="I51" s="11" t="str">
        <f>VLOOKUP(B51,Actividades!$B$18:$I$35,8,0)</f>
        <v>Atender mediante procesos flexibles y diferenciales a las ninas, ninos y adolescentes en riesgo o situacion de trabajo infantil, generando espacios protectores que garanticen sus derechos.</v>
      </c>
      <c r="J51" s="374">
        <v>2</v>
      </c>
      <c r="K51" s="373" t="s">
        <v>1029</v>
      </c>
      <c r="L51" s="290" t="s">
        <v>1028</v>
      </c>
      <c r="M51" s="291">
        <v>45306</v>
      </c>
      <c r="N51" s="291">
        <v>45443</v>
      </c>
      <c r="O51" s="264" t="s">
        <v>844</v>
      </c>
      <c r="P51" s="304">
        <v>0.2</v>
      </c>
      <c r="Q51"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51"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1.0000000000000002E-2</v>
      </c>
      <c r="S51"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0.06</v>
      </c>
      <c r="T51"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6.9999999999999993E-2</v>
      </c>
      <c r="U51"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0.06</v>
      </c>
      <c r="V51"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51"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51"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51"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51"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51"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51"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51" s="285">
        <f>+SUM(Tareas[[#This Row],[Programación Plan de actividades
Enero]:[Programación Plan de actividades
Diciembre]])</f>
        <v>0.2</v>
      </c>
      <c r="AD51" s="383"/>
      <c r="AE51" s="383"/>
      <c r="AF51" s="383"/>
      <c r="AG51" s="383"/>
      <c r="AH51" s="383"/>
      <c r="AI51" s="292"/>
      <c r="AJ51" s="292"/>
      <c r="AK51" s="292"/>
      <c r="AL51" s="292"/>
      <c r="AM51" s="292"/>
      <c r="AN51" s="292"/>
      <c r="AO51" s="292"/>
      <c r="AP51" s="375">
        <f>SUM(Tareas[[#This Row],[Población programada enero]:[Población programada diciembre]])</f>
        <v>0</v>
      </c>
      <c r="AQ51"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51"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51"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51"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51"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51"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51"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51"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51"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51"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51"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51"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51" s="285">
        <f>+SUM(Tareas[[#This Row],[Ejecución Plan de actividades
Enero]:[Ejecución Plan de actividades
Diciembre]])</f>
        <v>0</v>
      </c>
      <c r="BD51" s="292"/>
      <c r="BE51" s="292"/>
      <c r="BF51" s="292"/>
      <c r="BG51" s="292"/>
      <c r="BH51" s="292"/>
      <c r="BI51" s="292"/>
      <c r="BJ51" s="292"/>
      <c r="BK51" s="269"/>
      <c r="BL51" s="269"/>
      <c r="BM51" s="269"/>
      <c r="BN51" s="269"/>
      <c r="BO51" s="269"/>
      <c r="BP51" s="271">
        <f>SUM(Tareas[[#This Row],[Población atendida enero]:[Población atendida diciembre]])</f>
        <v>0</v>
      </c>
      <c r="BQ51" s="294">
        <f>IFERROR(Tareas[[#This Row],[Total Ejecutado plan de actividades]]/Tareas[[#This Row],[Total programado plan de actividades]],"No Programado")</f>
        <v>0</v>
      </c>
      <c r="BR51" s="294" t="str">
        <f>IFERROR(Tareas[[#This Row],[Total  de Población atendida]]/Tareas[[#This Row],[Total  de Población programada]],"No Aplica")</f>
        <v>No Aplica</v>
      </c>
      <c r="BS51" s="295"/>
    </row>
    <row r="52" spans="1:71" s="149" customFormat="1" ht="82.8" x14ac:dyDescent="0.35">
      <c r="A52" s="228" t="str">
        <f>Tareas[[#This Row],[Código proyecto]]&amp;Tareas[[#This Row],[No Meta proyecto]]</f>
        <v>77445</v>
      </c>
      <c r="B52" s="228" t="str">
        <f>Tareas[[#This Row],[Código proyecto]]&amp;Tareas[[#This Row],[No Meta proyecto]]&amp;Tareas[[#This Row],[N° de Actividad
(Consecutivo por meta)]]</f>
        <v>774451</v>
      </c>
      <c r="C52" s="11" t="str">
        <f>Tareas[[#This Row],[Código proyecto]]&amp;Tareas[[#This Row],[No Meta proyecto]]&amp;Tareas[[#This Row],[N° de Actividad
(Consecutivo por meta)]]&amp;Tareas[[#This Row],[N° de tarea]]</f>
        <v>7744513</v>
      </c>
      <c r="D52" s="11">
        <f>Proyecto!$B$19</f>
        <v>7744</v>
      </c>
      <c r="E52" s="11" t="str">
        <f>Proyecto!$D$19</f>
        <v>Generación de Oportunidades para el Desarrollo Integral de la Niñez y la Adolescencia de Bogotá</v>
      </c>
      <c r="F52" s="374">
        <v>5</v>
      </c>
      <c r="G52" s="11" t="str">
        <f>VLOOKUP(A52,ESTRATÉGICO!$C$3:$AA$110,14,0)</f>
        <v>Atender a 21200 niñas, niños y adolescentes del distrito en riesgo de trabajo infantil y violencias sexuales; y migrantes en riesgo de vulneración de sus derechos de manera flexible con enfoque diferencial y de género  </v>
      </c>
      <c r="H52" s="374">
        <v>1</v>
      </c>
      <c r="I52" s="11" t="str">
        <f>VLOOKUP(B52,Actividades!$B$18:$I$35,8,0)</f>
        <v>Atender mediante procesos flexibles y diferenciales a las ninas, ninos y adolescentes en riesgo o situacion de trabajo infantil, generando espacios protectores que garanticen sus derechos.</v>
      </c>
      <c r="J52" s="374">
        <v>3</v>
      </c>
      <c r="K52" s="373" t="s">
        <v>1030</v>
      </c>
      <c r="L52" s="290" t="s">
        <v>1031</v>
      </c>
      <c r="M52" s="291">
        <v>45306</v>
      </c>
      <c r="N52" s="291">
        <v>45443</v>
      </c>
      <c r="O52" s="264" t="s">
        <v>844</v>
      </c>
      <c r="P52" s="304">
        <v>0.2</v>
      </c>
      <c r="Q52"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52"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2.0000000000000004E-2</v>
      </c>
      <c r="S52"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0.06</v>
      </c>
      <c r="T52"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0.06</v>
      </c>
      <c r="U52"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0.06</v>
      </c>
      <c r="V52"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52"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52"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52"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52"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52"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52"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52" s="285">
        <f>+SUM(Tareas[[#This Row],[Programación Plan de actividades
Enero]:[Programación Plan de actividades
Diciembre]])</f>
        <v>0.2</v>
      </c>
      <c r="AD52" s="383"/>
      <c r="AE52" s="383"/>
      <c r="AF52" s="383"/>
      <c r="AG52" s="383"/>
      <c r="AH52" s="383"/>
      <c r="AI52" s="292"/>
      <c r="AJ52" s="292"/>
      <c r="AK52" s="292"/>
      <c r="AL52" s="292"/>
      <c r="AM52" s="292"/>
      <c r="AN52" s="292"/>
      <c r="AO52" s="292"/>
      <c r="AP52" s="375">
        <f>SUM(Tareas[[#This Row],[Población programada enero]:[Población programada diciembre]])</f>
        <v>0</v>
      </c>
      <c r="AQ52"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52"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52"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52"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52"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52"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52"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52"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52"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52"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52"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52"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52" s="285">
        <f>+SUM(Tareas[[#This Row],[Ejecución Plan de actividades
Enero]:[Ejecución Plan de actividades
Diciembre]])</f>
        <v>0</v>
      </c>
      <c r="BD52" s="292"/>
      <c r="BE52" s="292"/>
      <c r="BF52" s="292"/>
      <c r="BG52" s="292"/>
      <c r="BH52" s="292"/>
      <c r="BI52" s="292"/>
      <c r="BJ52" s="292"/>
      <c r="BK52" s="269"/>
      <c r="BL52" s="269"/>
      <c r="BM52" s="269"/>
      <c r="BN52" s="269"/>
      <c r="BO52" s="269"/>
      <c r="BP52" s="271">
        <f>SUM(Tareas[[#This Row],[Población atendida enero]:[Población atendida diciembre]])</f>
        <v>0</v>
      </c>
      <c r="BQ52" s="294">
        <f>IFERROR(Tareas[[#This Row],[Total Ejecutado plan de actividades]]/Tareas[[#This Row],[Total programado plan de actividades]],"No Programado")</f>
        <v>0</v>
      </c>
      <c r="BR52" s="294" t="str">
        <f>IFERROR(Tareas[[#This Row],[Total  de Población atendida]]/Tareas[[#This Row],[Total  de Población programada]],"No Aplica")</f>
        <v>No Aplica</v>
      </c>
      <c r="BS52" s="295"/>
    </row>
    <row r="53" spans="1:71" s="149" customFormat="1" ht="96.6" x14ac:dyDescent="0.35">
      <c r="A53" s="228" t="str">
        <f>Tareas[[#This Row],[Código proyecto]]&amp;Tareas[[#This Row],[No Meta proyecto]]</f>
        <v>77445</v>
      </c>
      <c r="B53" s="228" t="str">
        <f>Tareas[[#This Row],[Código proyecto]]&amp;Tareas[[#This Row],[No Meta proyecto]]&amp;Tareas[[#This Row],[N° de Actividad
(Consecutivo por meta)]]</f>
        <v>774452</v>
      </c>
      <c r="C53" s="11" t="str">
        <f>Tareas[[#This Row],[Código proyecto]]&amp;Tareas[[#This Row],[No Meta proyecto]]&amp;Tareas[[#This Row],[N° de Actividad
(Consecutivo por meta)]]&amp;Tareas[[#This Row],[N° de tarea]]</f>
        <v>7744521</v>
      </c>
      <c r="D53" s="11">
        <f>Proyecto!$B$19</f>
        <v>7744</v>
      </c>
      <c r="E53" s="11" t="str">
        <f>Proyecto!$D$19</f>
        <v>Generación de Oportunidades para el Desarrollo Integral de la Niñez y la Adolescencia de Bogotá</v>
      </c>
      <c r="F53" s="374">
        <v>5</v>
      </c>
      <c r="G53" s="11" t="str">
        <f>VLOOKUP(A53,ESTRATÉGICO!$C$3:$AA$110,14,0)</f>
        <v>Atender a 21200 niñas, niños y adolescentes del distrito en riesgo de trabajo infantil y violencias sexuales; y migrantes en riesgo de vulneración de sus derechos de manera flexible con enfoque diferencial y de género  </v>
      </c>
      <c r="H53" s="374">
        <v>2</v>
      </c>
      <c r="I53" s="11" t="str">
        <f>VLOOKUP(B53,Actividades!$B$18:$I$35,8,0)</f>
        <v>Atender mediante estrategias diferenciales y flexibles a ninas, ninos y adolescentes en contexto de poblacion migrante, en riesgo de vulneracion de derechos, articulando la oferta distrital para garantizar la proteccion de sus derechos.</v>
      </c>
      <c r="J53" s="374">
        <v>1</v>
      </c>
      <c r="K53" s="373" t="s">
        <v>1032</v>
      </c>
      <c r="L53" s="290" t="s">
        <v>1031</v>
      </c>
      <c r="M53" s="291">
        <v>45306</v>
      </c>
      <c r="N53" s="291">
        <v>45443</v>
      </c>
      <c r="O53" s="264" t="s">
        <v>843</v>
      </c>
      <c r="P53" s="304">
        <v>1</v>
      </c>
      <c r="Q53"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53"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0.25</v>
      </c>
      <c r="S53"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0.25</v>
      </c>
      <c r="T53"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0.25</v>
      </c>
      <c r="U53"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0.25</v>
      </c>
      <c r="V53"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53"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53"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53"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53"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53"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53"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53" s="285">
        <f>+SUM(Tareas[[#This Row],[Programación Plan de actividades
Enero]:[Programación Plan de actividades
Diciembre]])</f>
        <v>1</v>
      </c>
      <c r="AD53" s="383"/>
      <c r="AE53" s="382">
        <v>796</v>
      </c>
      <c r="AF53" s="382">
        <v>759</v>
      </c>
      <c r="AG53" s="382">
        <v>778</v>
      </c>
      <c r="AH53" s="382">
        <v>925</v>
      </c>
      <c r="AI53" s="292"/>
      <c r="AJ53" s="292"/>
      <c r="AK53" s="292"/>
      <c r="AL53" s="292"/>
      <c r="AM53" s="292"/>
      <c r="AN53" s="292"/>
      <c r="AO53" s="292"/>
      <c r="AP53" s="375">
        <f>SUM(Tareas[[#This Row],[Población programada enero]:[Población programada diciembre]])</f>
        <v>3258</v>
      </c>
      <c r="AQ53"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53"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53"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53"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53"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53"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53"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53"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53"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53"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53"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53"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53" s="285">
        <f>+SUM(Tareas[[#This Row],[Ejecución Plan de actividades
Enero]:[Ejecución Plan de actividades
Diciembre]])</f>
        <v>0</v>
      </c>
      <c r="BD53" s="292"/>
      <c r="BE53" s="292"/>
      <c r="BF53" s="292"/>
      <c r="BG53" s="292"/>
      <c r="BH53" s="292"/>
      <c r="BI53" s="292"/>
      <c r="BJ53" s="292"/>
      <c r="BK53" s="269"/>
      <c r="BL53" s="269"/>
      <c r="BM53" s="269"/>
      <c r="BN53" s="269"/>
      <c r="BO53" s="269"/>
      <c r="BP53" s="271">
        <f>SUM(Tareas[[#This Row],[Población atendida enero]:[Población atendida diciembre]])</f>
        <v>0</v>
      </c>
      <c r="BQ53" s="294">
        <f>IFERROR(Tareas[[#This Row],[Total Ejecutado plan de actividades]]/Tareas[[#This Row],[Total programado plan de actividades]],"No Programado")</f>
        <v>0</v>
      </c>
      <c r="BR53" s="294">
        <f>IFERROR(Tareas[[#This Row],[Total  de Población atendida]]/Tareas[[#This Row],[Total  de Población programada]],"No Aplica")</f>
        <v>0</v>
      </c>
      <c r="BS53" s="295"/>
    </row>
    <row r="54" spans="1:71" s="149" customFormat="1" ht="110.4" x14ac:dyDescent="0.35">
      <c r="A54" s="228" t="str">
        <f>Tareas[[#This Row],[Código proyecto]]&amp;Tareas[[#This Row],[No Meta proyecto]]</f>
        <v>77445</v>
      </c>
      <c r="B54" s="228" t="str">
        <f>Tareas[[#This Row],[Código proyecto]]&amp;Tareas[[#This Row],[No Meta proyecto]]&amp;Tareas[[#This Row],[N° de Actividad
(Consecutivo por meta)]]</f>
        <v>774454</v>
      </c>
      <c r="C54" s="11" t="str">
        <f>Tareas[[#This Row],[Código proyecto]]&amp;Tareas[[#This Row],[No Meta proyecto]]&amp;Tareas[[#This Row],[N° de Actividad
(Consecutivo por meta)]]&amp;Tareas[[#This Row],[N° de tarea]]</f>
        <v>7744541</v>
      </c>
      <c r="D54" s="11">
        <f>Proyecto!$B$19</f>
        <v>7744</v>
      </c>
      <c r="E54" s="11" t="str">
        <f>Proyecto!$D$19</f>
        <v>Generación de Oportunidades para el Desarrollo Integral de la Niñez y la Adolescencia de Bogotá</v>
      </c>
      <c r="F54" s="374">
        <v>5</v>
      </c>
      <c r="G54" s="11" t="str">
        <f>VLOOKUP(A54,ESTRATÉGICO!$C$3:$AA$110,14,0)</f>
        <v>Atender a 21200 niñas, niños y adolescentes del distrito en riesgo de trabajo infantil y violencias sexuales; y migrantes en riesgo de vulneración de sus derechos de manera flexible con enfoque diferencial y de género  </v>
      </c>
      <c r="H54" s="374">
        <v>4</v>
      </c>
      <c r="I54" s="11" t="str">
        <f>VLOOKUP(B54,Actividades!$B$18:$I$35,8,0)</f>
        <v>Implementar en el marco del Sistema Distrital de Cuidado, espacios de modalidad flexible de acompanamiento a las ninas, ninos y adolescentes, cuyas madres o padres debido a sus realidades sociales y economicas, requieran de estrategias dife</v>
      </c>
      <c r="J54" s="374">
        <v>1</v>
      </c>
      <c r="K54" s="373" t="s">
        <v>1033</v>
      </c>
      <c r="L54" s="290" t="s">
        <v>1034</v>
      </c>
      <c r="M54" s="291">
        <v>45306</v>
      </c>
      <c r="N54" s="291">
        <v>45443</v>
      </c>
      <c r="O54" s="264" t="s">
        <v>843</v>
      </c>
      <c r="P54" s="304">
        <v>0.6</v>
      </c>
      <c r="Q54"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54"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0.06</v>
      </c>
      <c r="S54"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0.06</v>
      </c>
      <c r="T54"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0.12</v>
      </c>
      <c r="U54"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0.36</v>
      </c>
      <c r="V54"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54"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54"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54"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54"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54"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54"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54" s="285">
        <f>+SUM(Tareas[[#This Row],[Programación Plan de actividades
Enero]:[Programación Plan de actividades
Diciembre]])</f>
        <v>0.6</v>
      </c>
      <c r="AD54" s="382">
        <f>1828+56</f>
        <v>1884</v>
      </c>
      <c r="AE54" s="382">
        <f>1855+56</f>
        <v>1911</v>
      </c>
      <c r="AF54" s="382">
        <f>1888+56</f>
        <v>1944</v>
      </c>
      <c r="AG54" s="382">
        <v>1790</v>
      </c>
      <c r="AH54" s="382">
        <f>1819+56</f>
        <v>1875</v>
      </c>
      <c r="AI54" s="292"/>
      <c r="AJ54" s="292"/>
      <c r="AK54" s="292"/>
      <c r="AL54" s="292"/>
      <c r="AM54" s="292"/>
      <c r="AN54" s="292"/>
      <c r="AO54" s="292"/>
      <c r="AP54" s="375">
        <f>SUM(Tareas[[#This Row],[Población programada enero]:[Población programada diciembre]])</f>
        <v>9404</v>
      </c>
      <c r="AQ54"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54"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54"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54"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54"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54"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54"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54"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54"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54"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54"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54"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54" s="285">
        <f>+SUM(Tareas[[#This Row],[Ejecución Plan de actividades
Enero]:[Ejecución Plan de actividades
Diciembre]])</f>
        <v>0</v>
      </c>
      <c r="BD54" s="292"/>
      <c r="BE54" s="292"/>
      <c r="BF54" s="292"/>
      <c r="BG54" s="292"/>
      <c r="BH54" s="292"/>
      <c r="BI54" s="292"/>
      <c r="BJ54" s="292"/>
      <c r="BK54" s="269"/>
      <c r="BL54" s="269"/>
      <c r="BM54" s="269"/>
      <c r="BN54" s="269"/>
      <c r="BO54" s="269"/>
      <c r="BP54" s="271">
        <f>SUM(Tareas[[#This Row],[Población atendida enero]:[Población atendida diciembre]])</f>
        <v>0</v>
      </c>
      <c r="BQ54" s="294">
        <f>IFERROR(Tareas[[#This Row],[Total Ejecutado plan de actividades]]/Tareas[[#This Row],[Total programado plan de actividades]],"No Programado")</f>
        <v>0</v>
      </c>
      <c r="BR54" s="294">
        <f>IFERROR(Tareas[[#This Row],[Total  de Población atendida]]/Tareas[[#This Row],[Total  de Población programada]],"No Aplica")</f>
        <v>0</v>
      </c>
      <c r="BS54" s="295"/>
    </row>
    <row r="55" spans="1:71" s="149" customFormat="1" ht="110.4" x14ac:dyDescent="0.35">
      <c r="A55" s="228" t="str">
        <f>Tareas[[#This Row],[Código proyecto]]&amp;Tareas[[#This Row],[No Meta proyecto]]</f>
        <v>77445</v>
      </c>
      <c r="B55" s="228" t="str">
        <f>Tareas[[#This Row],[Código proyecto]]&amp;Tareas[[#This Row],[No Meta proyecto]]&amp;Tareas[[#This Row],[N° de Actividad
(Consecutivo por meta)]]</f>
        <v>774454</v>
      </c>
      <c r="C55" s="11" t="str">
        <f>Tareas[[#This Row],[Código proyecto]]&amp;Tareas[[#This Row],[No Meta proyecto]]&amp;Tareas[[#This Row],[N° de Actividad
(Consecutivo por meta)]]&amp;Tareas[[#This Row],[N° de tarea]]</f>
        <v>7744542</v>
      </c>
      <c r="D55" s="11">
        <f>Proyecto!$B$19</f>
        <v>7744</v>
      </c>
      <c r="E55" s="11" t="str">
        <f>Proyecto!$D$19</f>
        <v>Generación de Oportunidades para el Desarrollo Integral de la Niñez y la Adolescencia de Bogotá</v>
      </c>
      <c r="F55" s="374">
        <v>5</v>
      </c>
      <c r="G55" s="11" t="str">
        <f>VLOOKUP(A55,ESTRATÉGICO!$C$3:$AA$110,14,0)</f>
        <v>Atender a 21200 niñas, niños y adolescentes del distrito en riesgo de trabajo infantil y violencias sexuales; y migrantes en riesgo de vulneración de sus derechos de manera flexible con enfoque diferencial y de género  </v>
      </c>
      <c r="H55" s="374">
        <v>4</v>
      </c>
      <c r="I55" s="11" t="str">
        <f>VLOOKUP(B55,Actividades!$B$18:$I$35,8,0)</f>
        <v>Implementar en el marco del Sistema Distrital de Cuidado, espacios de modalidad flexible de acompanamiento a las ninas, ninos y adolescentes, cuyas madres o padres debido a sus realidades sociales y economicas, requieran de estrategias dife</v>
      </c>
      <c r="J55" s="374">
        <v>2</v>
      </c>
      <c r="K55" s="373" t="s">
        <v>1035</v>
      </c>
      <c r="L55" s="290" t="s">
        <v>1034</v>
      </c>
      <c r="M55" s="291">
        <v>45306</v>
      </c>
      <c r="N55" s="291">
        <v>45443</v>
      </c>
      <c r="O55" s="264" t="s">
        <v>844</v>
      </c>
      <c r="P55" s="304">
        <v>0.4</v>
      </c>
      <c r="Q55"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55"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0.1</v>
      </c>
      <c r="S55"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0.1</v>
      </c>
      <c r="T55"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0.1</v>
      </c>
      <c r="U55"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0.1</v>
      </c>
      <c r="V55"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55"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55"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55"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55"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55"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55"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55" s="285">
        <f>+SUM(Tareas[[#This Row],[Programación Plan de actividades
Enero]:[Programación Plan de actividades
Diciembre]])</f>
        <v>0.4</v>
      </c>
      <c r="AD55" s="383"/>
      <c r="AE55" s="383"/>
      <c r="AF55" s="383"/>
      <c r="AG55" s="383"/>
      <c r="AH55" s="383"/>
      <c r="AI55" s="292"/>
      <c r="AJ55" s="292"/>
      <c r="AK55" s="292"/>
      <c r="AL55" s="292"/>
      <c r="AM55" s="292"/>
      <c r="AN55" s="292"/>
      <c r="AO55" s="292"/>
      <c r="AP55" s="375">
        <f>SUM(Tareas[[#This Row],[Población programada enero]:[Población programada diciembre]])</f>
        <v>0</v>
      </c>
      <c r="AQ55"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55"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55"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55"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55"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55"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55"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55"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55"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55"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55"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55"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55" s="285">
        <f>+SUM(Tareas[[#This Row],[Ejecución Plan de actividades
Enero]:[Ejecución Plan de actividades
Diciembre]])</f>
        <v>0</v>
      </c>
      <c r="BD55" s="292"/>
      <c r="BE55" s="292"/>
      <c r="BF55" s="292"/>
      <c r="BG55" s="292"/>
      <c r="BH55" s="292"/>
      <c r="BI55" s="292"/>
      <c r="BJ55" s="292"/>
      <c r="BK55" s="269"/>
      <c r="BL55" s="269"/>
      <c r="BM55" s="269"/>
      <c r="BN55" s="269"/>
      <c r="BO55" s="269"/>
      <c r="BP55" s="271">
        <f>SUM(Tareas[[#This Row],[Población atendida enero]:[Población atendida diciembre]])</f>
        <v>0</v>
      </c>
      <c r="BQ55" s="294">
        <f>IFERROR(Tareas[[#This Row],[Total Ejecutado plan de actividades]]/Tareas[[#This Row],[Total programado plan de actividades]],"No Programado")</f>
        <v>0</v>
      </c>
      <c r="BR55" s="294" t="str">
        <f>IFERROR(Tareas[[#This Row],[Total  de Población atendida]]/Tareas[[#This Row],[Total  de Población programada]],"No Aplica")</f>
        <v>No Aplica</v>
      </c>
      <c r="BS55" s="295"/>
    </row>
    <row r="56" spans="1:71" s="149" customFormat="1" ht="110.4" x14ac:dyDescent="0.35">
      <c r="A56" s="228" t="str">
        <f>Tareas[[#This Row],[Código proyecto]]&amp;Tareas[[#This Row],[No Meta proyecto]]</f>
        <v>77446</v>
      </c>
      <c r="B56" s="228" t="str">
        <f>Tareas[[#This Row],[Código proyecto]]&amp;Tareas[[#This Row],[No Meta proyecto]]&amp;Tareas[[#This Row],[N° de Actividad
(Consecutivo por meta)]]</f>
        <v>774461</v>
      </c>
      <c r="C56" s="11" t="str">
        <f>Tareas[[#This Row],[Código proyecto]]&amp;Tareas[[#This Row],[No Meta proyecto]]&amp;Tareas[[#This Row],[N° de Actividad
(Consecutivo por meta)]]&amp;Tareas[[#This Row],[N° de tarea]]</f>
        <v>7744611</v>
      </c>
      <c r="D56" s="11">
        <f>Proyecto!$B$19</f>
        <v>7744</v>
      </c>
      <c r="E56" s="11" t="str">
        <f>Proyecto!$D$19</f>
        <v>Generación de Oportunidades para el Desarrollo Integral de la Niñez y la Adolescencia de Bogotá</v>
      </c>
      <c r="F56" s="374">
        <v>6</v>
      </c>
      <c r="G56" s="11" t="str">
        <f>VLOOKUP(A56,ESTRATÉGICO!$C$3:$AA$110,14,0)</f>
        <v>Atender a 8300 niñas niños y adolescentes  víctimas y afectados por el conflicto armado en el marco del acuerdo de paz, la memoria, la convivencia y la reconciliación con enfoque diferencial y de género</v>
      </c>
      <c r="H56" s="374">
        <v>1</v>
      </c>
      <c r="I56" s="11" t="str">
        <f>VLOOKUP(B56,Actividades!$B$18:$I$35,8,0)</f>
        <v>Contribuir a la construcción de la memoria, la convivencia y la reconciliación en el marco del acuerdo de paz, a través de la atención de las niñas, niños y adolescentes víctimas y afectados por el conflicto armado, desde un enfoque territo</v>
      </c>
      <c r="J56" s="374">
        <v>1</v>
      </c>
      <c r="K56" s="373" t="s">
        <v>1036</v>
      </c>
      <c r="L56" s="290" t="s">
        <v>1037</v>
      </c>
      <c r="M56" s="291">
        <v>45306</v>
      </c>
      <c r="N56" s="291">
        <v>45443</v>
      </c>
      <c r="O56" s="264" t="s">
        <v>843</v>
      </c>
      <c r="P56" s="304">
        <v>0.6</v>
      </c>
      <c r="Q56"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56"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0.15</v>
      </c>
      <c r="S56"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0.15</v>
      </c>
      <c r="T56"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0.15</v>
      </c>
      <c r="U56"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0.15</v>
      </c>
      <c r="V56"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56"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56"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56"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56"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56"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56"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56" s="285">
        <f>+SUM(Tareas[[#This Row],[Programación Plan de actividades
Enero]:[Programación Plan de actividades
Diciembre]])</f>
        <v>0.6</v>
      </c>
      <c r="AD56" s="382">
        <v>2834</v>
      </c>
      <c r="AE56" s="382">
        <v>1549</v>
      </c>
      <c r="AF56" s="382">
        <v>1258</v>
      </c>
      <c r="AG56" s="382">
        <v>1280</v>
      </c>
      <c r="AH56" s="382">
        <v>1379</v>
      </c>
      <c r="AI56" s="292"/>
      <c r="AJ56" s="292"/>
      <c r="AK56" s="292"/>
      <c r="AL56" s="292"/>
      <c r="AM56" s="292"/>
      <c r="AN56" s="292"/>
      <c r="AO56" s="292"/>
      <c r="AP56" s="375">
        <f>SUM(Tareas[[#This Row],[Población programada enero]:[Población programada diciembre]])</f>
        <v>8300</v>
      </c>
      <c r="AQ56"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56"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56"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56"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56"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56"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56"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56"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56"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56"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56"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56"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56" s="285">
        <f>+SUM(Tareas[[#This Row],[Ejecución Plan de actividades
Enero]:[Ejecución Plan de actividades
Diciembre]])</f>
        <v>0</v>
      </c>
      <c r="BD56" s="292"/>
      <c r="BE56" s="292"/>
      <c r="BF56" s="292"/>
      <c r="BG56" s="292"/>
      <c r="BH56" s="292"/>
      <c r="BI56" s="292"/>
      <c r="BJ56" s="292"/>
      <c r="BK56" s="269"/>
      <c r="BL56" s="269"/>
      <c r="BM56" s="269"/>
      <c r="BN56" s="269"/>
      <c r="BO56" s="269"/>
      <c r="BP56" s="271">
        <f>SUM(Tareas[[#This Row],[Población atendida enero]:[Población atendida diciembre]])</f>
        <v>0</v>
      </c>
      <c r="BQ56" s="294">
        <f>IFERROR(Tareas[[#This Row],[Total Ejecutado plan de actividades]]/Tareas[[#This Row],[Total programado plan de actividades]],"No Programado")</f>
        <v>0</v>
      </c>
      <c r="BR56" s="294">
        <f>IFERROR(Tareas[[#This Row],[Total  de Población atendida]]/Tareas[[#This Row],[Total  de Población programada]],"No Aplica")</f>
        <v>0</v>
      </c>
      <c r="BS56" s="295"/>
    </row>
    <row r="57" spans="1:71" s="149" customFormat="1" ht="110.4" x14ac:dyDescent="0.35">
      <c r="A57" s="228" t="str">
        <f>Tareas[[#This Row],[Código proyecto]]&amp;Tareas[[#This Row],[No Meta proyecto]]</f>
        <v>77446</v>
      </c>
      <c r="B57" s="228" t="str">
        <f>Tareas[[#This Row],[Código proyecto]]&amp;Tareas[[#This Row],[No Meta proyecto]]&amp;Tareas[[#This Row],[N° de Actividad
(Consecutivo por meta)]]</f>
        <v>774461</v>
      </c>
      <c r="C57" s="11" t="str">
        <f>Tareas[[#This Row],[Código proyecto]]&amp;Tareas[[#This Row],[No Meta proyecto]]&amp;Tareas[[#This Row],[N° de Actividad
(Consecutivo por meta)]]&amp;Tareas[[#This Row],[N° de tarea]]</f>
        <v>7744612</v>
      </c>
      <c r="D57" s="11">
        <f>Proyecto!$B$19</f>
        <v>7744</v>
      </c>
      <c r="E57" s="11" t="str">
        <f>Proyecto!$D$19</f>
        <v>Generación de Oportunidades para el Desarrollo Integral de la Niñez y la Adolescencia de Bogotá</v>
      </c>
      <c r="F57" s="374">
        <v>6</v>
      </c>
      <c r="G57" s="11" t="str">
        <f>VLOOKUP(A57,ESTRATÉGICO!$C$3:$AA$110,14,0)</f>
        <v>Atender a 8300 niñas niños y adolescentes  víctimas y afectados por el conflicto armado en el marco del acuerdo de paz, la memoria, la convivencia y la reconciliación con enfoque diferencial y de género</v>
      </c>
      <c r="H57" s="374">
        <v>1</v>
      </c>
      <c r="I57" s="11" t="str">
        <f>VLOOKUP(B57,Actividades!$B$18:$I$35,8,0)</f>
        <v>Contribuir a la construcción de la memoria, la convivencia y la reconciliación en el marco del acuerdo de paz, a través de la atención de las niñas, niños y adolescentes víctimas y afectados por el conflicto armado, desde un enfoque territo</v>
      </c>
      <c r="J57" s="374">
        <v>2</v>
      </c>
      <c r="K57" s="373" t="s">
        <v>1373</v>
      </c>
      <c r="L57" s="290" t="s">
        <v>1037</v>
      </c>
      <c r="M57" s="291">
        <v>45306</v>
      </c>
      <c r="N57" s="291">
        <v>45443</v>
      </c>
      <c r="O57" s="264" t="s">
        <v>844</v>
      </c>
      <c r="P57" s="304">
        <v>0.2</v>
      </c>
      <c r="Q57"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57"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0.05</v>
      </c>
      <c r="S57"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0.05</v>
      </c>
      <c r="T57"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0.05</v>
      </c>
      <c r="U57"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0.05</v>
      </c>
      <c r="V57"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57"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57"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57"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57"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57"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57"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57" s="285">
        <f>+SUM(Tareas[[#This Row],[Programación Plan de actividades
Enero]:[Programación Plan de actividades
Diciembre]])</f>
        <v>0.2</v>
      </c>
      <c r="AD57" s="383"/>
      <c r="AE57" s="383"/>
      <c r="AF57" s="383"/>
      <c r="AG57" s="383"/>
      <c r="AH57" s="383"/>
      <c r="AI57" s="292"/>
      <c r="AJ57" s="292"/>
      <c r="AK57" s="292"/>
      <c r="AL57" s="292"/>
      <c r="AM57" s="292"/>
      <c r="AN57" s="292"/>
      <c r="AO57" s="292"/>
      <c r="AP57" s="375">
        <f>SUM(Tareas[[#This Row],[Población programada enero]:[Población programada diciembre]])</f>
        <v>0</v>
      </c>
      <c r="AQ57"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57"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57"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57"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57"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57"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57"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57"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57"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57"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57"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57"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57" s="285">
        <f>+SUM(Tareas[[#This Row],[Ejecución Plan de actividades
Enero]:[Ejecución Plan de actividades
Diciembre]])</f>
        <v>0</v>
      </c>
      <c r="BD57" s="292"/>
      <c r="BE57" s="292"/>
      <c r="BF57" s="292"/>
      <c r="BG57" s="292"/>
      <c r="BH57" s="292"/>
      <c r="BI57" s="292"/>
      <c r="BJ57" s="292"/>
      <c r="BK57" s="269"/>
      <c r="BL57" s="269"/>
      <c r="BM57" s="269"/>
      <c r="BN57" s="269"/>
      <c r="BO57" s="269"/>
      <c r="BP57" s="271">
        <f>SUM(Tareas[[#This Row],[Población atendida enero]:[Población atendida diciembre]])</f>
        <v>0</v>
      </c>
      <c r="BQ57" s="294">
        <f>IFERROR(Tareas[[#This Row],[Total Ejecutado plan de actividades]]/Tareas[[#This Row],[Total programado plan de actividades]],"No Programado")</f>
        <v>0</v>
      </c>
      <c r="BR57" s="294" t="str">
        <f>IFERROR(Tareas[[#This Row],[Total  de Población atendida]]/Tareas[[#This Row],[Total  de Población programada]],"No Aplica")</f>
        <v>No Aplica</v>
      </c>
      <c r="BS57" s="295"/>
    </row>
    <row r="58" spans="1:71" s="149" customFormat="1" ht="138" x14ac:dyDescent="0.35">
      <c r="A58" s="228" t="str">
        <f>Tareas[[#This Row],[Código proyecto]]&amp;Tareas[[#This Row],[No Meta proyecto]]</f>
        <v>77446</v>
      </c>
      <c r="B58" s="228" t="str">
        <f>Tareas[[#This Row],[Código proyecto]]&amp;Tareas[[#This Row],[No Meta proyecto]]&amp;Tareas[[#This Row],[N° de Actividad
(Consecutivo por meta)]]</f>
        <v>774461</v>
      </c>
      <c r="C58" s="11" t="str">
        <f>Tareas[[#This Row],[Código proyecto]]&amp;Tareas[[#This Row],[No Meta proyecto]]&amp;Tareas[[#This Row],[N° de Actividad
(Consecutivo por meta)]]&amp;Tareas[[#This Row],[N° de tarea]]</f>
        <v>7744613</v>
      </c>
      <c r="D58" s="11">
        <f>Proyecto!$B$19</f>
        <v>7744</v>
      </c>
      <c r="E58" s="11" t="str">
        <f>Proyecto!$D$19</f>
        <v>Generación de Oportunidades para el Desarrollo Integral de la Niñez y la Adolescencia de Bogotá</v>
      </c>
      <c r="F58" s="374">
        <v>6</v>
      </c>
      <c r="G58" s="11" t="str">
        <f>VLOOKUP(A58,ESTRATÉGICO!$C$3:$AA$110,14,0)</f>
        <v>Atender a 8300 niñas niños y adolescentes  víctimas y afectados por el conflicto armado en el marco del acuerdo de paz, la memoria, la convivencia y la reconciliación con enfoque diferencial y de género</v>
      </c>
      <c r="H58" s="374">
        <v>1</v>
      </c>
      <c r="I58" s="11" t="str">
        <f>VLOOKUP(B58,Actividades!$B$18:$I$35,8,0)</f>
        <v>Contribuir a la construcción de la memoria, la convivencia y la reconciliación en el marco del acuerdo de paz, a través de la atención de las niñas, niños y adolescentes víctimas y afectados por el conflicto armado, desde un enfoque territo</v>
      </c>
      <c r="J58" s="374">
        <v>3</v>
      </c>
      <c r="K58" s="373" t="s">
        <v>1374</v>
      </c>
      <c r="L58" s="290" t="s">
        <v>1037</v>
      </c>
      <c r="M58" s="291">
        <v>45306</v>
      </c>
      <c r="N58" s="291">
        <v>45443</v>
      </c>
      <c r="O58" s="264" t="s">
        <v>844</v>
      </c>
      <c r="P58" s="304">
        <v>0.2</v>
      </c>
      <c r="Q58" s="282">
        <f>+SUMIFS(Soportes[Programación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R58" s="282">
        <f>+SUMIFS(Soportes[Programación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0.05</v>
      </c>
      <c r="S58" s="282">
        <f>+SUMIFS(Soportes[Programación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0.05</v>
      </c>
      <c r="T58" s="282">
        <f>+SUMIFS(Soportes[Programación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0.05</v>
      </c>
      <c r="U58" s="282">
        <f>+SUMIFS(Soportes[Programación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0.05</v>
      </c>
      <c r="V58" s="284">
        <f>+SUMIFS(Soportes[Programación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W58" s="284">
        <f>+SUMIFS(Soportes[Programación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X58" s="284">
        <f>+SUMIFS(Soportes[Programación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Y58" s="284">
        <f>+SUMIFS(Soportes[Programación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Z58" s="284">
        <f>+SUMIFS(Soportes[Programación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A58" s="284">
        <f>+SUMIFS(Soportes[Programación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B58" s="284">
        <f>+SUMIFS(Soportes[Programación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C58" s="285">
        <f>+SUM(Tareas[[#This Row],[Programación Plan de actividades
Enero]:[Programación Plan de actividades
Diciembre]])</f>
        <v>0.2</v>
      </c>
      <c r="AD58" s="383"/>
      <c r="AE58" s="383"/>
      <c r="AF58" s="383"/>
      <c r="AG58" s="383"/>
      <c r="AH58" s="383"/>
      <c r="AI58" s="292"/>
      <c r="AJ58" s="292"/>
      <c r="AK58" s="292"/>
      <c r="AL58" s="292"/>
      <c r="AM58" s="292"/>
      <c r="AN58" s="292"/>
      <c r="AO58" s="292"/>
      <c r="AP58" s="375">
        <f>SUM(Tareas[[#This Row],[Población programada enero]:[Población programada diciembre]])</f>
        <v>0</v>
      </c>
      <c r="AQ58" s="293">
        <f>+SUMIFS(Soportes[Soportes entregados Plan de actividades
Enero],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R58" s="284">
        <f>+SUMIFS(Soportes[Soportes entregados Plan de actividades
Febrero],
Soportes[N° de tarea],Tareas[[#This Row],[N° de tarea]],
Soportes[N° de Actividad
(Consecutivo por meta)],Tareas[[#This Row],[N° de Actividad
(Consecutivo por meta)]],
Soportes[No Meta proyecto],Tareas[[#This Row],[No Meta proyecto]])*Tareas[[#This Row],[Ponderación de la tarea (Deben sumar el 100% de la actividad) ]]</f>
        <v>0</v>
      </c>
      <c r="AS58" s="284">
        <f>+SUMIFS(Soportes[Soportes entregados Plan de actividades
Marzo],
Soportes[N° de tarea],Tareas[[#This Row],[N° de tarea]],
Soportes[N° de Actividad
(Consecutivo por meta)],Tareas[[#This Row],[N° de Actividad
(Consecutivo por meta)]],
Soportes[No Meta proyecto],Tareas[[#This Row],[No Meta proyecto]])*Tareas[[#This Row],[Ponderación de la tarea (Deben sumar el 100% de la actividad) ]]</f>
        <v>0</v>
      </c>
      <c r="AT58" s="284">
        <f>+SUMIFS(Soportes[Soportes entregados Plan de actividades
Abril],
Soportes[N° de tarea],Tareas[[#This Row],[N° de tarea]],
Soportes[N° de Actividad
(Consecutivo por meta)],Tareas[[#This Row],[N° de Actividad
(Consecutivo por meta)]],
Soportes[No Meta proyecto],Tareas[[#This Row],[No Meta proyecto]])*Tareas[[#This Row],[Ponderación de la tarea (Deben sumar el 100% de la actividad) ]]</f>
        <v>0</v>
      </c>
      <c r="AU58" s="284">
        <f>+SUMIFS(Soportes[Soportes entregados Plan de actividades
Mayo],
Soportes[N° de tarea],Tareas[[#This Row],[N° de tarea]],
Soportes[N° de Actividad
(Consecutivo por meta)],Tareas[[#This Row],[N° de Actividad
(Consecutivo por meta)]],
Soportes[No Meta proyecto],Tareas[[#This Row],[No Meta proyecto]])*Tareas[[#This Row],[Ponderación de la tarea (Deben sumar el 100% de la actividad) ]]</f>
        <v>0</v>
      </c>
      <c r="AV58" s="284">
        <f>+SUMIFS(Soportes[Soportes entregados Plan de actividades
Junio],
Soportes[N° de tarea],Tareas[[#This Row],[N° de tarea]],
Soportes[N° de Actividad
(Consecutivo por meta)],Tareas[[#This Row],[N° de Actividad
(Consecutivo por meta)]],
Soportes[No Meta proyecto],Tareas[[#This Row],[No Meta proyecto]])*Tareas[[#This Row],[Ponderación de la tarea (Deben sumar el 100% de la actividad) ]]</f>
        <v>0</v>
      </c>
      <c r="AW58" s="284">
        <f>+SUMIFS(Soportes[Soportes entregados Plan de actividades
Julio],
Soportes[N° de tarea],Tareas[[#This Row],[N° de tarea]],
Soportes[N° de Actividad
(Consecutivo por meta)],Tareas[[#This Row],[N° de Actividad
(Consecutivo por meta)]],
Soportes[No Meta proyecto],Tareas[[#This Row],[No Meta proyecto]])*Tareas[[#This Row],[Ponderación de la tarea (Deben sumar el 100% de la actividad) ]]</f>
        <v>0</v>
      </c>
      <c r="AX58" s="284">
        <f>+SUMIFS(Soportes[Soportes entregados Plan de actividades
Agosto],
Soportes[N° de tarea],Tareas[[#This Row],[N° de tarea]],
Soportes[N° de Actividad
(Consecutivo por meta)],Tareas[[#This Row],[N° de Actividad
(Consecutivo por meta)]],
Soportes[No Meta proyecto],Tareas[[#This Row],[No Meta proyecto]])*Tareas[[#This Row],[Ponderación de la tarea (Deben sumar el 100% de la actividad) ]]</f>
        <v>0</v>
      </c>
      <c r="AY58" s="284">
        <f>+SUMIFS(Soportes[Soportes entregados Plan de actividades
Septiembre],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AZ58" s="284">
        <f>+SUMIFS(Soportes[Soportes entregados Plan de actividades
Octubre],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A58" s="284">
        <f>+SUMIFS(Soportes[Soportes entregados Plan de actividades
Noviembre],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B58" s="284">
        <f>+SUMIFS(Soportes[Soportes entregados Plan de actividades
Diciembre],
Soportes[N° de tarea],Tareas[[#This Row],[N° de tarea]],
Soportes[N° de Actividad
(Consecutivo por meta)],Tareas[[#This Row],[N° de Actividad
(Consecutivo por meta)]],
Soportes[No Meta proyecto],Tareas[[#This Row],[No Meta proyecto]])*Tareas[[#This Row],[Ponderación de la tarea (Deben sumar el 100% de la actividad) ]]</f>
        <v>0</v>
      </c>
      <c r="BC58" s="285">
        <f>+SUM(Tareas[[#This Row],[Ejecución Plan de actividades
Enero]:[Ejecución Plan de actividades
Diciembre]])</f>
        <v>0</v>
      </c>
      <c r="BD58" s="292"/>
      <c r="BE58" s="292"/>
      <c r="BF58" s="292"/>
      <c r="BG58" s="292"/>
      <c r="BH58" s="292"/>
      <c r="BI58" s="292"/>
      <c r="BJ58" s="292"/>
      <c r="BK58" s="269"/>
      <c r="BL58" s="269"/>
      <c r="BM58" s="269"/>
      <c r="BN58" s="269"/>
      <c r="BO58" s="269"/>
      <c r="BP58" s="271">
        <f>SUM(Tareas[[#This Row],[Población atendida enero]:[Población atendida diciembre]])</f>
        <v>0</v>
      </c>
      <c r="BQ58" s="294">
        <f>IFERROR(Tareas[[#This Row],[Total Ejecutado plan de actividades]]/Tareas[[#This Row],[Total programado plan de actividades]],"No Programado")</f>
        <v>0</v>
      </c>
      <c r="BR58" s="294" t="str">
        <f>IFERROR(Tareas[[#This Row],[Total  de Población atendida]]/Tareas[[#This Row],[Total  de Población programada]],"No Aplica")</f>
        <v>No Aplica</v>
      </c>
      <c r="BS58" s="295"/>
    </row>
    <row r="59" spans="1:71" ht="15" customHeight="1" x14ac:dyDescent="0.3">
      <c r="A59" s="53"/>
      <c r="B59" s="53"/>
      <c r="C59" s="20" t="s">
        <v>845</v>
      </c>
      <c r="D59" s="20"/>
      <c r="E59" s="20"/>
      <c r="F59" s="10"/>
      <c r="G59" s="20"/>
      <c r="H59" s="10"/>
      <c r="I59" s="295"/>
      <c r="J59" s="10">
        <f>SUBTOTAL(103,Tareas[N° de tarea])</f>
        <v>41</v>
      </c>
      <c r="K59" s="10">
        <f>SUBTOTAL(103,Tareas[Descripción de la tarea])</f>
        <v>41</v>
      </c>
      <c r="L59" s="10"/>
      <c r="M59" s="10"/>
      <c r="N59" s="10"/>
      <c r="O59" s="10"/>
      <c r="P59" s="303">
        <f>SUBTOTAL(109,Tareas[Ponderación de la tarea (Deben sumar el 100% de la actividad) ])</f>
        <v>17.999999999999996</v>
      </c>
      <c r="Q59" s="303">
        <f>SUBTOTAL(109,Tareas[Programación Plan de actividades
Enero])</f>
        <v>0</v>
      </c>
      <c r="R59" s="303">
        <f>SUBTOTAL(109,Tareas[Programación Plan de actividades
Febrero])</f>
        <v>2.3649999999999998</v>
      </c>
      <c r="S59" s="303">
        <f>SUBTOTAL(109,Tareas[Programación Plan de actividades
Marzo])</f>
        <v>5.2499999999999982</v>
      </c>
      <c r="T59" s="303">
        <f>SUBTOTAL(109,Tareas[Programación Plan de actividades
Abril])</f>
        <v>3.105</v>
      </c>
      <c r="U59" s="303">
        <f>SUBTOTAL(109,Tareas[Programación Plan de actividades
Mayo])</f>
        <v>7.2799999999999976</v>
      </c>
      <c r="V59" s="303">
        <f>SUBTOTAL(109,Tareas[Programación Plan de actividades
Junio])</f>
        <v>0</v>
      </c>
      <c r="W59" s="303">
        <f>SUBTOTAL(109,Tareas[Programación Plan de actividades
Julio])</f>
        <v>0</v>
      </c>
      <c r="X59" s="303">
        <f>SUBTOTAL(109,Tareas[Programación Plan de actividades
Agosto])</f>
        <v>0</v>
      </c>
      <c r="Y59" s="303">
        <f>SUBTOTAL(109,Tareas[Programación Plan de actividades
Septiembre])</f>
        <v>0</v>
      </c>
      <c r="Z59" s="303">
        <f>SUBTOTAL(109,Tareas[Programación Plan de actividades
Octubre])</f>
        <v>0</v>
      </c>
      <c r="AA59" s="303">
        <f>SUBTOTAL(109,Tareas[Programación Plan de actividades
Noviembre])</f>
        <v>0</v>
      </c>
      <c r="AB59" s="303">
        <f>SUBTOTAL(109,Tareas[Programación Plan de actividades
Diciembre])</f>
        <v>0</v>
      </c>
      <c r="AC59" s="303">
        <f>SUBTOTAL(109,Tareas[Total programado plan de actividades])</f>
        <v>17.999999999999996</v>
      </c>
      <c r="AD59" s="301">
        <f>SUBTOTAL(109,Tareas[Población programada enero])</f>
        <v>11841</v>
      </c>
      <c r="AE59" s="301">
        <f>SUBTOTAL(109,Tareas[Población programada febrero])</f>
        <v>14845</v>
      </c>
      <c r="AF59" s="301">
        <f>SUBTOTAL(109,Tareas[Población programada marzo])</f>
        <v>15376</v>
      </c>
      <c r="AG59" s="301">
        <f>SUBTOTAL(109,Tareas[Población programada abril])</f>
        <v>16057</v>
      </c>
      <c r="AH59" s="301">
        <f>SUBTOTAL(109,Tareas[Población programada mayo])</f>
        <v>16220</v>
      </c>
      <c r="AI59" s="301">
        <f>SUBTOTAL(109,Tareas[Población programada junio])</f>
        <v>0</v>
      </c>
      <c r="AJ59" s="301">
        <f>SUBTOTAL(109,Tareas[Población programada julio])</f>
        <v>0</v>
      </c>
      <c r="AK59" s="301">
        <f>SUBTOTAL(109,Tareas[Población programada agosto])</f>
        <v>0</v>
      </c>
      <c r="AL59" s="301">
        <f>SUBTOTAL(109,Tareas[Población programada septiembre])</f>
        <v>0</v>
      </c>
      <c r="AM59" s="301">
        <f>SUBTOTAL(109,Tareas[Población programada octubre])</f>
        <v>0</v>
      </c>
      <c r="AN59" s="301">
        <f>SUBTOTAL(109,Tareas[Población programada noviembre])</f>
        <v>0</v>
      </c>
      <c r="AO59" s="301">
        <f>SUBTOTAL(109,Tareas[Población programada diciembre])</f>
        <v>0</v>
      </c>
      <c r="AP59" s="301"/>
      <c r="AQ59" s="20"/>
      <c r="AR59" s="20"/>
      <c r="AS59" s="20"/>
      <c r="AT59" s="20"/>
      <c r="AU59" s="20"/>
      <c r="AV59" s="20"/>
      <c r="AW59" s="20"/>
      <c r="AX59" s="20"/>
      <c r="AY59" s="20"/>
      <c r="AZ59" s="20"/>
      <c r="BA59" s="20"/>
      <c r="BB59" s="20"/>
      <c r="BC59" s="20"/>
      <c r="BD59" s="301">
        <f>SUBTOTAL(109,Tareas[Población atendida enero])</f>
        <v>0</v>
      </c>
      <c r="BE59" s="301">
        <f>SUBTOTAL(109,Tareas[Población atendida febrero])</f>
        <v>0</v>
      </c>
      <c r="BF59" s="301">
        <f>SUBTOTAL(109,Tareas[Población atendida marzo])</f>
        <v>0</v>
      </c>
      <c r="BG59" s="301">
        <f>SUBTOTAL(109,Tareas[Población atendida abril])</f>
        <v>0</v>
      </c>
      <c r="BH59" s="301">
        <f>SUBTOTAL(109,Tareas[Población atendida mayo])</f>
        <v>0</v>
      </c>
      <c r="BI59" s="301">
        <f>SUBTOTAL(109,Tareas[Población atendida junio])</f>
        <v>0</v>
      </c>
      <c r="BJ59" s="301">
        <f>SUBTOTAL(109,Tareas[Población atendida julio])</f>
        <v>0</v>
      </c>
      <c r="BK59" s="301">
        <f>SUBTOTAL(109,Tareas[Población atendida agosto])</f>
        <v>0</v>
      </c>
      <c r="BL59" s="301">
        <f>SUBTOTAL(109,Tareas[Población atendida septiembre])</f>
        <v>0</v>
      </c>
      <c r="BM59" s="301">
        <f>SUBTOTAL(109,Tareas[Población atendida octubre])</f>
        <v>0</v>
      </c>
      <c r="BN59" s="301">
        <f>SUBTOTAL(109,Tareas[Población atendida noviembre])</f>
        <v>0</v>
      </c>
      <c r="BO59" s="301">
        <f>SUBTOTAL(109,Tareas[Población atendida diciembre])</f>
        <v>0</v>
      </c>
      <c r="BP59" s="301">
        <f>SUBTOTAL(109,Tareas[Total  de Población atendida])</f>
        <v>0</v>
      </c>
      <c r="BQ59" s="20"/>
      <c r="BR59" s="20"/>
      <c r="BS59" s="20"/>
    </row>
    <row r="60" spans="1:71" ht="15" customHeight="1" x14ac:dyDescent="0.3">
      <c r="A60" s="53"/>
      <c r="B60" s="53"/>
      <c r="C60" s="49"/>
      <c r="D60" s="49"/>
      <c r="E60" s="49"/>
      <c r="F60" s="49"/>
      <c r="G60" s="49"/>
      <c r="H60" s="113"/>
      <c r="I60" s="113"/>
      <c r="J60" s="49"/>
      <c r="K60" s="148"/>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386"/>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row>
    <row r="61" spans="1:71" ht="15" customHeight="1" x14ac:dyDescent="0.3">
      <c r="A61" s="53"/>
      <c r="B61" s="53"/>
      <c r="C61" s="49"/>
      <c r="D61" s="49"/>
      <c r="E61" s="49"/>
      <c r="F61" s="49"/>
      <c r="G61" s="49"/>
      <c r="H61" s="113"/>
      <c r="I61" s="113"/>
      <c r="J61" s="49"/>
      <c r="K61" s="148"/>
      <c r="L61" s="246"/>
      <c r="M61" s="49"/>
      <c r="N61" s="49"/>
      <c r="O61" s="49"/>
      <c r="P61" s="49"/>
      <c r="Q61" s="49"/>
      <c r="R61" s="49"/>
      <c r="S61" s="49"/>
      <c r="T61" s="49"/>
      <c r="U61" s="49"/>
      <c r="V61" s="49"/>
      <c r="W61" s="49"/>
      <c r="X61" s="49"/>
      <c r="Y61" s="49"/>
      <c r="Z61" s="49"/>
      <c r="AA61" s="49"/>
      <c r="AB61" s="49"/>
      <c r="AC61" s="256"/>
      <c r="AD61" s="49"/>
      <c r="AE61" s="49"/>
      <c r="AF61" s="49"/>
      <c r="AG61" s="49"/>
      <c r="AH61" s="49"/>
      <c r="AI61" s="49"/>
      <c r="AJ61" s="49"/>
      <c r="AK61" s="49"/>
      <c r="AL61" s="49"/>
      <c r="AM61" s="49"/>
      <c r="AN61" s="49"/>
      <c r="AO61" s="49"/>
      <c r="AP61" s="386"/>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row>
    <row r="62" spans="1:71" ht="15" customHeight="1" x14ac:dyDescent="0.3">
      <c r="A62" s="53"/>
      <c r="B62" s="53"/>
      <c r="C62" s="49"/>
      <c r="D62" s="49"/>
      <c r="E62" s="49"/>
      <c r="F62" s="49"/>
      <c r="G62" s="49"/>
      <c r="H62" s="113"/>
      <c r="I62" s="113"/>
      <c r="J62" s="49"/>
      <c r="K62" s="148"/>
      <c r="L62" s="49"/>
      <c r="M62" s="49"/>
      <c r="N62" s="49"/>
      <c r="O62" s="49"/>
      <c r="P62" s="49"/>
      <c r="Q62" s="49"/>
      <c r="R62" s="49"/>
      <c r="S62" s="49"/>
      <c r="T62" s="49"/>
      <c r="U62" s="49"/>
      <c r="V62" s="49"/>
      <c r="W62" s="49"/>
      <c r="X62" s="49"/>
      <c r="Y62" s="49"/>
      <c r="Z62" s="49"/>
      <c r="AA62" s="49"/>
      <c r="AB62" s="49"/>
      <c r="AC62" s="256"/>
      <c r="AD62" s="49"/>
      <c r="AE62" s="49"/>
      <c r="AF62" s="49"/>
      <c r="AG62" s="49"/>
      <c r="AH62" s="49"/>
      <c r="AI62" s="49"/>
      <c r="AJ62" s="49"/>
      <c r="AK62" s="49"/>
      <c r="AL62" s="49"/>
      <c r="AM62" s="49"/>
      <c r="AN62" s="49"/>
      <c r="AO62" s="49"/>
      <c r="AP62" s="386"/>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row>
    <row r="63" spans="1:71" ht="15" customHeight="1" x14ac:dyDescent="0.3">
      <c r="A63" s="53"/>
      <c r="B63" s="53"/>
      <c r="C63" s="49"/>
      <c r="D63" s="49"/>
      <c r="E63" s="49"/>
      <c r="F63" s="49"/>
      <c r="G63" s="49"/>
      <c r="H63" s="113"/>
      <c r="I63" s="113"/>
      <c r="J63" s="49"/>
      <c r="K63" s="148"/>
      <c r="L63" s="49"/>
      <c r="M63" s="49"/>
      <c r="N63" s="49"/>
      <c r="O63" s="49"/>
      <c r="P63" s="49"/>
      <c r="Q63" s="49"/>
      <c r="R63" s="49"/>
      <c r="S63" s="49"/>
      <c r="T63" s="49"/>
      <c r="U63" s="49"/>
      <c r="V63" s="49"/>
      <c r="W63" s="49"/>
      <c r="X63" s="49"/>
      <c r="Y63" s="49"/>
      <c r="Z63" s="49"/>
      <c r="AA63" s="49"/>
      <c r="AB63" s="49"/>
      <c r="AC63" s="256"/>
      <c r="AD63" s="49"/>
      <c r="AE63" s="49"/>
      <c r="AF63" s="49"/>
      <c r="AG63" s="49"/>
      <c r="AH63" s="49"/>
      <c r="AI63" s="49"/>
      <c r="AJ63" s="49"/>
      <c r="AK63" s="49"/>
      <c r="AL63" s="49"/>
      <c r="AM63" s="49"/>
      <c r="AN63" s="49"/>
      <c r="AO63" s="49"/>
      <c r="AP63" s="386"/>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row>
    <row r="64" spans="1:71" ht="15" customHeight="1" x14ac:dyDescent="0.3">
      <c r="A64" s="53"/>
      <c r="B64" s="53"/>
      <c r="C64" s="49"/>
      <c r="D64" s="49"/>
      <c r="E64" s="49"/>
      <c r="F64" s="49"/>
      <c r="G64" s="49"/>
      <c r="H64" s="113"/>
      <c r="I64" s="113"/>
      <c r="J64" s="49"/>
      <c r="K64" s="148"/>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row>
    <row r="65" spans="1:71" ht="15" customHeight="1" x14ac:dyDescent="0.3">
      <c r="A65" s="53"/>
      <c r="B65" s="53"/>
      <c r="C65" s="49"/>
      <c r="D65" s="49"/>
      <c r="E65" s="49"/>
      <c r="F65" s="49"/>
      <c r="G65" s="49"/>
      <c r="H65" s="113"/>
      <c r="I65" s="113"/>
      <c r="J65" s="49"/>
      <c r="K65" s="148"/>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row>
    <row r="66" spans="1:71" ht="15" customHeight="1" x14ac:dyDescent="0.3">
      <c r="A66" s="53"/>
      <c r="B66" s="53"/>
      <c r="C66" s="49"/>
      <c r="D66" s="49"/>
      <c r="E66" s="49"/>
      <c r="F66" s="49"/>
      <c r="G66" s="49"/>
      <c r="H66" s="113"/>
      <c r="I66" s="113"/>
      <c r="J66" s="49"/>
      <c r="K66" s="148"/>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row>
    <row r="67" spans="1:71" ht="15" customHeight="1" x14ac:dyDescent="0.3">
      <c r="A67" s="53"/>
      <c r="B67" s="53"/>
      <c r="C67" s="49"/>
      <c r="D67" s="49"/>
      <c r="E67" s="49"/>
      <c r="F67" s="49"/>
      <c r="G67" s="49"/>
      <c r="H67" s="113"/>
      <c r="I67" s="113"/>
      <c r="J67" s="49"/>
      <c r="K67" s="148"/>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row>
    <row r="68" spans="1:71" ht="15" customHeight="1" x14ac:dyDescent="0.3">
      <c r="A68" s="53"/>
      <c r="B68" s="53"/>
      <c r="C68" s="49"/>
      <c r="D68" s="49"/>
      <c r="E68" s="49"/>
      <c r="F68" s="49"/>
      <c r="G68" s="49"/>
      <c r="H68" s="113"/>
      <c r="I68" s="113"/>
      <c r="J68" s="49"/>
      <c r="K68" s="148"/>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row>
    <row r="69" spans="1:71" ht="15" customHeight="1" x14ac:dyDescent="0.3">
      <c r="A69" s="53"/>
      <c r="B69" s="53"/>
      <c r="C69" s="49"/>
      <c r="D69" s="49"/>
      <c r="E69" s="49"/>
      <c r="F69" s="49"/>
      <c r="G69" s="49"/>
      <c r="H69" s="113"/>
      <c r="I69" s="113"/>
      <c r="J69" s="49"/>
      <c r="K69" s="148"/>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row>
    <row r="70" spans="1:71" ht="15" customHeight="1" x14ac:dyDescent="0.3">
      <c r="A70" s="53"/>
      <c r="B70" s="53"/>
      <c r="C70" s="49"/>
      <c r="D70" s="49"/>
      <c r="E70" s="49"/>
      <c r="F70" s="49"/>
      <c r="G70" s="49"/>
      <c r="H70" s="113"/>
      <c r="I70" s="113"/>
      <c r="J70" s="49"/>
      <c r="K70" s="148"/>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row>
    <row r="71" spans="1:71" ht="15" customHeight="1" x14ac:dyDescent="0.3">
      <c r="A71" s="53"/>
      <c r="B71" s="53"/>
      <c r="C71" s="49"/>
      <c r="D71" s="49"/>
      <c r="E71" s="49"/>
      <c r="F71" s="49"/>
      <c r="G71" s="49"/>
      <c r="H71" s="113"/>
      <c r="I71" s="113"/>
      <c r="J71" s="49"/>
      <c r="K71" s="148"/>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row>
    <row r="72" spans="1:71" ht="15" customHeight="1" x14ac:dyDescent="0.3">
      <c r="A72" s="53"/>
      <c r="B72" s="53"/>
      <c r="C72" s="49"/>
      <c r="D72" s="49"/>
      <c r="E72" s="49"/>
      <c r="F72" s="49"/>
      <c r="G72" s="49"/>
      <c r="H72" s="113"/>
      <c r="I72" s="113"/>
      <c r="J72" s="49"/>
      <c r="K72" s="148"/>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row>
    <row r="73" spans="1:71" ht="15" customHeight="1" x14ac:dyDescent="0.3">
      <c r="A73" s="53"/>
      <c r="B73" s="53"/>
      <c r="C73" s="49"/>
      <c r="D73" s="49"/>
      <c r="E73" s="49"/>
      <c r="F73" s="49"/>
      <c r="G73" s="49"/>
      <c r="H73" s="113"/>
      <c r="I73" s="113"/>
      <c r="J73" s="49"/>
      <c r="K73" s="148"/>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row>
    <row r="74" spans="1:71" ht="15" customHeight="1" x14ac:dyDescent="0.3">
      <c r="A74" s="53"/>
      <c r="B74" s="53"/>
      <c r="C74" s="49"/>
      <c r="D74" s="49"/>
      <c r="E74" s="49"/>
      <c r="F74" s="49"/>
      <c r="G74" s="49"/>
      <c r="H74" s="113"/>
      <c r="I74" s="113"/>
      <c r="J74" s="49"/>
      <c r="K74" s="148"/>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row>
  </sheetData>
  <sheetProtection formatCells="0" formatColumns="0" formatRows="0" insertRows="0" sort="0" autoFilter="0" pivotTables="0"/>
  <mergeCells count="11">
    <mergeCell ref="E2:F5"/>
    <mergeCell ref="C2:D5"/>
    <mergeCell ref="A13:BR13"/>
    <mergeCell ref="BD16:BP16"/>
    <mergeCell ref="AD16:AP16"/>
    <mergeCell ref="AQ16:BC16"/>
    <mergeCell ref="P16:AC16"/>
    <mergeCell ref="G2:H2"/>
    <mergeCell ref="G3:H3"/>
    <mergeCell ref="G4:H4"/>
    <mergeCell ref="G5:H5"/>
  </mergeCells>
  <phoneticPr fontId="14" type="noConversion"/>
  <dataValidations xWindow="1644" yWindow="364" count="14">
    <dataValidation type="list" errorStyle="warning" allowBlank="1" showInputMessage="1" showErrorMessage="1" prompt="Seleccione de la lista desplegable" sqref="O37:O58 O18:O34" xr:uid="{00000000-0002-0000-0C00-000000000000}">
      <formula1>"SI, NO"</formula1>
    </dataValidation>
    <dataValidation type="whole" errorStyle="warning" allowBlank="1" showInputMessage="1" showErrorMessage="1" prompt="Relacione el número de la tarea. " sqref="J37:J58 J18:J34" xr:uid="{00000000-0002-0000-0C00-000001000000}">
      <formula1>1</formula1>
      <formula2>50</formula2>
    </dataValidation>
    <dataValidation errorStyle="warning" allowBlank="1" showInputMessage="1" showErrorMessage="1" prompt="Relacione las tareas que darán cumplimiento a las actividades del proyecto de inversión." sqref="K18:K20 K22:K23 K25:K58" xr:uid="{00000000-0002-0000-0C00-000002000000}"/>
    <dataValidation errorStyle="warning" allowBlank="1" showInputMessage="1" showErrorMessage="1" prompt="Relacione el responsable de la ejecución de la tarea." sqref="L47:L58 L18:L32" xr:uid="{00000000-0002-0000-0C00-000003000000}"/>
    <dataValidation type="decimal" errorStyle="warning" allowBlank="1" showInputMessage="1" showErrorMessage="1" sqref="P31:P32" xr:uid="{00000000-0002-0000-0C00-000004000000}">
      <formula1>0</formula1>
      <formula2>1</formula2>
    </dataValidation>
    <dataValidation type="whole" errorStyle="warning" allowBlank="1" showInputMessage="1" showErrorMessage="1" prompt="Si el proyecto de inversión atiende población, relacione la ejecución de las atenciones para la vigencia." sqref="K24 BD18:BO58 AE24:AH24 AE26:AH26" xr:uid="{00000000-0002-0000-0C00-000005000000}">
      <formula1>1</formula1>
      <formula2>10000000</formula2>
    </dataValidation>
    <dataValidation type="list" errorStyle="warning" allowBlank="1" showInputMessage="1" showErrorMessage="1" prompt="Relacione el número de la meta del proyecto de inversión." sqref="F37:F58 F18:F34" xr:uid="{00000000-0002-0000-0C00-000006000000}">
      <formula1>codmet</formula1>
    </dataValidation>
    <dataValidation type="whole" errorStyle="warning" allowBlank="1" showInputMessage="1" showErrorMessage="1" sqref="H37:H58 H18:H34" xr:uid="{00000000-0002-0000-0C00-000007000000}">
      <formula1>1</formula1>
      <formula2>60</formula2>
    </dataValidation>
    <dataValidation errorStyle="warning" allowBlank="1" showInputMessage="1" showErrorMessage="1" sqref="K21 G18:G58" xr:uid="{00000000-0002-0000-0C00-000008000000}"/>
    <dataValidation errorStyle="warning" allowBlank="1" showInputMessage="1" showErrorMessage="1" prompt="Relacione el responsable de la ejecución de la actividad." sqref="L33:L46" xr:uid="{00000000-0002-0000-0C00-000009000000}"/>
    <dataValidation type="decimal" errorStyle="warning" allowBlank="1" showInputMessage="1" showErrorMessage="1" prompt="Relacione la ponderación para el soporte de la tarea. Recuerde que la suma de los % debe dar el 100% de la tarea." sqref="P18:P23 P33:P58 P25:P30" xr:uid="{00000000-0002-0000-0C00-00000A000000}">
      <formula1>0</formula1>
      <formula2>1</formula2>
    </dataValidation>
    <dataValidation type="date" errorStyle="warning" allowBlank="1" showInputMessage="1" showErrorMessage="1" prompt="Relacione el periodo durante el cual se desarrollará la tarea. Formato fecha dd/mm/aaaa" sqref="M18:N58" xr:uid="{00000000-0002-0000-0C00-00000B000000}">
      <formula1>43982</formula1>
      <formula2>45443</formula2>
    </dataValidation>
    <dataValidation errorStyle="warning" allowBlank="1" showInputMessage="1" showErrorMessage="1" prompt="Relacione las actividades que darán cumplimiento a las metas del proyecto de inversión." sqref="I18:I58" xr:uid="{00000000-0002-0000-0C00-00000C000000}"/>
    <dataValidation type="whole" errorStyle="warning" allowBlank="1" showInputMessage="1" showErrorMessage="1" prompt="Si el proyecto de inversión atiende población, relacione la programación de las atenciones para la vigencia." sqref="AI18:AO58 AE18:AH23 AE25:AH25 AE27:AH58 AD18:AD58" xr:uid="{00000000-0002-0000-0C00-00000D000000}">
      <formula1>1</formula1>
      <formula2>10000000</formula2>
    </dataValidation>
  </dataValidations>
  <pageMargins left="0.7" right="0.7" top="0.75" bottom="0.75" header="0.3" footer="0.3"/>
  <pageSetup orientation="portrait" r:id="rId1"/>
  <drawing r:id="rId2"/>
  <legacy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tabColor theme="2"/>
  </sheetPr>
  <dimension ref="A2:AU141"/>
  <sheetViews>
    <sheetView showGridLines="0" topLeftCell="C15" zoomScaleNormal="100" workbookViewId="0">
      <selection activeCell="C59" sqref="C59"/>
    </sheetView>
  </sheetViews>
  <sheetFormatPr baseColWidth="10" defaultColWidth="11.54296875" defaultRowHeight="13.8" x14ac:dyDescent="0.3"/>
  <cols>
    <col min="1" max="2" width="8.81640625" style="49" hidden="1" customWidth="1"/>
    <col min="3" max="3" width="3.453125" style="49" customWidth="1"/>
    <col min="4" max="4" width="10.54296875" style="49" customWidth="1"/>
    <col min="5" max="5" width="8.90625" style="49" customWidth="1"/>
    <col min="6" max="6" width="20.81640625" style="49" customWidth="1"/>
    <col min="7" max="7" width="8.54296875" style="49" customWidth="1"/>
    <col min="8" max="8" width="17.6328125" style="49" customWidth="1"/>
    <col min="9" max="9" width="5.90625" style="49" customWidth="1"/>
    <col min="10" max="10" width="15.1796875" style="49" customWidth="1"/>
    <col min="11" max="11" width="8.453125" style="49" customWidth="1"/>
    <col min="12" max="12" width="20.1796875" style="49" customWidth="1"/>
    <col min="13" max="13" width="6.1796875" style="49" customWidth="1"/>
    <col min="14" max="14" width="24.36328125" style="49" customWidth="1"/>
    <col min="15" max="15" width="7.1796875" style="49" customWidth="1"/>
    <col min="16" max="16" width="23" style="49" customWidth="1"/>
    <col min="17" max="17" width="9.08984375" style="49" customWidth="1"/>
    <col min="18" max="18" width="34.36328125" style="49" customWidth="1"/>
    <col min="19" max="19" width="9.81640625" style="49" customWidth="1"/>
    <col min="20" max="24" width="11" style="49" customWidth="1"/>
    <col min="25" max="31" width="11" style="49" hidden="1" customWidth="1"/>
    <col min="32" max="32" width="11" style="49" customWidth="1"/>
    <col min="33" max="33" width="10.54296875" style="49" customWidth="1"/>
    <col min="34" max="38" width="11" style="49" customWidth="1"/>
    <col min="39" max="44" width="11" style="49" hidden="1" customWidth="1"/>
    <col min="45" max="45" width="11.54296875" style="49" hidden="1" customWidth="1"/>
    <col min="46" max="16384" width="11.54296875" style="49"/>
  </cols>
  <sheetData>
    <row r="2" spans="1:47" s="39" customFormat="1" ht="24" customHeight="1" x14ac:dyDescent="0.35">
      <c r="D2" s="406"/>
      <c r="E2" s="406"/>
      <c r="F2" s="537" t="s">
        <v>683</v>
      </c>
      <c r="G2" s="537"/>
      <c r="H2" s="537"/>
      <c r="I2" s="537"/>
      <c r="J2" s="538" t="s">
        <v>684</v>
      </c>
      <c r="K2" s="538"/>
      <c r="M2" s="16"/>
      <c r="N2" s="16"/>
      <c r="O2" s="16"/>
      <c r="P2" s="16"/>
      <c r="Q2" s="16"/>
      <c r="R2" s="16"/>
      <c r="S2" s="16"/>
    </row>
    <row r="3" spans="1:47" s="39" customFormat="1" ht="20.399999999999999" x14ac:dyDescent="0.35">
      <c r="D3" s="406"/>
      <c r="E3" s="406"/>
      <c r="F3" s="537"/>
      <c r="G3" s="537"/>
      <c r="H3" s="537"/>
      <c r="I3" s="537"/>
      <c r="J3" s="538" t="s">
        <v>685</v>
      </c>
      <c r="K3" s="538"/>
      <c r="M3" s="16"/>
      <c r="N3" s="16"/>
      <c r="O3" s="16"/>
      <c r="P3" s="16"/>
      <c r="Q3" s="16"/>
      <c r="R3" s="16"/>
      <c r="S3" s="16"/>
    </row>
    <row r="4" spans="1:47" s="39" customFormat="1" ht="24" customHeight="1" x14ac:dyDescent="0.35">
      <c r="D4" s="406"/>
      <c r="E4" s="406"/>
      <c r="F4" s="537"/>
      <c r="G4" s="537"/>
      <c r="H4" s="537"/>
      <c r="I4" s="537"/>
      <c r="J4" s="539" t="s">
        <v>686</v>
      </c>
      <c r="K4" s="539"/>
      <c r="M4" s="16"/>
      <c r="N4" s="16"/>
      <c r="O4" s="16"/>
      <c r="P4" s="16"/>
      <c r="Q4" s="16"/>
      <c r="R4" s="16"/>
      <c r="S4" s="16"/>
    </row>
    <row r="5" spans="1:47" s="39" customFormat="1" ht="20.399999999999999" x14ac:dyDescent="0.35">
      <c r="D5" s="406"/>
      <c r="E5" s="406"/>
      <c r="F5" s="537"/>
      <c r="G5" s="537"/>
      <c r="H5" s="537"/>
      <c r="I5" s="537"/>
      <c r="J5" s="538" t="s">
        <v>1038</v>
      </c>
      <c r="K5" s="538"/>
      <c r="M5" s="16"/>
      <c r="N5" s="16"/>
      <c r="O5" s="16"/>
      <c r="P5" s="16"/>
      <c r="Q5" s="16"/>
      <c r="R5" s="16"/>
      <c r="S5" s="16"/>
    </row>
    <row r="12" spans="1:47" ht="14.4" thickBot="1" x14ac:dyDescent="0.35"/>
    <row r="13" spans="1:47" ht="25.8" thickBot="1" x14ac:dyDescent="0.5">
      <c r="A13" s="527" t="s">
        <v>1039</v>
      </c>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32"/>
    </row>
    <row r="16" spans="1:47" ht="24.6" customHeight="1" x14ac:dyDescent="0.35">
      <c r="T16" s="529" t="s">
        <v>1040</v>
      </c>
      <c r="U16" s="529"/>
      <c r="V16" s="529"/>
      <c r="W16" s="529"/>
      <c r="X16" s="529"/>
      <c r="Y16" s="529"/>
      <c r="Z16" s="529"/>
      <c r="AA16" s="529"/>
      <c r="AB16" s="529"/>
      <c r="AC16" s="529"/>
      <c r="AD16" s="529"/>
      <c r="AE16" s="529"/>
      <c r="AF16" s="529"/>
      <c r="AG16" s="529"/>
      <c r="AH16" s="530" t="s">
        <v>1041</v>
      </c>
      <c r="AI16" s="530"/>
      <c r="AJ16" s="530"/>
      <c r="AK16" s="530"/>
      <c r="AL16" s="530"/>
      <c r="AM16" s="530"/>
      <c r="AN16" s="530"/>
      <c r="AO16" s="530"/>
      <c r="AP16" s="530"/>
      <c r="AQ16" s="530"/>
      <c r="AR16" s="530"/>
      <c r="AS16" s="530"/>
      <c r="AT16" s="530"/>
    </row>
    <row r="17" spans="1:47" s="55" customFormat="1" ht="89.25" customHeight="1" x14ac:dyDescent="0.3">
      <c r="A17" s="53" t="s">
        <v>902</v>
      </c>
      <c r="B17" s="53" t="s">
        <v>1042</v>
      </c>
      <c r="C17" s="53" t="s">
        <v>1043</v>
      </c>
      <c r="D17" s="10" t="s">
        <v>1044</v>
      </c>
      <c r="E17" s="10" t="s">
        <v>788</v>
      </c>
      <c r="F17" s="10" t="s">
        <v>21</v>
      </c>
      <c r="G17" s="10" t="s">
        <v>37</v>
      </c>
      <c r="H17" s="10" t="s">
        <v>38</v>
      </c>
      <c r="I17" s="10" t="s">
        <v>30</v>
      </c>
      <c r="J17" s="10" t="s">
        <v>31</v>
      </c>
      <c r="K17" s="10" t="s">
        <v>963</v>
      </c>
      <c r="L17" s="10" t="s">
        <v>906</v>
      </c>
      <c r="M17" s="10" t="s">
        <v>964</v>
      </c>
      <c r="N17" s="10" t="s">
        <v>965</v>
      </c>
      <c r="O17" s="10" t="s">
        <v>1045</v>
      </c>
      <c r="P17" s="10" t="s">
        <v>1046</v>
      </c>
      <c r="Q17" s="10" t="s">
        <v>1047</v>
      </c>
      <c r="R17" s="10" t="s">
        <v>1048</v>
      </c>
      <c r="S17" s="10" t="s">
        <v>1049</v>
      </c>
      <c r="T17" s="10" t="s">
        <v>814</v>
      </c>
      <c r="U17" s="10" t="s">
        <v>815</v>
      </c>
      <c r="V17" s="10" t="s">
        <v>816</v>
      </c>
      <c r="W17" s="10" t="s">
        <v>817</v>
      </c>
      <c r="X17" s="10" t="s">
        <v>818</v>
      </c>
      <c r="Y17" s="10" t="s">
        <v>819</v>
      </c>
      <c r="Z17" s="10" t="s">
        <v>820</v>
      </c>
      <c r="AA17" s="10" t="s">
        <v>821</v>
      </c>
      <c r="AB17" s="10" t="s">
        <v>822</v>
      </c>
      <c r="AC17" s="10" t="s">
        <v>823</v>
      </c>
      <c r="AD17" s="10" t="s">
        <v>824</v>
      </c>
      <c r="AE17" s="10" t="s">
        <v>825</v>
      </c>
      <c r="AF17" s="10" t="s">
        <v>911</v>
      </c>
      <c r="AG17" s="10" t="s">
        <v>1050</v>
      </c>
      <c r="AH17" s="10" t="s">
        <v>1051</v>
      </c>
      <c r="AI17" s="10" t="s">
        <v>1052</v>
      </c>
      <c r="AJ17" s="10" t="s">
        <v>1053</v>
      </c>
      <c r="AK17" s="10" t="s">
        <v>1054</v>
      </c>
      <c r="AL17" s="10" t="s">
        <v>1055</v>
      </c>
      <c r="AM17" s="10" t="s">
        <v>1056</v>
      </c>
      <c r="AN17" s="10" t="s">
        <v>1057</v>
      </c>
      <c r="AO17" s="10" t="s">
        <v>1058</v>
      </c>
      <c r="AP17" s="10" t="s">
        <v>1059</v>
      </c>
      <c r="AQ17" s="10" t="s">
        <v>1060</v>
      </c>
      <c r="AR17" s="10" t="s">
        <v>1061</v>
      </c>
      <c r="AS17" s="10" t="s">
        <v>1062</v>
      </c>
      <c r="AT17" s="10" t="s">
        <v>912</v>
      </c>
      <c r="AU17" s="15" t="s">
        <v>1063</v>
      </c>
    </row>
    <row r="18" spans="1:47" s="148" customFormat="1" ht="15.6" x14ac:dyDescent="0.35">
      <c r="A18" s="228" t="str">
        <f>Soportes[[#This Row],[Código proyecto]]&amp;Soportes[[#This Row],[No Meta proyecto]]</f>
        <v>77441</v>
      </c>
      <c r="B18" s="228" t="str">
        <f>Soportes[[#This Row],[Código proyecto]]&amp;Soportes[[#This Row],[No Meta proyecto]]&amp;Soportes[[#This Row],[N° de Actividad
(Consecutivo por meta)]]</f>
        <v>774411</v>
      </c>
      <c r="C18" s="228" t="str">
        <f>Soportes[[#This Row],[Código proyecto]]&amp;Soportes[[#This Row],[No Meta proyecto]]&amp;Soportes[[#This Row],[N° de Actividad
(Consecutivo por meta)]]&amp;Soportes[[#This Row],[N° de tarea]]</f>
        <v>7744111</v>
      </c>
      <c r="D18" s="229" t="str">
        <f>Soportes[[#This Row],[Código proyecto]]&amp;Soportes[[#This Row],[No Meta proyecto]]&amp;Soportes[[#This Row],[N° de Actividad
(Consecutivo por meta)]]&amp;Soportes[[#This Row],[N° de tarea]]&amp;Soportes[[#This Row],[N° de Soporte]]</f>
        <v>77441111</v>
      </c>
      <c r="E18" s="229">
        <f>Proyecto!$B$19</f>
        <v>7744</v>
      </c>
      <c r="F18" s="277" t="str">
        <f>Proyecto!$D$19</f>
        <v>Generación de Oportunidades para el Desarrollo Integral de la Niñez y la Adolescencia de Bogotá</v>
      </c>
      <c r="G18" s="230">
        <v>4102035</v>
      </c>
      <c r="H18" s="240" t="s">
        <v>55</v>
      </c>
      <c r="I18" s="278">
        <v>1</v>
      </c>
      <c r="J18" s="243" t="str">
        <f>VLOOKUP(A18,ESTRATÉGICO!$C$3:$AA$110,14,0)</f>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v>
      </c>
      <c r="K18" s="278">
        <v>1</v>
      </c>
      <c r="L18" s="243" t="str">
        <f>VLOOKUP(B18,Actividades!$B$18:$I$35,8,0)</f>
        <v>Liderar la actualización, movilización, implementación y seguimiento de la Política Pública de Infancia y Adolescencia de Bogotá (2021-2032), con las voces de las niñas, niños y adolescentes, en articulación con las familias, actores públic</v>
      </c>
      <c r="M18" s="279">
        <v>1</v>
      </c>
      <c r="N18" s="243" t="str">
        <f>VLOOKUP(C18,Tareas!$C$18:$K$58,9,0)</f>
        <v>Realizar seguimiento a la implementación de Política Pública de Primera Infancia, Infancia y Adolescencia Distrital en el marco del CODIA, de las Mesas Técnicas adscritas a este (PETIA, PRUUNNA, IGOS, Participación) y de los COLIA.</v>
      </c>
      <c r="O18" s="278">
        <v>1</v>
      </c>
      <c r="P18" s="317" t="s">
        <v>1064</v>
      </c>
      <c r="Q18" s="280" t="s">
        <v>844</v>
      </c>
      <c r="R18" s="376" t="s">
        <v>1065</v>
      </c>
      <c r="S18" s="281">
        <v>1</v>
      </c>
      <c r="T18" s="282">
        <v>0</v>
      </c>
      <c r="U18" s="282">
        <v>0</v>
      </c>
      <c r="V18" s="282">
        <v>0.5</v>
      </c>
      <c r="W18" s="282">
        <v>0</v>
      </c>
      <c r="X18" s="282">
        <v>0.5</v>
      </c>
      <c r="Y18" s="283"/>
      <c r="Z18" s="283"/>
      <c r="AA18" s="283"/>
      <c r="AB18" s="283"/>
      <c r="AC18" s="283"/>
      <c r="AD18" s="283"/>
      <c r="AE18" s="283"/>
      <c r="AF18" s="380">
        <f>SUM(Soportes[[#This Row],[Programación Plan de actividades
Enero]:[Programación Plan de actividades
Diciembre]])</f>
        <v>1</v>
      </c>
      <c r="AG18" s="381" t="str">
        <f>IF(AF18=S18,"Programación correcta","Revisar programación")</f>
        <v>Programación correcta</v>
      </c>
      <c r="AH18" s="284">
        <f>EJECUCIÓN!O61</f>
        <v>0</v>
      </c>
      <c r="AI18" s="284">
        <f>EJECUCIÓN!Q61</f>
        <v>0</v>
      </c>
      <c r="AJ18" s="284">
        <f>EJECUCIÓN!S61</f>
        <v>0</v>
      </c>
      <c r="AK18" s="284">
        <f>EJECUCIÓN!U61</f>
        <v>0</v>
      </c>
      <c r="AL18" s="284">
        <f>EJECUCIÓN!W61</f>
        <v>0</v>
      </c>
      <c r="AM18" s="284">
        <f>EJECUCIÓN!Y61</f>
        <v>0</v>
      </c>
      <c r="AN18" s="284">
        <f>EJECUCIÓN!AA61</f>
        <v>0</v>
      </c>
      <c r="AO18" s="284">
        <f>EJECUCIÓN!AC61</f>
        <v>0</v>
      </c>
      <c r="AP18" s="284">
        <f>EJECUCIÓN!AE61</f>
        <v>0</v>
      </c>
      <c r="AQ18" s="284">
        <f>EJECUCIÓN!AG61</f>
        <v>0</v>
      </c>
      <c r="AR18" s="284">
        <f>EJECUCIÓN!AI61</f>
        <v>0</v>
      </c>
      <c r="AS18" s="284">
        <f>EJECUCIÓN!AK61</f>
        <v>0</v>
      </c>
      <c r="AT18" s="377">
        <f>SUM(Soportes[[#This Row],[Soportes entregados Plan de actividades
Enero]:[Soportes entregados Plan de actividades
Diciembre]])</f>
        <v>0</v>
      </c>
      <c r="AU18" s="378">
        <f>+Soportes[[#This Row],[Total Ejecutado plan de actividades]]/Soportes[[#This Row],[Total programado plan de actividades]]</f>
        <v>0</v>
      </c>
    </row>
    <row r="19" spans="1:47" s="148" customFormat="1" ht="15.6" x14ac:dyDescent="0.35">
      <c r="A19" s="228" t="str">
        <f>Soportes[[#This Row],[Código proyecto]]&amp;Soportes[[#This Row],[No Meta proyecto]]</f>
        <v>77441</v>
      </c>
      <c r="B19" s="228" t="str">
        <f>Soportes[[#This Row],[Código proyecto]]&amp;Soportes[[#This Row],[No Meta proyecto]]&amp;Soportes[[#This Row],[N° de Actividad
(Consecutivo por meta)]]</f>
        <v>774411</v>
      </c>
      <c r="C19" s="228" t="str">
        <f>Soportes[[#This Row],[Código proyecto]]&amp;Soportes[[#This Row],[No Meta proyecto]]&amp;Soportes[[#This Row],[N° de Actividad
(Consecutivo por meta)]]&amp;Soportes[[#This Row],[N° de tarea]]</f>
        <v>7744112</v>
      </c>
      <c r="D19" s="229" t="str">
        <f>Soportes[[#This Row],[Código proyecto]]&amp;Soportes[[#This Row],[No Meta proyecto]]&amp;Soportes[[#This Row],[N° de Actividad
(Consecutivo por meta)]]&amp;Soportes[[#This Row],[N° de tarea]]&amp;Soportes[[#This Row],[N° de Soporte]]</f>
        <v>77441121</v>
      </c>
      <c r="E19" s="229">
        <f>Proyecto!$B$19</f>
        <v>7744</v>
      </c>
      <c r="F19" s="243" t="str">
        <f>Proyecto!$D$19</f>
        <v>Generación de Oportunidades para el Desarrollo Integral de la Niñez y la Adolescencia de Bogotá</v>
      </c>
      <c r="G19" s="230">
        <v>4102035</v>
      </c>
      <c r="H19" s="240" t="s">
        <v>55</v>
      </c>
      <c r="I19" s="278">
        <v>1</v>
      </c>
      <c r="J19" s="243" t="str">
        <f>VLOOKUP(A19,ESTRATÉGICO!$C$3:$AA$110,14,0)</f>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v>
      </c>
      <c r="K19" s="278">
        <v>1</v>
      </c>
      <c r="L19" s="243" t="str">
        <f>VLOOKUP(B19,Actividades!$B$18:$I$35,8,0)</f>
        <v>Liderar la actualización, movilización, implementación y seguimiento de la Política Pública de Infancia y Adolescencia de Bogotá (2021-2032), con las voces de las niñas, niños y adolescentes, en articulación con las familias, actores públic</v>
      </c>
      <c r="M19" s="279">
        <v>2</v>
      </c>
      <c r="N19" s="243" t="str">
        <f>VLOOKUP(C19,Tareas!$C$18:$K$58,9,0)</f>
        <v>Presentar la matriz de reporte de seguimiento al plan de accion de Política Pública de Primera Infancia, Infancia y Adolescencia</v>
      </c>
      <c r="O19" s="278">
        <v>1</v>
      </c>
      <c r="P19" s="317" t="s">
        <v>1066</v>
      </c>
      <c r="Q19" s="280" t="s">
        <v>843</v>
      </c>
      <c r="R19" s="376" t="s">
        <v>1067</v>
      </c>
      <c r="S19" s="281">
        <v>1</v>
      </c>
      <c r="T19" s="282">
        <v>0</v>
      </c>
      <c r="U19" s="282">
        <v>0</v>
      </c>
      <c r="V19" s="282">
        <v>1</v>
      </c>
      <c r="W19" s="282">
        <v>0</v>
      </c>
      <c r="X19" s="282">
        <v>0</v>
      </c>
      <c r="Y19" s="283"/>
      <c r="Z19" s="283"/>
      <c r="AA19" s="283"/>
      <c r="AB19" s="283"/>
      <c r="AC19" s="283"/>
      <c r="AD19" s="283"/>
      <c r="AE19" s="283"/>
      <c r="AF19" s="380">
        <f>SUM(Soportes[[#This Row],[Programación Plan de actividades
Enero]:[Programación Plan de actividades
Diciembre]])</f>
        <v>1</v>
      </c>
      <c r="AG19" s="381" t="str">
        <f t="shared" ref="AG19:AG49" si="0">IF(AF19=S19,"Programación correcta","Revisar programación")</f>
        <v>Programación correcta</v>
      </c>
      <c r="AH19" s="284">
        <f>EJECUCIÓN!O62</f>
        <v>0</v>
      </c>
      <c r="AI19" s="284">
        <f>EJECUCIÓN!Q62</f>
        <v>0</v>
      </c>
      <c r="AJ19" s="284">
        <f>EJECUCIÓN!S62</f>
        <v>0</v>
      </c>
      <c r="AK19" s="284">
        <f>EJECUCIÓN!U62</f>
        <v>0</v>
      </c>
      <c r="AL19" s="284">
        <f>EJECUCIÓN!W62</f>
        <v>0</v>
      </c>
      <c r="AM19" s="284">
        <f>EJECUCIÓN!Y62</f>
        <v>0</v>
      </c>
      <c r="AN19" s="284">
        <f>EJECUCIÓN!AA62</f>
        <v>0</v>
      </c>
      <c r="AO19" s="284">
        <f>EJECUCIÓN!AC62</f>
        <v>0</v>
      </c>
      <c r="AP19" s="284">
        <f>EJECUCIÓN!AE62</f>
        <v>0</v>
      </c>
      <c r="AQ19" s="284">
        <f>EJECUCIÓN!AG62</f>
        <v>0</v>
      </c>
      <c r="AR19" s="284">
        <f>EJECUCIÓN!AI62</f>
        <v>0</v>
      </c>
      <c r="AS19" s="284">
        <f>EJECUCIÓN!AK62</f>
        <v>0</v>
      </c>
      <c r="AT19" s="377">
        <f>SUM(Soportes[[#This Row],[Soportes entregados Plan de actividades
Enero]:[Soportes entregados Plan de actividades
Diciembre]])</f>
        <v>0</v>
      </c>
      <c r="AU19" s="378">
        <f>+Soportes[[#This Row],[Total Ejecutado plan de actividades]]/Soportes[[#This Row],[Total programado plan de actividades]]</f>
        <v>0</v>
      </c>
    </row>
    <row r="20" spans="1:47" s="148" customFormat="1" ht="15.6" x14ac:dyDescent="0.35">
      <c r="A20" s="228" t="str">
        <f>Soportes[[#This Row],[Código proyecto]]&amp;Soportes[[#This Row],[No Meta proyecto]]</f>
        <v>77441</v>
      </c>
      <c r="B20" s="228" t="str">
        <f>Soportes[[#This Row],[Código proyecto]]&amp;Soportes[[#This Row],[No Meta proyecto]]&amp;Soportes[[#This Row],[N° de Actividad
(Consecutivo por meta)]]</f>
        <v>774411</v>
      </c>
      <c r="C20" s="228" t="str">
        <f>Soportes[[#This Row],[Código proyecto]]&amp;Soportes[[#This Row],[No Meta proyecto]]&amp;Soportes[[#This Row],[N° de Actividad
(Consecutivo por meta)]]&amp;Soportes[[#This Row],[N° de tarea]]</f>
        <v>7744113</v>
      </c>
      <c r="D20" s="229" t="str">
        <f>Soportes[[#This Row],[Código proyecto]]&amp;Soportes[[#This Row],[No Meta proyecto]]&amp;Soportes[[#This Row],[N° de Actividad
(Consecutivo por meta)]]&amp;Soportes[[#This Row],[N° de tarea]]&amp;Soportes[[#This Row],[N° de Soporte]]</f>
        <v>77441131</v>
      </c>
      <c r="E20" s="229">
        <f>Proyecto!$B$19</f>
        <v>7744</v>
      </c>
      <c r="F20" s="243" t="str">
        <f>Proyecto!$D$19</f>
        <v>Generación de Oportunidades para el Desarrollo Integral de la Niñez y la Adolescencia de Bogotá</v>
      </c>
      <c r="G20" s="230">
        <v>4102035</v>
      </c>
      <c r="H20" s="240" t="s">
        <v>55</v>
      </c>
      <c r="I20" s="278">
        <v>1</v>
      </c>
      <c r="J20" s="243" t="str">
        <f>VLOOKUP(A20,ESTRATÉGICO!$C$3:$AA$110,14,0)</f>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v>
      </c>
      <c r="K20" s="278">
        <v>1</v>
      </c>
      <c r="L20" s="243" t="str">
        <f>VLOOKUP(B20,Actividades!$B$18:$I$35,8,0)</f>
        <v>Liderar la actualización, movilización, implementación y seguimiento de la Política Pública de Infancia y Adolescencia de Bogotá (2021-2032), con las voces de las niñas, niños y adolescentes, en articulación con las familias, actores públic</v>
      </c>
      <c r="M20" s="279">
        <v>3</v>
      </c>
      <c r="N20" s="243" t="str">
        <f>VLOOKUP(C20,Tareas!$C$18:$K$58,9,0)</f>
        <v>Elaborar un Informe de resultados del Sistema de Monitoreo de las Condiciones de Vida de la Infancia y la Adolescencia de Bogotá.</v>
      </c>
      <c r="O20" s="278">
        <v>1</v>
      </c>
      <c r="P20" s="317" t="s">
        <v>1068</v>
      </c>
      <c r="Q20" s="280" t="s">
        <v>844</v>
      </c>
      <c r="R20" s="376" t="s">
        <v>1069</v>
      </c>
      <c r="S20" s="281">
        <v>1</v>
      </c>
      <c r="T20" s="282">
        <v>0</v>
      </c>
      <c r="U20" s="282">
        <v>0</v>
      </c>
      <c r="V20" s="282">
        <v>0</v>
      </c>
      <c r="W20" s="282">
        <v>1</v>
      </c>
      <c r="X20" s="282">
        <v>0</v>
      </c>
      <c r="Y20" s="283"/>
      <c r="Z20" s="283"/>
      <c r="AA20" s="283"/>
      <c r="AB20" s="283"/>
      <c r="AC20" s="283"/>
      <c r="AD20" s="283"/>
      <c r="AE20" s="283"/>
      <c r="AF20" s="380">
        <f>SUM(Soportes[[#This Row],[Programación Plan de actividades
Enero]:[Programación Plan de actividades
Diciembre]])</f>
        <v>1</v>
      </c>
      <c r="AG20" s="381" t="str">
        <f t="shared" si="0"/>
        <v>Programación correcta</v>
      </c>
      <c r="AH20" s="284">
        <f>EJECUCIÓN!O63</f>
        <v>0</v>
      </c>
      <c r="AI20" s="284">
        <f>EJECUCIÓN!Q63</f>
        <v>0</v>
      </c>
      <c r="AJ20" s="284">
        <f>EJECUCIÓN!S63</f>
        <v>0</v>
      </c>
      <c r="AK20" s="284">
        <f>EJECUCIÓN!U63</f>
        <v>0</v>
      </c>
      <c r="AL20" s="284">
        <f>EJECUCIÓN!W63</f>
        <v>0</v>
      </c>
      <c r="AM20" s="284">
        <f>EJECUCIÓN!Y63</f>
        <v>0</v>
      </c>
      <c r="AN20" s="284">
        <f>EJECUCIÓN!AA63</f>
        <v>0</v>
      </c>
      <c r="AO20" s="284">
        <f>EJECUCIÓN!AC63</f>
        <v>0</v>
      </c>
      <c r="AP20" s="284">
        <f>EJECUCIÓN!AE63</f>
        <v>0</v>
      </c>
      <c r="AQ20" s="284">
        <f>EJECUCIÓN!AG63</f>
        <v>0</v>
      </c>
      <c r="AR20" s="284">
        <f>EJECUCIÓN!AI63</f>
        <v>0</v>
      </c>
      <c r="AS20" s="284">
        <f>EJECUCIÓN!AK63</f>
        <v>0</v>
      </c>
      <c r="AT20" s="377">
        <f>SUM(Soportes[[#This Row],[Soportes entregados Plan de actividades
Enero]:[Soportes entregados Plan de actividades
Diciembre]])</f>
        <v>0</v>
      </c>
      <c r="AU20" s="378">
        <f>+Soportes[[#This Row],[Total Ejecutado plan de actividades]]/Soportes[[#This Row],[Total programado plan de actividades]]</f>
        <v>0</v>
      </c>
    </row>
    <row r="21" spans="1:47" s="148" customFormat="1" ht="15.6" x14ac:dyDescent="0.35">
      <c r="A21" s="228" t="str">
        <f>Soportes[[#This Row],[Código proyecto]]&amp;Soportes[[#This Row],[No Meta proyecto]]</f>
        <v>77441</v>
      </c>
      <c r="B21" s="228" t="str">
        <f>Soportes[[#This Row],[Código proyecto]]&amp;Soportes[[#This Row],[No Meta proyecto]]&amp;Soportes[[#This Row],[N° de Actividad
(Consecutivo por meta)]]</f>
        <v>774412</v>
      </c>
      <c r="C21" s="228" t="str">
        <f>Soportes[[#This Row],[Código proyecto]]&amp;Soportes[[#This Row],[No Meta proyecto]]&amp;Soportes[[#This Row],[N° de Actividad
(Consecutivo por meta)]]&amp;Soportes[[#This Row],[N° de tarea]]</f>
        <v>7744121</v>
      </c>
      <c r="D21" s="229" t="str">
        <f>Soportes[[#This Row],[Código proyecto]]&amp;Soportes[[#This Row],[No Meta proyecto]]&amp;Soportes[[#This Row],[N° de Actividad
(Consecutivo por meta)]]&amp;Soportes[[#This Row],[N° de tarea]]&amp;Soportes[[#This Row],[N° de Soporte]]</f>
        <v>77441211</v>
      </c>
      <c r="E21" s="229">
        <f>Proyecto!$B$19</f>
        <v>7744</v>
      </c>
      <c r="F21" s="243" t="str">
        <f>Proyecto!$D$19</f>
        <v>Generación de Oportunidades para el Desarrollo Integral de la Niñez y la Adolescencia de Bogotá</v>
      </c>
      <c r="G21" s="230">
        <v>4102035</v>
      </c>
      <c r="H21" s="240" t="s">
        <v>55</v>
      </c>
      <c r="I21" s="278">
        <v>1</v>
      </c>
      <c r="J21" s="243" t="str">
        <f>VLOOKUP(A21,ESTRATÉGICO!$C$3:$AA$110,14,0)</f>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v>
      </c>
      <c r="K21" s="278">
        <v>2</v>
      </c>
      <c r="L21" s="243" t="str">
        <f>VLOOKUP(B21,Actividades!$B$18:$I$35,8,0)</f>
        <v>Fortalecer los 20 consejos consultivos de participacion infantil y el consejo  Distrital de participacion infantil, con el fin de movilizar a los niñas, niños y adolescentes para su participacion e incidencia en los entornos hogar, educativo</v>
      </c>
      <c r="M21" s="279">
        <v>1</v>
      </c>
      <c r="N21" s="243" t="str">
        <f>VLOOKUP(C21,Tareas!$C$18:$K$58,9,0)</f>
        <v xml:space="preserve">Consolidar 05 Grupos Territoriales (presenciales o virtuales) de Participación Infantil, a fin de promover ejercicios de participación con incidencia en las comunidades. </v>
      </c>
      <c r="O21" s="278">
        <v>1</v>
      </c>
      <c r="P21" s="317" t="s">
        <v>1070</v>
      </c>
      <c r="Q21" s="280" t="s">
        <v>844</v>
      </c>
      <c r="R21" s="376" t="s">
        <v>1065</v>
      </c>
      <c r="S21" s="281">
        <v>1</v>
      </c>
      <c r="T21" s="282">
        <v>0</v>
      </c>
      <c r="U21" s="282">
        <v>0</v>
      </c>
      <c r="V21" s="282">
        <v>0.3</v>
      </c>
      <c r="W21" s="282">
        <v>0.3</v>
      </c>
      <c r="X21" s="282">
        <v>0.4</v>
      </c>
      <c r="Y21" s="283"/>
      <c r="Z21" s="283"/>
      <c r="AA21" s="283"/>
      <c r="AB21" s="283"/>
      <c r="AC21" s="283"/>
      <c r="AD21" s="283"/>
      <c r="AE21" s="283"/>
      <c r="AF21" s="380">
        <f>SUM(Soportes[[#This Row],[Programación Plan de actividades
Enero]:[Programación Plan de actividades
Diciembre]])</f>
        <v>1</v>
      </c>
      <c r="AG21" s="381" t="str">
        <f t="shared" si="0"/>
        <v>Programación correcta</v>
      </c>
      <c r="AH21" s="284">
        <f>EJECUCIÓN!O64</f>
        <v>0</v>
      </c>
      <c r="AI21" s="284">
        <f>EJECUCIÓN!Q64</f>
        <v>0</v>
      </c>
      <c r="AJ21" s="284">
        <f>EJECUCIÓN!S64</f>
        <v>0</v>
      </c>
      <c r="AK21" s="284">
        <f>EJECUCIÓN!U64</f>
        <v>0</v>
      </c>
      <c r="AL21" s="284">
        <f>EJECUCIÓN!W64</f>
        <v>0</v>
      </c>
      <c r="AM21" s="284">
        <f>EJECUCIÓN!Y64</f>
        <v>0</v>
      </c>
      <c r="AN21" s="284">
        <f>EJECUCIÓN!AA64</f>
        <v>0</v>
      </c>
      <c r="AO21" s="284">
        <f>EJECUCIÓN!AC64</f>
        <v>0</v>
      </c>
      <c r="AP21" s="284">
        <f>EJECUCIÓN!AE64</f>
        <v>0</v>
      </c>
      <c r="AQ21" s="284">
        <f>EJECUCIÓN!AG64</f>
        <v>0</v>
      </c>
      <c r="AR21" s="284">
        <f>EJECUCIÓN!AI64</f>
        <v>0</v>
      </c>
      <c r="AS21" s="284">
        <f>EJECUCIÓN!AK64</f>
        <v>0</v>
      </c>
      <c r="AT21" s="377">
        <f>SUM(Soportes[[#This Row],[Soportes entregados Plan de actividades
Enero]:[Soportes entregados Plan de actividades
Diciembre]])</f>
        <v>0</v>
      </c>
      <c r="AU21" s="378">
        <f>+Soportes[[#This Row],[Total Ejecutado plan de actividades]]/Soportes[[#This Row],[Total programado plan de actividades]]</f>
        <v>0</v>
      </c>
    </row>
    <row r="22" spans="1:47" s="148" customFormat="1" ht="15.6" x14ac:dyDescent="0.35">
      <c r="A22" s="228" t="str">
        <f>Soportes[[#This Row],[Código proyecto]]&amp;Soportes[[#This Row],[No Meta proyecto]]</f>
        <v>77441</v>
      </c>
      <c r="B22" s="228" t="str">
        <f>Soportes[[#This Row],[Código proyecto]]&amp;Soportes[[#This Row],[No Meta proyecto]]&amp;Soportes[[#This Row],[N° de Actividad
(Consecutivo por meta)]]</f>
        <v>774412</v>
      </c>
      <c r="C22" s="228" t="str">
        <f>Soportes[[#This Row],[Código proyecto]]&amp;Soportes[[#This Row],[No Meta proyecto]]&amp;Soportes[[#This Row],[N° de Actividad
(Consecutivo por meta)]]&amp;Soportes[[#This Row],[N° de tarea]]</f>
        <v>7744122</v>
      </c>
      <c r="D22" s="229" t="str">
        <f>Soportes[[#This Row],[Código proyecto]]&amp;Soportes[[#This Row],[No Meta proyecto]]&amp;Soportes[[#This Row],[N° de Actividad
(Consecutivo por meta)]]&amp;Soportes[[#This Row],[N° de tarea]]&amp;Soportes[[#This Row],[N° de Soporte]]</f>
        <v>77441221</v>
      </c>
      <c r="E22" s="229">
        <f>Proyecto!$B$19</f>
        <v>7744</v>
      </c>
      <c r="F22" s="243" t="str">
        <f>Proyecto!$D$19</f>
        <v>Generación de Oportunidades para el Desarrollo Integral de la Niñez y la Adolescencia de Bogotá</v>
      </c>
      <c r="G22" s="230">
        <v>4102035</v>
      </c>
      <c r="H22" s="240" t="s">
        <v>55</v>
      </c>
      <c r="I22" s="278">
        <v>1</v>
      </c>
      <c r="J22" s="243" t="str">
        <f>VLOOKUP(A22,ESTRATÉGICO!$C$3:$AA$110,14,0)</f>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v>
      </c>
      <c r="K22" s="278">
        <v>2</v>
      </c>
      <c r="L22" s="243" t="str">
        <f>VLOOKUP(B22,Actividades!$B$18:$I$35,8,0)</f>
        <v>Fortalecer los 20 consejos consultivos de participacion infantil y el consejo  Distrital de participacion infantil, con el fin de movilizar a los niñas, niños y adolescentes para su participacion e incidencia en los entornos hogar, educativo</v>
      </c>
      <c r="M22" s="279">
        <v>2</v>
      </c>
      <c r="N22" s="243" t="str">
        <f>VLOOKUP(C22,Tareas!$C$18:$K$58,9,0)</f>
        <v>Realizar sesiones (virtuales o presenciales) de los Consejos Consultivos Locales y Consejo Distrital de Niñez, en las 20 localidades y a nivel Distrital, a fin de favorecer la incidencia de las niñas, los niños y adolescentes en las transformaciones sociales de sus territorios y de la ciudad.</v>
      </c>
      <c r="O22" s="278">
        <v>1</v>
      </c>
      <c r="P22" s="317" t="s">
        <v>1071</v>
      </c>
      <c r="Q22" s="280" t="s">
        <v>844</v>
      </c>
      <c r="R22" s="376" t="s">
        <v>1072</v>
      </c>
      <c r="S22" s="281">
        <v>1</v>
      </c>
      <c r="T22" s="282">
        <v>0</v>
      </c>
      <c r="U22" s="282">
        <v>0</v>
      </c>
      <c r="V22" s="282">
        <v>0.3</v>
      </c>
      <c r="W22" s="282">
        <v>0</v>
      </c>
      <c r="X22" s="282">
        <v>0.7</v>
      </c>
      <c r="Y22" s="283"/>
      <c r="Z22" s="283"/>
      <c r="AA22" s="283"/>
      <c r="AB22" s="283"/>
      <c r="AC22" s="283"/>
      <c r="AD22" s="283"/>
      <c r="AE22" s="283"/>
      <c r="AF22" s="380">
        <f>SUM(Soportes[[#This Row],[Programación Plan de actividades
Enero]:[Programación Plan de actividades
Diciembre]])</f>
        <v>1</v>
      </c>
      <c r="AG22" s="381" t="str">
        <f>IF(AF22=S22,"Programación correcta","Revisar programación")</f>
        <v>Programación correcta</v>
      </c>
      <c r="AH22" s="284">
        <f>EJECUCIÓN!O65</f>
        <v>0</v>
      </c>
      <c r="AI22" s="284">
        <f>EJECUCIÓN!Q65</f>
        <v>0</v>
      </c>
      <c r="AJ22" s="284">
        <f>EJECUCIÓN!S65</f>
        <v>0</v>
      </c>
      <c r="AK22" s="284">
        <f>EJECUCIÓN!U65</f>
        <v>0</v>
      </c>
      <c r="AL22" s="284">
        <f>EJECUCIÓN!W65</f>
        <v>0</v>
      </c>
      <c r="AM22" s="284">
        <f>EJECUCIÓN!Y65</f>
        <v>0</v>
      </c>
      <c r="AN22" s="284">
        <f>EJECUCIÓN!AA65</f>
        <v>0</v>
      </c>
      <c r="AO22" s="284">
        <f>EJECUCIÓN!AC65</f>
        <v>0</v>
      </c>
      <c r="AP22" s="284">
        <f>EJECUCIÓN!AE65</f>
        <v>0</v>
      </c>
      <c r="AQ22" s="284">
        <f>EJECUCIÓN!AG65</f>
        <v>0</v>
      </c>
      <c r="AR22" s="284">
        <f>EJECUCIÓN!AI65</f>
        <v>0</v>
      </c>
      <c r="AS22" s="284">
        <f>EJECUCIÓN!AK65</f>
        <v>0</v>
      </c>
      <c r="AT22" s="377">
        <f>SUM(Soportes[[#This Row],[Soportes entregados Plan de actividades
Enero]:[Soportes entregados Plan de actividades
Diciembre]])</f>
        <v>0</v>
      </c>
      <c r="AU22" s="378">
        <f>+Soportes[[#This Row],[Total Ejecutado plan de actividades]]/Soportes[[#This Row],[Total programado plan de actividades]]</f>
        <v>0</v>
      </c>
    </row>
    <row r="23" spans="1:47" s="148" customFormat="1" ht="15.6" x14ac:dyDescent="0.35">
      <c r="A23" s="228" t="str">
        <f>Soportes[[#This Row],[Código proyecto]]&amp;Soportes[[#This Row],[No Meta proyecto]]</f>
        <v>77441</v>
      </c>
      <c r="B23" s="228" t="str">
        <f>Soportes[[#This Row],[Código proyecto]]&amp;Soportes[[#This Row],[No Meta proyecto]]&amp;Soportes[[#This Row],[N° de Actividad
(Consecutivo por meta)]]</f>
        <v>774412</v>
      </c>
      <c r="C23" s="228" t="str">
        <f>Soportes[[#This Row],[Código proyecto]]&amp;Soportes[[#This Row],[No Meta proyecto]]&amp;Soportes[[#This Row],[N° de Actividad
(Consecutivo por meta)]]&amp;Soportes[[#This Row],[N° de tarea]]</f>
        <v>7744123</v>
      </c>
      <c r="D23" s="229" t="str">
        <f>Soportes[[#This Row],[Código proyecto]]&amp;Soportes[[#This Row],[No Meta proyecto]]&amp;Soportes[[#This Row],[N° de Actividad
(Consecutivo por meta)]]&amp;Soportes[[#This Row],[N° de tarea]]&amp;Soportes[[#This Row],[N° de Soporte]]</f>
        <v>77441231</v>
      </c>
      <c r="E23" s="229">
        <f>Proyecto!$B$19</f>
        <v>7744</v>
      </c>
      <c r="F23" s="243" t="str">
        <f>Proyecto!$D$19</f>
        <v>Generación de Oportunidades para el Desarrollo Integral de la Niñez y la Adolescencia de Bogotá</v>
      </c>
      <c r="G23" s="230">
        <v>4102035</v>
      </c>
      <c r="H23" s="240" t="s">
        <v>55</v>
      </c>
      <c r="I23" s="278">
        <v>1</v>
      </c>
      <c r="J23" s="243" t="str">
        <f>VLOOKUP(A23,ESTRATÉGICO!$C$3:$AA$110,14,0)</f>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v>
      </c>
      <c r="K23" s="278">
        <v>2</v>
      </c>
      <c r="L23" s="243" t="str">
        <f>VLOOKUP(B23,Actividades!$B$18:$I$35,8,0)</f>
        <v>Fortalecer los 20 consejos consultivos de participacion infantil y el consejo  Distrital de participacion infantil, con el fin de movilizar a los niñas, niños y adolescentes para su participacion e incidencia en los entornos hogar, educativo</v>
      </c>
      <c r="M23" s="279">
        <v>3</v>
      </c>
      <c r="N23" s="243" t="str">
        <f>VLOOKUP(C23,Tareas!$C$18:$K$58,9,0)</f>
        <v>Acompañar técnicamente las actividades de los Consejos Tutelares de niñas, niños y adolescentes y la entrega de insumos en el marco  de las competencias de la SDIS en el acuerdo 110 de 2003.</v>
      </c>
      <c r="O23" s="278">
        <v>1</v>
      </c>
      <c r="P23" s="317" t="s">
        <v>1073</v>
      </c>
      <c r="Q23" s="280" t="s">
        <v>843</v>
      </c>
      <c r="R23" s="376" t="s">
        <v>1074</v>
      </c>
      <c r="S23" s="281">
        <v>1</v>
      </c>
      <c r="T23" s="282">
        <v>0</v>
      </c>
      <c r="U23" s="282">
        <v>0</v>
      </c>
      <c r="V23" s="282">
        <v>0.5</v>
      </c>
      <c r="W23" s="282">
        <v>0</v>
      </c>
      <c r="X23" s="282">
        <v>0.5</v>
      </c>
      <c r="Y23" s="283"/>
      <c r="Z23" s="283"/>
      <c r="AA23" s="283"/>
      <c r="AB23" s="283"/>
      <c r="AC23" s="283"/>
      <c r="AD23" s="283"/>
      <c r="AE23" s="283"/>
      <c r="AF23" s="380">
        <f>SUM(Soportes[[#This Row],[Programación Plan de actividades
Enero]:[Programación Plan de actividades
Diciembre]])</f>
        <v>1</v>
      </c>
      <c r="AG23" s="381" t="str">
        <f t="shared" si="0"/>
        <v>Programación correcta</v>
      </c>
      <c r="AH23" s="284">
        <f>EJECUCIÓN!O66</f>
        <v>0</v>
      </c>
      <c r="AI23" s="284">
        <f>EJECUCIÓN!Q66</f>
        <v>0</v>
      </c>
      <c r="AJ23" s="284">
        <f>EJECUCIÓN!S66</f>
        <v>0</v>
      </c>
      <c r="AK23" s="284">
        <f>EJECUCIÓN!U66</f>
        <v>0</v>
      </c>
      <c r="AL23" s="284">
        <f>EJECUCIÓN!W66</f>
        <v>0</v>
      </c>
      <c r="AM23" s="284">
        <f>EJECUCIÓN!Y66</f>
        <v>0</v>
      </c>
      <c r="AN23" s="284">
        <f>EJECUCIÓN!AA66</f>
        <v>0</v>
      </c>
      <c r="AO23" s="284">
        <f>EJECUCIÓN!AC66</f>
        <v>0</v>
      </c>
      <c r="AP23" s="284">
        <f>EJECUCIÓN!AE66</f>
        <v>0</v>
      </c>
      <c r="AQ23" s="284">
        <f>EJECUCIÓN!AG66</f>
        <v>0</v>
      </c>
      <c r="AR23" s="284">
        <f>EJECUCIÓN!AI66</f>
        <v>0</v>
      </c>
      <c r="AS23" s="284">
        <f>EJECUCIÓN!AK66</f>
        <v>0</v>
      </c>
      <c r="AT23" s="377">
        <f>SUM(Soportes[[#This Row],[Soportes entregados Plan de actividades
Enero]:[Soportes entregados Plan de actividades
Diciembre]])</f>
        <v>0</v>
      </c>
      <c r="AU23" s="378">
        <f>+Soportes[[#This Row],[Total Ejecutado plan de actividades]]/Soportes[[#This Row],[Total programado plan de actividades]]</f>
        <v>0</v>
      </c>
    </row>
    <row r="24" spans="1:47" s="148" customFormat="1" ht="15.6" x14ac:dyDescent="0.35">
      <c r="A24" s="228" t="str">
        <f>Soportes[[#This Row],[Código proyecto]]&amp;Soportes[[#This Row],[No Meta proyecto]]</f>
        <v>77442</v>
      </c>
      <c r="B24" s="228" t="str">
        <f>Soportes[[#This Row],[Código proyecto]]&amp;Soportes[[#This Row],[No Meta proyecto]]&amp;Soportes[[#This Row],[N° de Actividad
(Consecutivo por meta)]]</f>
        <v>774422</v>
      </c>
      <c r="C24" s="228" t="str">
        <f>Soportes[[#This Row],[Código proyecto]]&amp;Soportes[[#This Row],[No Meta proyecto]]&amp;Soportes[[#This Row],[N° de Actividad
(Consecutivo por meta)]]&amp;Soportes[[#This Row],[N° de tarea]]</f>
        <v>7744221</v>
      </c>
      <c r="D24" s="229" t="str">
        <f>Soportes[[#This Row],[Código proyecto]]&amp;Soportes[[#This Row],[No Meta proyecto]]&amp;Soportes[[#This Row],[N° de Actividad
(Consecutivo por meta)]]&amp;Soportes[[#This Row],[N° de tarea]]&amp;Soportes[[#This Row],[N° de Soporte]]</f>
        <v>77442211</v>
      </c>
      <c r="E24" s="229">
        <f>Proyecto!$B$19</f>
        <v>7744</v>
      </c>
      <c r="F24" s="243" t="str">
        <f>Proyecto!$D$19</f>
        <v>Generación de Oportunidades para el Desarrollo Integral de la Niñez y la Adolescencia de Bogotá</v>
      </c>
      <c r="G24" s="230">
        <v>4102035</v>
      </c>
      <c r="H24" s="240" t="s">
        <v>55</v>
      </c>
      <c r="I24" s="278">
        <v>2</v>
      </c>
      <c r="J24" s="243" t="str">
        <f>VLOOKUP(A24,ESTRATÉGICO!$C$3:$AA$110,14,0)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K24" s="278">
        <v>2</v>
      </c>
      <c r="L24" s="243" t="str">
        <f>VLOOKUP(B24,Actividades!$B$18:$I$35,8,0)</f>
        <v>Realizar  seguimiento a la operacion de los servicios y fortalecer la implementacion de su linea tecnica, para garantizar el derecho al desarrollo integral en la primera infancia</v>
      </c>
      <c r="M24" s="279">
        <v>1</v>
      </c>
      <c r="N24" s="243" t="str">
        <f>VLOOKUP(C24,Tareas!$C$18:$K$58,9,0)</f>
        <v>Informe de seguimiento a la gestion operativa del servicio jardines infantiles</v>
      </c>
      <c r="O24" s="278">
        <v>1</v>
      </c>
      <c r="P24" s="317" t="s">
        <v>1075</v>
      </c>
      <c r="Q24" s="280" t="s">
        <v>844</v>
      </c>
      <c r="R24" s="376" t="s">
        <v>1076</v>
      </c>
      <c r="S24" s="281">
        <v>1</v>
      </c>
      <c r="T24" s="316">
        <v>0</v>
      </c>
      <c r="U24" s="316">
        <v>0</v>
      </c>
      <c r="V24" s="316">
        <v>0.25</v>
      </c>
      <c r="W24" s="316">
        <v>0</v>
      </c>
      <c r="X24" s="316">
        <v>0.75</v>
      </c>
      <c r="Y24" s="283"/>
      <c r="Z24" s="283"/>
      <c r="AA24" s="283"/>
      <c r="AB24" s="283"/>
      <c r="AC24" s="283"/>
      <c r="AD24" s="283"/>
      <c r="AE24" s="283"/>
      <c r="AF24" s="380">
        <f>SUM(Soportes[[#This Row],[Programación Plan de actividades
Enero]:[Programación Plan de actividades
Diciembre]])</f>
        <v>1</v>
      </c>
      <c r="AG24" s="381" t="str">
        <f t="shared" si="0"/>
        <v>Programación correcta</v>
      </c>
      <c r="AH24" s="284">
        <f>EJECUCIÓN!O67</f>
        <v>0</v>
      </c>
      <c r="AI24" s="284">
        <f>EJECUCIÓN!Q67</f>
        <v>0</v>
      </c>
      <c r="AJ24" s="284">
        <f>EJECUCIÓN!S67</f>
        <v>0</v>
      </c>
      <c r="AK24" s="284">
        <f>EJECUCIÓN!U67</f>
        <v>0</v>
      </c>
      <c r="AL24" s="284">
        <f>EJECUCIÓN!W67</f>
        <v>0</v>
      </c>
      <c r="AM24" s="284">
        <f>EJECUCIÓN!Y67</f>
        <v>0</v>
      </c>
      <c r="AN24" s="284">
        <f>EJECUCIÓN!AA67</f>
        <v>0</v>
      </c>
      <c r="AO24" s="284">
        <f>EJECUCIÓN!AC67</f>
        <v>0</v>
      </c>
      <c r="AP24" s="284">
        <f>EJECUCIÓN!AE67</f>
        <v>0</v>
      </c>
      <c r="AQ24" s="284">
        <f>EJECUCIÓN!AG67</f>
        <v>0</v>
      </c>
      <c r="AR24" s="284">
        <f>EJECUCIÓN!AI67</f>
        <v>0</v>
      </c>
      <c r="AS24" s="284">
        <f>EJECUCIÓN!AK67</f>
        <v>0</v>
      </c>
      <c r="AT24" s="377">
        <f>SUM(Soportes[[#This Row],[Soportes entregados Plan de actividades
Enero]:[Soportes entregados Plan de actividades
Diciembre]])</f>
        <v>0</v>
      </c>
      <c r="AU24" s="378">
        <f>+Soportes[[#This Row],[Total Ejecutado plan de actividades]]/Soportes[[#This Row],[Total programado plan de actividades]]</f>
        <v>0</v>
      </c>
    </row>
    <row r="25" spans="1:47" s="148" customFormat="1" ht="15.6" x14ac:dyDescent="0.35">
      <c r="A25" s="228" t="str">
        <f>Soportes[[#This Row],[Código proyecto]]&amp;Soportes[[#This Row],[No Meta proyecto]]</f>
        <v>77442</v>
      </c>
      <c r="B25" s="228" t="str">
        <f>Soportes[[#This Row],[Código proyecto]]&amp;Soportes[[#This Row],[No Meta proyecto]]&amp;Soportes[[#This Row],[N° de Actividad
(Consecutivo por meta)]]</f>
        <v>774423</v>
      </c>
      <c r="C25" s="228" t="str">
        <f>Soportes[[#This Row],[Código proyecto]]&amp;Soportes[[#This Row],[No Meta proyecto]]&amp;Soportes[[#This Row],[N° de Actividad
(Consecutivo por meta)]]&amp;Soportes[[#This Row],[N° de tarea]]</f>
        <v>7744231</v>
      </c>
      <c r="D25" s="229" t="str">
        <f>Soportes[[#This Row],[Código proyecto]]&amp;Soportes[[#This Row],[No Meta proyecto]]&amp;Soportes[[#This Row],[N° de Actividad
(Consecutivo por meta)]]&amp;Soportes[[#This Row],[N° de tarea]]&amp;Soportes[[#This Row],[N° de Soporte]]</f>
        <v>77442311</v>
      </c>
      <c r="E25" s="229">
        <f>Proyecto!$B$19</f>
        <v>7744</v>
      </c>
      <c r="F25" s="243" t="str">
        <f>Proyecto!$D$19</f>
        <v>Generación de Oportunidades para el Desarrollo Integral de la Niñez y la Adolescencia de Bogotá</v>
      </c>
      <c r="G25" s="230">
        <v>4102035</v>
      </c>
      <c r="H25" s="240" t="s">
        <v>55</v>
      </c>
      <c r="I25" s="278">
        <v>2</v>
      </c>
      <c r="J25" s="243" t="str">
        <f>VLOOKUP(A25,ESTRATÉGICO!$C$3:$AA$110,14,0)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K25" s="278">
        <v>3</v>
      </c>
      <c r="L25" s="243" t="str">
        <f>VLOOKUP(B25,Actividades!$B$18:$I$35,8,0)</f>
        <v>Atender con enfoque diferencial a las ninas y ninos desde la gestacion a traves del servicio social creciendo en familia, generando en ellos espacios protectores para un crecimiento y desarrollo en el marco de la garantia de derechos.</v>
      </c>
      <c r="M25" s="279">
        <v>1</v>
      </c>
      <c r="N25" s="243" t="str">
        <f>VLOOKUP(C25,Tareas!$C$18:$K$58,9,0)</f>
        <v>Atender con enfoque diferencial a las niñas y niños desde la gestación a través de la modalidad Creciendo Juntos, generando en ellos espacios protectores para un crecimiento y desarrollo en el marco de la garantía de derechos.</v>
      </c>
      <c r="O25" s="278">
        <v>1</v>
      </c>
      <c r="P25" s="317" t="s">
        <v>1077</v>
      </c>
      <c r="Q25" s="280" t="s">
        <v>844</v>
      </c>
      <c r="R25" s="376" t="s">
        <v>1078</v>
      </c>
      <c r="S25" s="281">
        <v>1</v>
      </c>
      <c r="T25" s="316">
        <v>0</v>
      </c>
      <c r="U25" s="316">
        <v>0.5</v>
      </c>
      <c r="V25" s="316">
        <v>0.5</v>
      </c>
      <c r="W25" s="316">
        <v>0</v>
      </c>
      <c r="X25" s="316">
        <v>0</v>
      </c>
      <c r="Y25" s="283"/>
      <c r="Z25" s="283"/>
      <c r="AA25" s="283"/>
      <c r="AB25" s="283"/>
      <c r="AC25" s="283"/>
      <c r="AD25" s="283"/>
      <c r="AE25" s="283"/>
      <c r="AF25" s="380">
        <f>SUM(Soportes[[#This Row],[Programación Plan de actividades
Enero]:[Programación Plan de actividades
Diciembre]])</f>
        <v>1</v>
      </c>
      <c r="AG25" s="381" t="str">
        <f t="shared" si="0"/>
        <v>Programación correcta</v>
      </c>
      <c r="AH25" s="284">
        <f>EJECUCIÓN!O68</f>
        <v>0</v>
      </c>
      <c r="AI25" s="284">
        <f>EJECUCIÓN!Q68</f>
        <v>0</v>
      </c>
      <c r="AJ25" s="284">
        <f>EJECUCIÓN!S68</f>
        <v>0</v>
      </c>
      <c r="AK25" s="284">
        <f>EJECUCIÓN!U68</f>
        <v>0</v>
      </c>
      <c r="AL25" s="284">
        <f>EJECUCIÓN!W68</f>
        <v>0</v>
      </c>
      <c r="AM25" s="284">
        <f>EJECUCIÓN!Y68</f>
        <v>0</v>
      </c>
      <c r="AN25" s="284">
        <f>EJECUCIÓN!AA68</f>
        <v>0</v>
      </c>
      <c r="AO25" s="284">
        <f>EJECUCIÓN!AC68</f>
        <v>0</v>
      </c>
      <c r="AP25" s="284">
        <f>EJECUCIÓN!AE68</f>
        <v>0</v>
      </c>
      <c r="AQ25" s="284">
        <f>EJECUCIÓN!AG68</f>
        <v>0</v>
      </c>
      <c r="AR25" s="284">
        <f>EJECUCIÓN!AI68</f>
        <v>0</v>
      </c>
      <c r="AS25" s="284">
        <f>EJECUCIÓN!AK68</f>
        <v>0</v>
      </c>
      <c r="AT25" s="377">
        <f>SUM(Soportes[[#This Row],[Soportes entregados Plan de actividades
Enero]:[Soportes entregados Plan de actividades
Diciembre]])</f>
        <v>0</v>
      </c>
      <c r="AU25" s="378">
        <f>+Soportes[[#This Row],[Total Ejecutado plan de actividades]]/Soportes[[#This Row],[Total programado plan de actividades]]</f>
        <v>0</v>
      </c>
    </row>
    <row r="26" spans="1:47" s="148" customFormat="1" ht="15.6" x14ac:dyDescent="0.35">
      <c r="A26" s="228" t="str">
        <f>Soportes[[#This Row],[Código proyecto]]&amp;Soportes[[#This Row],[No Meta proyecto]]</f>
        <v>77442</v>
      </c>
      <c r="B26" s="228" t="str">
        <f>Soportes[[#This Row],[Código proyecto]]&amp;Soportes[[#This Row],[No Meta proyecto]]&amp;Soportes[[#This Row],[N° de Actividad
(Consecutivo por meta)]]</f>
        <v>774426</v>
      </c>
      <c r="C26" s="228" t="str">
        <f>Soportes[[#This Row],[Código proyecto]]&amp;Soportes[[#This Row],[No Meta proyecto]]&amp;Soportes[[#This Row],[N° de Actividad
(Consecutivo por meta)]]&amp;Soportes[[#This Row],[N° de tarea]]</f>
        <v>7744261</v>
      </c>
      <c r="D26" s="229" t="str">
        <f>Soportes[[#This Row],[Código proyecto]]&amp;Soportes[[#This Row],[No Meta proyecto]]&amp;Soportes[[#This Row],[N° de Actividad
(Consecutivo por meta)]]&amp;Soportes[[#This Row],[N° de tarea]]&amp;Soportes[[#This Row],[N° de Soporte]]</f>
        <v>77442611</v>
      </c>
      <c r="E26" s="229">
        <f>Proyecto!$B$19</f>
        <v>7744</v>
      </c>
      <c r="F26" s="243" t="str">
        <f>Proyecto!$D$19</f>
        <v>Generación de Oportunidades para el Desarrollo Integral de la Niñez y la Adolescencia de Bogotá</v>
      </c>
      <c r="G26" s="230">
        <v>4102035</v>
      </c>
      <c r="H26" s="240" t="s">
        <v>55</v>
      </c>
      <c r="I26" s="278">
        <v>2</v>
      </c>
      <c r="J26" s="243" t="str">
        <f>VLOOKUP(A26,ESTRATÉGICO!$C$3:$AA$110,14,0)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K26" s="278">
        <v>6</v>
      </c>
      <c r="L26" s="243" t="str">
        <f>VLOOKUP(B26,Actividades!$B$18:$I$35,8,0)</f>
        <v>Atender con enfoque diferencial y con proyectos pedagogicos actualizados a las ninas y ninos a traves del servicio social en Jardines Infantiles Diurnos, Nocturnos y Casas de Pensamiento Intercultural -SDIS, generando un acceso sin barreras</v>
      </c>
      <c r="M26" s="279">
        <v>1</v>
      </c>
      <c r="N26" s="243" t="str">
        <f>VLOOKUP(C26,Tareas!$C$18:$K$58,9,0)</f>
        <v>Desarrollar 1 informe del proceso de supervisión para determinar las alertas en la atención  y  hacer seguimiento a las acciones de  mejora en la prestación del servicio, en las 16 subdirecciones locales. // Implementar 1 plan de fortalecimiento  técnico del servicio de jardines infantiles, que promuevan la calidad en la atención integral en el Distrito.</v>
      </c>
      <c r="O26" s="278">
        <v>1</v>
      </c>
      <c r="P26" s="247" t="s">
        <v>1079</v>
      </c>
      <c r="Q26" s="280" t="s">
        <v>843</v>
      </c>
      <c r="R26" s="376" t="s">
        <v>1080</v>
      </c>
      <c r="S26" s="281">
        <v>0.4</v>
      </c>
      <c r="T26" s="282">
        <v>0</v>
      </c>
      <c r="U26" s="282">
        <v>0</v>
      </c>
      <c r="V26" s="282">
        <v>0.1</v>
      </c>
      <c r="W26" s="282">
        <v>0.1</v>
      </c>
      <c r="X26" s="282">
        <v>0.2</v>
      </c>
      <c r="Y26" s="283"/>
      <c r="Z26" s="283"/>
      <c r="AA26" s="283"/>
      <c r="AB26" s="283"/>
      <c r="AC26" s="283"/>
      <c r="AD26" s="283"/>
      <c r="AE26" s="283"/>
      <c r="AF26" s="380">
        <f>SUM(Soportes[[#This Row],[Programación Plan de actividades
Enero]:[Programación Plan de actividades
Diciembre]])</f>
        <v>0.4</v>
      </c>
      <c r="AG26" s="381" t="str">
        <f>IF(AF26=S26,"Programación correcta","Revisar programación")</f>
        <v>Programación correcta</v>
      </c>
      <c r="AH26" s="284">
        <f>EJECUCIÓN!O69</f>
        <v>0</v>
      </c>
      <c r="AI26" s="284">
        <f>EJECUCIÓN!Q69</f>
        <v>0</v>
      </c>
      <c r="AJ26" s="284">
        <f>EJECUCIÓN!S69</f>
        <v>0</v>
      </c>
      <c r="AK26" s="284">
        <f>EJECUCIÓN!U69</f>
        <v>0</v>
      </c>
      <c r="AL26" s="284">
        <f>EJECUCIÓN!W69</f>
        <v>0</v>
      </c>
      <c r="AM26" s="284">
        <f>EJECUCIÓN!Y69</f>
        <v>0</v>
      </c>
      <c r="AN26" s="284">
        <f>EJECUCIÓN!AA69</f>
        <v>0</v>
      </c>
      <c r="AO26" s="284">
        <f>EJECUCIÓN!AC69</f>
        <v>0</v>
      </c>
      <c r="AP26" s="284">
        <f>EJECUCIÓN!AE69</f>
        <v>0</v>
      </c>
      <c r="AQ26" s="284">
        <f>EJECUCIÓN!AG69</f>
        <v>0</v>
      </c>
      <c r="AR26" s="284">
        <f>EJECUCIÓN!AI69</f>
        <v>0</v>
      </c>
      <c r="AS26" s="284">
        <f>EJECUCIÓN!AK69</f>
        <v>0</v>
      </c>
      <c r="AT26" s="377">
        <f>SUM(Soportes[[#This Row],[Soportes entregados Plan de actividades
Enero]:[Soportes entregados Plan de actividades
Diciembre]])</f>
        <v>0</v>
      </c>
      <c r="AU26" s="378">
        <f>+Soportes[[#This Row],[Total Ejecutado plan de actividades]]/Soportes[[#This Row],[Total programado plan de actividades]]</f>
        <v>0</v>
      </c>
    </row>
    <row r="27" spans="1:47" s="148" customFormat="1" ht="15.6" x14ac:dyDescent="0.35">
      <c r="A27" s="228" t="str">
        <f>Soportes[[#This Row],[Código proyecto]]&amp;Soportes[[#This Row],[No Meta proyecto]]</f>
        <v>77442</v>
      </c>
      <c r="B27" s="228" t="str">
        <f>Soportes[[#This Row],[Código proyecto]]&amp;Soportes[[#This Row],[No Meta proyecto]]&amp;Soportes[[#This Row],[N° de Actividad
(Consecutivo por meta)]]</f>
        <v>774426</v>
      </c>
      <c r="C27" s="228" t="str">
        <f>Soportes[[#This Row],[Código proyecto]]&amp;Soportes[[#This Row],[No Meta proyecto]]&amp;Soportes[[#This Row],[N° de Actividad
(Consecutivo por meta)]]&amp;Soportes[[#This Row],[N° de tarea]]</f>
        <v>7744261</v>
      </c>
      <c r="D27" s="229" t="str">
        <f>Soportes[[#This Row],[Código proyecto]]&amp;Soportes[[#This Row],[No Meta proyecto]]&amp;Soportes[[#This Row],[N° de Actividad
(Consecutivo por meta)]]&amp;Soportes[[#This Row],[N° de tarea]]&amp;Soportes[[#This Row],[N° de Soporte]]</f>
        <v>77442612</v>
      </c>
      <c r="E27" s="229">
        <f>Proyecto!$B$19</f>
        <v>7744</v>
      </c>
      <c r="F27" s="243" t="str">
        <f>Proyecto!$D$19</f>
        <v>Generación de Oportunidades para el Desarrollo Integral de la Niñez y la Adolescencia de Bogotá</v>
      </c>
      <c r="G27" s="230">
        <v>4102001</v>
      </c>
      <c r="H27" s="240" t="s">
        <v>227</v>
      </c>
      <c r="I27" s="278">
        <v>2</v>
      </c>
      <c r="J27" s="243" t="str">
        <f>VLOOKUP(A27,ESTRATÉGICO!$C$3:$AA$110,14,0)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K27" s="278">
        <v>6</v>
      </c>
      <c r="L27" s="243" t="str">
        <f>VLOOKUP(B27,Actividades!$B$18:$I$35,8,0)</f>
        <v>Atender con enfoque diferencial y con proyectos pedagogicos actualizados a las ninas y ninos a traves del servicio social en Jardines Infantiles Diurnos, Nocturnos y Casas de Pensamiento Intercultural -SDIS, generando un acceso sin barreras</v>
      </c>
      <c r="M27" s="279">
        <v>1</v>
      </c>
      <c r="N27" s="243" t="str">
        <f>VLOOKUP(C27,Tareas!$C$18:$K$58,9,0)</f>
        <v>Desarrollar 1 informe del proceso de supervisión para determinar las alertas en la atención  y  hacer seguimiento a las acciones de  mejora en la prestación del servicio, en las 16 subdirecciones locales. // Implementar 1 plan de fortalecimiento  técnico del servicio de jardines infantiles, que promuevan la calidad en la atención integral en el Distrito.</v>
      </c>
      <c r="O27" s="278">
        <v>2</v>
      </c>
      <c r="P27" s="247" t="s">
        <v>1081</v>
      </c>
      <c r="Q27" s="280" t="s">
        <v>844</v>
      </c>
      <c r="R27" s="376" t="s">
        <v>1082</v>
      </c>
      <c r="S27" s="281">
        <v>0.3</v>
      </c>
      <c r="T27" s="282">
        <v>0</v>
      </c>
      <c r="U27" s="282">
        <v>0</v>
      </c>
      <c r="V27" s="282">
        <v>0.1</v>
      </c>
      <c r="W27" s="282">
        <v>0.1</v>
      </c>
      <c r="X27" s="282">
        <v>0.1</v>
      </c>
      <c r="Y27" s="283"/>
      <c r="Z27" s="283"/>
      <c r="AA27" s="283"/>
      <c r="AB27" s="283"/>
      <c r="AC27" s="283"/>
      <c r="AD27" s="283"/>
      <c r="AE27" s="283"/>
      <c r="AF27" s="380">
        <f>SUM(Soportes[[#This Row],[Programación Plan de actividades
Enero]:[Programación Plan de actividades
Diciembre]])</f>
        <v>0.30000000000000004</v>
      </c>
      <c r="AG27" s="381" t="str">
        <f t="shared" si="0"/>
        <v>Programación correcta</v>
      </c>
      <c r="AH27" s="284">
        <f>EJECUCIÓN!O70</f>
        <v>0</v>
      </c>
      <c r="AI27" s="284">
        <f>EJECUCIÓN!Q70</f>
        <v>0</v>
      </c>
      <c r="AJ27" s="284">
        <f>EJECUCIÓN!S70</f>
        <v>0</v>
      </c>
      <c r="AK27" s="284">
        <f>EJECUCIÓN!U70</f>
        <v>0</v>
      </c>
      <c r="AL27" s="284">
        <f>EJECUCIÓN!W70</f>
        <v>0</v>
      </c>
      <c r="AM27" s="284">
        <f>EJECUCIÓN!Y70</f>
        <v>0</v>
      </c>
      <c r="AN27" s="284">
        <f>EJECUCIÓN!AA70</f>
        <v>0</v>
      </c>
      <c r="AO27" s="284">
        <f>EJECUCIÓN!AC70</f>
        <v>0</v>
      </c>
      <c r="AP27" s="284">
        <f>EJECUCIÓN!AE70</f>
        <v>0</v>
      </c>
      <c r="AQ27" s="284">
        <f>EJECUCIÓN!AG70</f>
        <v>0</v>
      </c>
      <c r="AR27" s="284">
        <f>EJECUCIÓN!AI70</f>
        <v>0</v>
      </c>
      <c r="AS27" s="284">
        <f>EJECUCIÓN!AK70</f>
        <v>0</v>
      </c>
      <c r="AT27" s="377">
        <f>SUM(Soportes[[#This Row],[Soportes entregados Plan de actividades
Enero]:[Soportes entregados Plan de actividades
Diciembre]])</f>
        <v>0</v>
      </c>
      <c r="AU27" s="378">
        <f>+Soportes[[#This Row],[Total Ejecutado plan de actividades]]/Soportes[[#This Row],[Total programado plan de actividades]]</f>
        <v>0</v>
      </c>
    </row>
    <row r="28" spans="1:47" s="148" customFormat="1" ht="15.6" x14ac:dyDescent="0.35">
      <c r="A28" s="228" t="str">
        <f>Soportes[[#This Row],[Código proyecto]]&amp;Soportes[[#This Row],[No Meta proyecto]]</f>
        <v>77442</v>
      </c>
      <c r="B28" s="228" t="str">
        <f>Soportes[[#This Row],[Código proyecto]]&amp;Soportes[[#This Row],[No Meta proyecto]]&amp;Soportes[[#This Row],[N° de Actividad
(Consecutivo por meta)]]</f>
        <v>774426</v>
      </c>
      <c r="C28" s="228" t="str">
        <f>Soportes[[#This Row],[Código proyecto]]&amp;Soportes[[#This Row],[No Meta proyecto]]&amp;Soportes[[#This Row],[N° de Actividad
(Consecutivo por meta)]]&amp;Soportes[[#This Row],[N° de tarea]]</f>
        <v>7744261</v>
      </c>
      <c r="D28" s="229" t="str">
        <f>Soportes[[#This Row],[Código proyecto]]&amp;Soportes[[#This Row],[No Meta proyecto]]&amp;Soportes[[#This Row],[N° de Actividad
(Consecutivo por meta)]]&amp;Soportes[[#This Row],[N° de tarea]]&amp;Soportes[[#This Row],[N° de Soporte]]</f>
        <v>77442613</v>
      </c>
      <c r="E28" s="229">
        <f>Proyecto!$B$19</f>
        <v>7744</v>
      </c>
      <c r="F28" s="243" t="str">
        <f>Proyecto!$D$19</f>
        <v>Generación de Oportunidades para el Desarrollo Integral de la Niñez y la Adolescencia de Bogotá</v>
      </c>
      <c r="G28" s="230">
        <v>4102001</v>
      </c>
      <c r="H28" s="240" t="s">
        <v>227</v>
      </c>
      <c r="I28" s="278">
        <v>2</v>
      </c>
      <c r="J28" s="243" t="str">
        <f>VLOOKUP(A28,ESTRATÉGICO!$C$3:$AA$110,14,0)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K28" s="278">
        <v>6</v>
      </c>
      <c r="L28" s="243" t="str">
        <f>VLOOKUP(B28,Actividades!$B$18:$I$35,8,0)</f>
        <v>Atender con enfoque diferencial y con proyectos pedagogicos actualizados a las ninas y ninos a traves del servicio social en Jardines Infantiles Diurnos, Nocturnos y Casas de Pensamiento Intercultural -SDIS, generando un acceso sin barreras</v>
      </c>
      <c r="M28" s="279">
        <v>1</v>
      </c>
      <c r="N28" s="243" t="str">
        <f>VLOOKUP(C28,Tareas!$C$18:$K$58,9,0)</f>
        <v>Desarrollar 1 informe del proceso de supervisión para determinar las alertas en la atención  y  hacer seguimiento a las acciones de  mejora en la prestación del servicio, en las 16 subdirecciones locales. // Implementar 1 plan de fortalecimiento  técnico del servicio de jardines infantiles, que promuevan la calidad en la atención integral en el Distrito.</v>
      </c>
      <c r="O28" s="278">
        <v>3</v>
      </c>
      <c r="P28" s="247" t="s">
        <v>1083</v>
      </c>
      <c r="Q28" s="280" t="s">
        <v>844</v>
      </c>
      <c r="R28" s="376" t="s">
        <v>1084</v>
      </c>
      <c r="S28" s="281">
        <v>0.3</v>
      </c>
      <c r="T28" s="282">
        <v>0</v>
      </c>
      <c r="U28" s="282">
        <v>0</v>
      </c>
      <c r="V28" s="282">
        <v>0.1</v>
      </c>
      <c r="W28" s="282">
        <v>0.1</v>
      </c>
      <c r="X28" s="282">
        <v>0.1</v>
      </c>
      <c r="Y28" s="283"/>
      <c r="Z28" s="283"/>
      <c r="AA28" s="283"/>
      <c r="AB28" s="283"/>
      <c r="AC28" s="283"/>
      <c r="AD28" s="283"/>
      <c r="AE28" s="283"/>
      <c r="AF28" s="380">
        <f>SUM(Soportes[[#This Row],[Programación Plan de actividades
Enero]:[Programación Plan de actividades
Diciembre]])</f>
        <v>0.30000000000000004</v>
      </c>
      <c r="AG28" s="381" t="str">
        <f>IF(AF28=S28,"Programación correcta","Revisar programación")</f>
        <v>Programación correcta</v>
      </c>
      <c r="AH28" s="284">
        <f>EJECUCIÓN!O71</f>
        <v>0</v>
      </c>
      <c r="AI28" s="284">
        <f>EJECUCIÓN!Q71</f>
        <v>0</v>
      </c>
      <c r="AJ28" s="284">
        <f>EJECUCIÓN!S71</f>
        <v>0</v>
      </c>
      <c r="AK28" s="284">
        <f>EJECUCIÓN!U71</f>
        <v>0</v>
      </c>
      <c r="AL28" s="284">
        <f>EJECUCIÓN!W71</f>
        <v>0</v>
      </c>
      <c r="AM28" s="284">
        <f>EJECUCIÓN!Y71</f>
        <v>0</v>
      </c>
      <c r="AN28" s="284">
        <f>EJECUCIÓN!AA71</f>
        <v>0</v>
      </c>
      <c r="AO28" s="284">
        <f>EJECUCIÓN!AC71</f>
        <v>0</v>
      </c>
      <c r="AP28" s="284">
        <f>EJECUCIÓN!AE71</f>
        <v>0</v>
      </c>
      <c r="AQ28" s="284">
        <f>EJECUCIÓN!AG71</f>
        <v>0</v>
      </c>
      <c r="AR28" s="284">
        <f>EJECUCIÓN!AI71</f>
        <v>0</v>
      </c>
      <c r="AS28" s="284">
        <f>EJECUCIÓN!AK71</f>
        <v>0</v>
      </c>
      <c r="AT28" s="377">
        <f>SUM(Soportes[[#This Row],[Soportes entregados Plan de actividades
Enero]:[Soportes entregados Plan de actividades
Diciembre]])</f>
        <v>0</v>
      </c>
      <c r="AU28" s="378">
        <f>+Soportes[[#This Row],[Total Ejecutado plan de actividades]]/Soportes[[#This Row],[Total programado plan de actividades]]</f>
        <v>0</v>
      </c>
    </row>
    <row r="29" spans="1:47" s="148" customFormat="1" ht="15.6" x14ac:dyDescent="0.35">
      <c r="A29" s="228" t="str">
        <f>Soportes[[#This Row],[Código proyecto]]&amp;Soportes[[#This Row],[No Meta proyecto]]</f>
        <v>77442</v>
      </c>
      <c r="B29" s="228" t="str">
        <f>Soportes[[#This Row],[Código proyecto]]&amp;Soportes[[#This Row],[No Meta proyecto]]&amp;Soportes[[#This Row],[N° de Actividad
(Consecutivo por meta)]]</f>
        <v>774424</v>
      </c>
      <c r="C29" s="228" t="str">
        <f>Soportes[[#This Row],[Código proyecto]]&amp;Soportes[[#This Row],[No Meta proyecto]]&amp;Soportes[[#This Row],[N° de Actividad
(Consecutivo por meta)]]&amp;Soportes[[#This Row],[N° de tarea]]</f>
        <v>7744241</v>
      </c>
      <c r="D29" s="229" t="str">
        <f>Soportes[[#This Row],[Código proyecto]]&amp;Soportes[[#This Row],[No Meta proyecto]]&amp;Soportes[[#This Row],[N° de Actividad
(Consecutivo por meta)]]&amp;Soportes[[#This Row],[N° de tarea]]&amp;Soportes[[#This Row],[N° de Soporte]]</f>
        <v>77442411</v>
      </c>
      <c r="E29" s="229">
        <f>Proyecto!$B$19</f>
        <v>7744</v>
      </c>
      <c r="F29" s="243" t="str">
        <f>Proyecto!$D$19</f>
        <v>Generación de Oportunidades para el Desarrollo Integral de la Niñez y la Adolescencia de Bogotá</v>
      </c>
      <c r="G29" s="230">
        <v>4102001</v>
      </c>
      <c r="H29" s="240" t="s">
        <v>227</v>
      </c>
      <c r="I29" s="278">
        <v>2</v>
      </c>
      <c r="J29" s="261" t="str">
        <f>VLOOKUP(A29,ESTRATÉGICO!$C$3:$AA$110,14,0)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K29" s="278">
        <v>4</v>
      </c>
      <c r="L29" s="261" t="str">
        <f>VLOOKUP(B29,Actividades!$B$18:$I$35,8,0)</f>
        <v>Atender con enfoque diferencial y con proyectos pedagogicos actualizados a las ninas y ninos a traves del servicio social en Jardines Infantiles - Cupos Cofinanciados generando un acceso sin barreras y flexible segun las particularidades de</v>
      </c>
      <c r="M29" s="279">
        <v>1</v>
      </c>
      <c r="N29" s="243" t="str">
        <f>VLOOKUP(C29,Tareas!$C$18:$K$58,9,0)</f>
        <v>Desarrollar 1 proceso de supervisión a los jardines cofinanciados para determinar las alertas en la atención  y  hacer seguimiento a las acciones de  mejora en la prestación del servicio, en las  Subdirecciones locales que cuentan con jardines infantiles cofinanciados</v>
      </c>
      <c r="O29" s="278">
        <v>1</v>
      </c>
      <c r="P29" s="317" t="s">
        <v>1075</v>
      </c>
      <c r="Q29" s="280" t="s">
        <v>844</v>
      </c>
      <c r="R29" s="376" t="s">
        <v>1076</v>
      </c>
      <c r="S29" s="281">
        <v>1</v>
      </c>
      <c r="T29" s="316">
        <v>0</v>
      </c>
      <c r="U29" s="316">
        <v>0</v>
      </c>
      <c r="V29" s="316">
        <v>0.25</v>
      </c>
      <c r="W29" s="316">
        <v>0</v>
      </c>
      <c r="X29" s="316">
        <v>0.75</v>
      </c>
      <c r="Y29" s="283"/>
      <c r="Z29" s="283"/>
      <c r="AA29" s="283"/>
      <c r="AB29" s="283"/>
      <c r="AC29" s="283"/>
      <c r="AD29" s="283"/>
      <c r="AE29" s="283"/>
      <c r="AF29" s="380">
        <f>SUM(Soportes[[#This Row],[Programación Plan de actividades
Enero]:[Programación Plan de actividades
Diciembre]])</f>
        <v>1</v>
      </c>
      <c r="AG29" s="381" t="str">
        <f t="shared" si="0"/>
        <v>Programación correcta</v>
      </c>
      <c r="AH29" s="284">
        <f>EJECUCIÓN!O72</f>
        <v>0</v>
      </c>
      <c r="AI29" s="284">
        <f>EJECUCIÓN!Q72</f>
        <v>0</v>
      </c>
      <c r="AJ29" s="284">
        <f>EJECUCIÓN!S72</f>
        <v>0</v>
      </c>
      <c r="AK29" s="284">
        <f>EJECUCIÓN!U72</f>
        <v>0</v>
      </c>
      <c r="AL29" s="284">
        <f>EJECUCIÓN!W72</f>
        <v>0</v>
      </c>
      <c r="AM29" s="284">
        <f>EJECUCIÓN!Y72</f>
        <v>0</v>
      </c>
      <c r="AN29" s="284">
        <f>EJECUCIÓN!AA72</f>
        <v>0</v>
      </c>
      <c r="AO29" s="284">
        <f>EJECUCIÓN!AC72</f>
        <v>0</v>
      </c>
      <c r="AP29" s="284">
        <f>EJECUCIÓN!AE72</f>
        <v>0</v>
      </c>
      <c r="AQ29" s="284">
        <f>EJECUCIÓN!AG72</f>
        <v>0</v>
      </c>
      <c r="AR29" s="284">
        <f>EJECUCIÓN!AI72</f>
        <v>0</v>
      </c>
      <c r="AS29" s="284">
        <f>EJECUCIÓN!AK72</f>
        <v>0</v>
      </c>
      <c r="AT29" s="377">
        <f>SUM(Soportes[[#This Row],[Soportes entregados Plan de actividades
Enero]:[Soportes entregados Plan de actividades
Diciembre]])</f>
        <v>0</v>
      </c>
      <c r="AU29" s="378">
        <f>+Soportes[[#This Row],[Total Ejecutado plan de actividades]]/Soportes[[#This Row],[Total programado plan de actividades]]</f>
        <v>0</v>
      </c>
    </row>
    <row r="30" spans="1:47" s="148" customFormat="1" ht="15.6" x14ac:dyDescent="0.35">
      <c r="A30" s="228" t="str">
        <f>Soportes[[#This Row],[Código proyecto]]&amp;Soportes[[#This Row],[No Meta proyecto]]</f>
        <v>77442</v>
      </c>
      <c r="B30" s="228" t="str">
        <f>Soportes[[#This Row],[Código proyecto]]&amp;Soportes[[#This Row],[No Meta proyecto]]&amp;Soportes[[#This Row],[N° de Actividad
(Consecutivo por meta)]]</f>
        <v>774425</v>
      </c>
      <c r="C30" s="228" t="str">
        <f>Soportes[[#This Row],[Código proyecto]]&amp;Soportes[[#This Row],[No Meta proyecto]]&amp;Soportes[[#This Row],[N° de Actividad
(Consecutivo por meta)]]&amp;Soportes[[#This Row],[N° de tarea]]</f>
        <v>7744251</v>
      </c>
      <c r="D30" s="229" t="str">
        <f>Soportes[[#This Row],[Código proyecto]]&amp;Soportes[[#This Row],[No Meta proyecto]]&amp;Soportes[[#This Row],[N° de Actividad
(Consecutivo por meta)]]&amp;Soportes[[#This Row],[N° de tarea]]&amp;Soportes[[#This Row],[N° de Soporte]]</f>
        <v>77442511</v>
      </c>
      <c r="E30" s="229">
        <f>Proyecto!$B$19</f>
        <v>7744</v>
      </c>
      <c r="F30" s="243" t="str">
        <f>Proyecto!$D$19</f>
        <v>Generación de Oportunidades para el Desarrollo Integral de la Niñez y la Adolescencia de Bogotá</v>
      </c>
      <c r="G30" s="230">
        <v>4102001</v>
      </c>
      <c r="H30" s="240" t="s">
        <v>227</v>
      </c>
      <c r="I30" s="278">
        <v>2</v>
      </c>
      <c r="J30" s="243" t="str">
        <f>VLOOKUP(A30,ESTRATÉGICO!$C$3:$AA$110,14,0)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K30" s="278">
        <v>5</v>
      </c>
      <c r="L30" s="243" t="str">
        <f>VLOOKUP(B30,Actividades!$B$18:$I$35,8,0)</f>
        <v>Atender con enfoque diferencial y con proyectos pedagogicos actualizados a las ninas y ninos a traves del servicio social en Jardines Infantiles - Sociales generando un acceso sin barreras y flexible segun las particularidades del territori</v>
      </c>
      <c r="M30" s="279">
        <v>1</v>
      </c>
      <c r="N30" s="243" t="str">
        <f>VLOOKUP(C30,Tareas!$C$18:$K$58,9,0)</f>
        <v>Desarrollar 1 proceso de supervisión para determinar las alertas en la atención  y  hacer seguimiento a las acciones de  mejora en la prestación del servicio, en las 10 subdirecciones locales que cuentan con jardines infantiles sociales</v>
      </c>
      <c r="O30" s="278">
        <v>1</v>
      </c>
      <c r="P30" s="317" t="s">
        <v>1075</v>
      </c>
      <c r="Q30" s="280" t="s">
        <v>844</v>
      </c>
      <c r="R30" s="376" t="s">
        <v>1076</v>
      </c>
      <c r="S30" s="281">
        <v>1</v>
      </c>
      <c r="T30" s="316">
        <v>0</v>
      </c>
      <c r="U30" s="316">
        <v>0</v>
      </c>
      <c r="V30" s="316">
        <v>0.25</v>
      </c>
      <c r="W30" s="316">
        <v>0</v>
      </c>
      <c r="X30" s="316">
        <v>0.75</v>
      </c>
      <c r="Y30" s="283"/>
      <c r="Z30" s="283"/>
      <c r="AA30" s="283"/>
      <c r="AB30" s="283"/>
      <c r="AC30" s="283"/>
      <c r="AD30" s="283"/>
      <c r="AE30" s="283"/>
      <c r="AF30" s="380">
        <f>SUM(Soportes[[#This Row],[Programación Plan de actividades
Enero]:[Programación Plan de actividades
Diciembre]])</f>
        <v>1</v>
      </c>
      <c r="AG30" s="381" t="str">
        <f>IF(AF30=S30,"Programación correcta","Revisar programación")</f>
        <v>Programación correcta</v>
      </c>
      <c r="AH30" s="284">
        <f>EJECUCIÓN!O73</f>
        <v>0</v>
      </c>
      <c r="AI30" s="284">
        <f>EJECUCIÓN!Q73</f>
        <v>0</v>
      </c>
      <c r="AJ30" s="284">
        <f>EJECUCIÓN!S73</f>
        <v>0</v>
      </c>
      <c r="AK30" s="284">
        <f>EJECUCIÓN!U73</f>
        <v>0</v>
      </c>
      <c r="AL30" s="284">
        <f>EJECUCIÓN!W73</f>
        <v>0</v>
      </c>
      <c r="AM30" s="284">
        <f>EJECUCIÓN!Y73</f>
        <v>0</v>
      </c>
      <c r="AN30" s="284">
        <f>EJECUCIÓN!AA73</f>
        <v>0</v>
      </c>
      <c r="AO30" s="284">
        <f>EJECUCIÓN!AC73</f>
        <v>0</v>
      </c>
      <c r="AP30" s="284">
        <f>EJECUCIÓN!AE73</f>
        <v>0</v>
      </c>
      <c r="AQ30" s="284">
        <f>EJECUCIÓN!AG73</f>
        <v>0</v>
      </c>
      <c r="AR30" s="284">
        <f>EJECUCIÓN!AI73</f>
        <v>0</v>
      </c>
      <c r="AS30" s="284">
        <f>EJECUCIÓN!AK73</f>
        <v>0</v>
      </c>
      <c r="AT30" s="377">
        <f>SUM(Soportes[[#This Row],[Soportes entregados Plan de actividades
Enero]:[Soportes entregados Plan de actividades
Diciembre]])</f>
        <v>0</v>
      </c>
      <c r="AU30" s="378">
        <f>+Soportes[[#This Row],[Total Ejecutado plan de actividades]]/Soportes[[#This Row],[Total programado plan de actividades]]</f>
        <v>0</v>
      </c>
    </row>
    <row r="31" spans="1:47" s="148" customFormat="1" ht="15.6" x14ac:dyDescent="0.35">
      <c r="A31" s="228" t="str">
        <f>Soportes[[#This Row],[Código proyecto]]&amp;Soportes[[#This Row],[No Meta proyecto]]</f>
        <v>77442</v>
      </c>
      <c r="B31" s="228" t="str">
        <f>Soportes[[#This Row],[Código proyecto]]&amp;Soportes[[#This Row],[No Meta proyecto]]&amp;Soportes[[#This Row],[N° de Actividad
(Consecutivo por meta)]]</f>
        <v>774427</v>
      </c>
      <c r="C31" s="228" t="str">
        <f>Soportes[[#This Row],[Código proyecto]]&amp;Soportes[[#This Row],[No Meta proyecto]]&amp;Soportes[[#This Row],[N° de Actividad
(Consecutivo por meta)]]&amp;Soportes[[#This Row],[N° de tarea]]</f>
        <v>7744271</v>
      </c>
      <c r="D31" s="229" t="str">
        <f>Soportes[[#This Row],[Código proyecto]]&amp;Soportes[[#This Row],[No Meta proyecto]]&amp;Soportes[[#This Row],[N° de Actividad
(Consecutivo por meta)]]&amp;Soportes[[#This Row],[N° de tarea]]&amp;Soportes[[#This Row],[N° de Soporte]]</f>
        <v>77442711</v>
      </c>
      <c r="E31" s="229">
        <f>Proyecto!$B$19</f>
        <v>7744</v>
      </c>
      <c r="F31" s="243" t="str">
        <f>Proyecto!$D$19</f>
        <v>Generación de Oportunidades para el Desarrollo Integral de la Niñez y la Adolescencia de Bogotá</v>
      </c>
      <c r="G31" s="230">
        <v>4102001</v>
      </c>
      <c r="H31" s="240" t="s">
        <v>227</v>
      </c>
      <c r="I31" s="278">
        <v>2</v>
      </c>
      <c r="J31" s="243" t="str">
        <f>VLOOKUP(A31,ESTRATÉGICO!$C$3:$AA$110,14,0)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K31" s="278">
        <v>7</v>
      </c>
      <c r="L31" s="243" t="str">
        <f>VLOOKUP(B31,Actividades!$B$18:$I$35,8,0)</f>
        <v>Atender con enfoque diferencial a las ninas y ninos desde la gestacion a traves del servicio social Creciendo en Familia en la Ruralidad, generando en ellos espacios protectores para un crecimiento y desarrollo en el marco de la garantia de</v>
      </c>
      <c r="M31" s="279">
        <v>1</v>
      </c>
      <c r="N31" s="243" t="str">
        <f>VLOOKUP(C31,Tareas!$C$18:$K$58,9,0)</f>
        <v>Realizar  la actualización de los Proyectos Educativos Comunitarios PEC en los cinco  territorios rurales donde se desarrolla atención a la primera infancia crecemos en la rualidad.</v>
      </c>
      <c r="O31" s="278">
        <v>1</v>
      </c>
      <c r="P31" s="247" t="s">
        <v>1085</v>
      </c>
      <c r="Q31" s="280" t="s">
        <v>843</v>
      </c>
      <c r="R31" s="376" t="s">
        <v>1086</v>
      </c>
      <c r="S31" s="281">
        <v>1</v>
      </c>
      <c r="T31" s="316">
        <v>0</v>
      </c>
      <c r="U31" s="316">
        <v>0</v>
      </c>
      <c r="V31" s="316">
        <v>0</v>
      </c>
      <c r="W31" s="316">
        <v>0</v>
      </c>
      <c r="X31" s="316">
        <v>1</v>
      </c>
      <c r="Y31" s="283"/>
      <c r="Z31" s="283"/>
      <c r="AA31" s="283"/>
      <c r="AB31" s="283"/>
      <c r="AC31" s="283"/>
      <c r="AD31" s="283"/>
      <c r="AE31" s="283"/>
      <c r="AF31" s="380">
        <f>SUM(Soportes[[#This Row],[Programación Plan de actividades
Enero]:[Programación Plan de actividades
Diciembre]])</f>
        <v>1</v>
      </c>
      <c r="AG31" s="381" t="str">
        <f t="shared" si="0"/>
        <v>Programación correcta</v>
      </c>
      <c r="AH31" s="284">
        <f>EJECUCIÓN!O74</f>
        <v>0</v>
      </c>
      <c r="AI31" s="284">
        <f>EJECUCIÓN!Q74</f>
        <v>0</v>
      </c>
      <c r="AJ31" s="284">
        <f>EJECUCIÓN!S74</f>
        <v>0</v>
      </c>
      <c r="AK31" s="284">
        <f>EJECUCIÓN!U74</f>
        <v>0</v>
      </c>
      <c r="AL31" s="284">
        <f>EJECUCIÓN!W74</f>
        <v>0</v>
      </c>
      <c r="AM31" s="284">
        <f>EJECUCIÓN!Y74</f>
        <v>0</v>
      </c>
      <c r="AN31" s="284">
        <f>EJECUCIÓN!AA74</f>
        <v>0</v>
      </c>
      <c r="AO31" s="284">
        <f>EJECUCIÓN!AC74</f>
        <v>0</v>
      </c>
      <c r="AP31" s="284">
        <f>EJECUCIÓN!AE74</f>
        <v>0</v>
      </c>
      <c r="AQ31" s="284">
        <f>EJECUCIÓN!AG74</f>
        <v>0</v>
      </c>
      <c r="AR31" s="284">
        <f>EJECUCIÓN!AI74</f>
        <v>0</v>
      </c>
      <c r="AS31" s="284">
        <f>EJECUCIÓN!AK74</f>
        <v>0</v>
      </c>
      <c r="AT31" s="377">
        <f>SUM(Soportes[[#This Row],[Soportes entregados Plan de actividades
Enero]:[Soportes entregados Plan de actividades
Diciembre]])</f>
        <v>0</v>
      </c>
      <c r="AU31" s="378">
        <f>+Soportes[[#This Row],[Total Ejecutado plan de actividades]]/Soportes[[#This Row],[Total programado plan de actividades]]</f>
        <v>0</v>
      </c>
    </row>
    <row r="32" spans="1:47" s="148" customFormat="1" ht="15.6" x14ac:dyDescent="0.35">
      <c r="A32" s="228" t="str">
        <f>Soportes[[#This Row],[Código proyecto]]&amp;Soportes[[#This Row],[No Meta proyecto]]</f>
        <v>77442</v>
      </c>
      <c r="B32" s="228" t="str">
        <f>Soportes[[#This Row],[Código proyecto]]&amp;Soportes[[#This Row],[No Meta proyecto]]&amp;Soportes[[#This Row],[N° de Actividad
(Consecutivo por meta)]]</f>
        <v>774427</v>
      </c>
      <c r="C32" s="228" t="str">
        <f>Soportes[[#This Row],[Código proyecto]]&amp;Soportes[[#This Row],[No Meta proyecto]]&amp;Soportes[[#This Row],[N° de Actividad
(Consecutivo por meta)]]&amp;Soportes[[#This Row],[N° de tarea]]</f>
        <v>7744272</v>
      </c>
      <c r="D32" s="229" t="str">
        <f>Soportes[[#This Row],[Código proyecto]]&amp;Soportes[[#This Row],[No Meta proyecto]]&amp;Soportes[[#This Row],[N° de Actividad
(Consecutivo por meta)]]&amp;Soportes[[#This Row],[N° de tarea]]&amp;Soportes[[#This Row],[N° de Soporte]]</f>
        <v>77442721</v>
      </c>
      <c r="E32" s="229">
        <f>Proyecto!$B$19</f>
        <v>7744</v>
      </c>
      <c r="F32" s="243" t="str">
        <f>Proyecto!$D$19</f>
        <v>Generación de Oportunidades para el Desarrollo Integral de la Niñez y la Adolescencia de Bogotá</v>
      </c>
      <c r="G32" s="230">
        <v>4102001</v>
      </c>
      <c r="H32" s="240" t="s">
        <v>227</v>
      </c>
      <c r="I32" s="278">
        <v>2</v>
      </c>
      <c r="J32" s="243" t="str">
        <f>VLOOKUP(A32,ESTRATÉGICO!$C$3:$AA$110,14,0)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K32" s="278">
        <v>7</v>
      </c>
      <c r="L32" s="243" t="str">
        <f>VLOOKUP(B32,Actividades!$B$18:$I$35,8,0)</f>
        <v>Atender con enfoque diferencial a las ninas y ninos desde la gestacion a traves del servicio social Creciendo en Familia en la Ruralidad, generando en ellos espacios protectores para un crecimiento y desarrollo en el marco de la garantia de</v>
      </c>
      <c r="M32" s="279">
        <v>2</v>
      </c>
      <c r="N32" s="243" t="str">
        <f>VLOOKUP(C32,Tareas!$C$18:$K$58,9,0)</f>
        <v>Desarrollar 3 encuentros anuales  para fortalecer la participación y movilización social de imaginarios en torno a la inclusión de gestantes, niñas, niños  en los territorios rurales donde se  desarrolla las modalidades, para fortalecer rutas de cuidado   con perspectiva  del enfoque diferencial y de género.</v>
      </c>
      <c r="O32" s="278">
        <v>1</v>
      </c>
      <c r="P32" s="247" t="s">
        <v>1087</v>
      </c>
      <c r="Q32" s="280" t="s">
        <v>844</v>
      </c>
      <c r="R32" s="376" t="s">
        <v>1088</v>
      </c>
      <c r="S32" s="281">
        <v>1</v>
      </c>
      <c r="T32" s="316">
        <v>0</v>
      </c>
      <c r="U32" s="316">
        <v>0</v>
      </c>
      <c r="V32" s="316">
        <v>0.3</v>
      </c>
      <c r="W32" s="316">
        <v>0.3</v>
      </c>
      <c r="X32" s="316">
        <v>0.4</v>
      </c>
      <c r="Y32" s="283"/>
      <c r="Z32" s="283"/>
      <c r="AA32" s="283"/>
      <c r="AB32" s="283"/>
      <c r="AC32" s="283"/>
      <c r="AD32" s="283"/>
      <c r="AE32" s="283"/>
      <c r="AF32" s="380">
        <f>SUM(Soportes[[#This Row],[Programación Plan de actividades
Enero]:[Programación Plan de actividades
Diciembre]])</f>
        <v>1</v>
      </c>
      <c r="AG32" s="381" t="str">
        <f>IF(AF32=S32,"Programación correcta","Revisar programación")</f>
        <v>Programación correcta</v>
      </c>
      <c r="AH32" s="284">
        <f>EJECUCIÓN!O75</f>
        <v>0</v>
      </c>
      <c r="AI32" s="284">
        <f>EJECUCIÓN!Q75</f>
        <v>0</v>
      </c>
      <c r="AJ32" s="284">
        <f>EJECUCIÓN!S75</f>
        <v>0</v>
      </c>
      <c r="AK32" s="284">
        <f>EJECUCIÓN!U75</f>
        <v>0</v>
      </c>
      <c r="AL32" s="284">
        <f>EJECUCIÓN!W75</f>
        <v>0</v>
      </c>
      <c r="AM32" s="284">
        <f>EJECUCIÓN!Y75</f>
        <v>0</v>
      </c>
      <c r="AN32" s="284">
        <f>EJECUCIÓN!AA75</f>
        <v>0</v>
      </c>
      <c r="AO32" s="284">
        <f>EJECUCIÓN!AC75</f>
        <v>0</v>
      </c>
      <c r="AP32" s="284">
        <f>EJECUCIÓN!AE75</f>
        <v>0</v>
      </c>
      <c r="AQ32" s="284">
        <f>EJECUCIÓN!AG75</f>
        <v>0</v>
      </c>
      <c r="AR32" s="284">
        <f>EJECUCIÓN!AI75</f>
        <v>0</v>
      </c>
      <c r="AS32" s="284">
        <f>EJECUCIÓN!AK75</f>
        <v>0</v>
      </c>
      <c r="AT32" s="377">
        <f>SUM(Soportes[[#This Row],[Soportes entregados Plan de actividades
Enero]:[Soportes entregados Plan de actividades
Diciembre]])</f>
        <v>0</v>
      </c>
      <c r="AU32" s="379">
        <f>+Soportes[[#This Row],[Total Ejecutado plan de actividades]]/Soportes[[#This Row],[Total programado plan de actividades]]</f>
        <v>0</v>
      </c>
    </row>
    <row r="33" spans="1:47" s="148" customFormat="1" ht="15.6" x14ac:dyDescent="0.35">
      <c r="A33" s="228" t="str">
        <f>Soportes[[#This Row],[Código proyecto]]&amp;Soportes[[#This Row],[No Meta proyecto]]</f>
        <v>77442</v>
      </c>
      <c r="B33" s="228" t="str">
        <f>Soportes[[#This Row],[Código proyecto]]&amp;Soportes[[#This Row],[No Meta proyecto]]&amp;Soportes[[#This Row],[N° de Actividad
(Consecutivo por meta)]]</f>
        <v>774428</v>
      </c>
      <c r="C33" s="228" t="str">
        <f>Soportes[[#This Row],[Código proyecto]]&amp;Soportes[[#This Row],[No Meta proyecto]]&amp;Soportes[[#This Row],[N° de Actividad
(Consecutivo por meta)]]&amp;Soportes[[#This Row],[N° de tarea]]</f>
        <v>7744281</v>
      </c>
      <c r="D33" s="229" t="str">
        <f>Soportes[[#This Row],[Código proyecto]]&amp;Soportes[[#This Row],[No Meta proyecto]]&amp;Soportes[[#This Row],[N° de Actividad
(Consecutivo por meta)]]&amp;Soportes[[#This Row],[N° de tarea]]&amp;Soportes[[#This Row],[N° de Soporte]]</f>
        <v>77442811</v>
      </c>
      <c r="E33" s="229">
        <f>Proyecto!$B$19</f>
        <v>7744</v>
      </c>
      <c r="F33" s="243" t="str">
        <f>Proyecto!$D$19</f>
        <v>Generación de Oportunidades para el Desarrollo Integral de la Niñez y la Adolescencia de Bogotá</v>
      </c>
      <c r="G33" s="230">
        <v>4102001</v>
      </c>
      <c r="H33" s="240" t="s">
        <v>227</v>
      </c>
      <c r="I33" s="278">
        <v>2</v>
      </c>
      <c r="J33" s="243" t="str">
        <f>VLOOKUP(A33,ESTRATÉGICO!$C$3:$AA$110,14,0)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K33" s="278">
        <v>8</v>
      </c>
      <c r="L33" s="243" t="str">
        <f>VLOOKUP(B33,Actividades!$B$18:$I$35,8,0)</f>
        <v>Implementar y flexibilizar la estrategia de Salas Amigas de la Familia Lactante, con el fin de generar una cultura de la lactancia desde la gestacion y su practica segura en los diferentes entornos.</v>
      </c>
      <c r="M33" s="279">
        <v>1</v>
      </c>
      <c r="N33" s="243" t="str">
        <f>VLOOKUP(C33,Tareas!$C$18:$K$58,9,0)</f>
        <v>Desarrollar 1 proceso de asistencia técnica  en lactancia materna y alimentación infantil saludable desde lo territorial, con el fin de certificar, recertificar y Generar sostenibilidad a las Salas Amigas de la ciudad en las tres modalidades: institucional, comunitario y laboral.</v>
      </c>
      <c r="O33" s="278">
        <v>1</v>
      </c>
      <c r="P33" s="247" t="s">
        <v>1355</v>
      </c>
      <c r="Q33" s="280" t="s">
        <v>844</v>
      </c>
      <c r="R33" s="376" t="s">
        <v>1088</v>
      </c>
      <c r="S33" s="281">
        <v>1</v>
      </c>
      <c r="T33" s="282">
        <v>0</v>
      </c>
      <c r="U33" s="282">
        <v>0.25</v>
      </c>
      <c r="V33" s="282">
        <v>0.25</v>
      </c>
      <c r="W33" s="282">
        <v>0.25</v>
      </c>
      <c r="X33" s="282">
        <v>0.25</v>
      </c>
      <c r="Y33" s="283"/>
      <c r="Z33" s="283"/>
      <c r="AA33" s="283"/>
      <c r="AB33" s="283"/>
      <c r="AC33" s="283"/>
      <c r="AD33" s="283"/>
      <c r="AE33" s="283"/>
      <c r="AF33" s="380">
        <f>SUM(Soportes[[#This Row],[Programación Plan de actividades
Enero]:[Programación Plan de actividades
Diciembre]])</f>
        <v>1</v>
      </c>
      <c r="AG33" s="381" t="str">
        <f>IF(AF33=S33,"Programación correcta","Revisar programación")</f>
        <v>Programación correcta</v>
      </c>
      <c r="AH33" s="284">
        <f>EJECUCIÓN!O75</f>
        <v>0</v>
      </c>
      <c r="AI33" s="284">
        <f>EJECUCIÓN!Q75</f>
        <v>0</v>
      </c>
      <c r="AJ33" s="284">
        <f>EJECUCIÓN!S75</f>
        <v>0</v>
      </c>
      <c r="AK33" s="284">
        <f>EJECUCIÓN!U75</f>
        <v>0</v>
      </c>
      <c r="AL33" s="284">
        <f>EJECUCIÓN!W75</f>
        <v>0</v>
      </c>
      <c r="AM33" s="284">
        <f>EJECUCIÓN!Y75</f>
        <v>0</v>
      </c>
      <c r="AN33" s="284">
        <f>EJECUCIÓN!AA75</f>
        <v>0</v>
      </c>
      <c r="AO33" s="284">
        <f>EJECUCIÓN!AC75</f>
        <v>0</v>
      </c>
      <c r="AP33" s="284">
        <f>EJECUCIÓN!AE75</f>
        <v>0</v>
      </c>
      <c r="AQ33" s="284">
        <f>EJECUCIÓN!AG75</f>
        <v>0</v>
      </c>
      <c r="AR33" s="284">
        <f>EJECUCIÓN!AI75</f>
        <v>0</v>
      </c>
      <c r="AS33" s="284">
        <f>EJECUCIÓN!AK75</f>
        <v>0</v>
      </c>
      <c r="AT33" s="377">
        <f>SUM(Soportes[[#This Row],[Soportes entregados Plan de actividades
Enero]:[Soportes entregados Plan de actividades
Diciembre]])</f>
        <v>0</v>
      </c>
      <c r="AU33" s="379">
        <f>+Soportes[[#This Row],[Total Ejecutado plan de actividades]]/Soportes[[#This Row],[Total programado plan de actividades]]</f>
        <v>0</v>
      </c>
    </row>
    <row r="34" spans="1:47" s="148" customFormat="1" ht="15.6" x14ac:dyDescent="0.35">
      <c r="A34" s="228" t="str">
        <f>Soportes[[#This Row],[Código proyecto]]&amp;Soportes[[#This Row],[No Meta proyecto]]</f>
        <v>77442</v>
      </c>
      <c r="B34" s="228" t="str">
        <f>Soportes[[#This Row],[Código proyecto]]&amp;Soportes[[#This Row],[No Meta proyecto]]&amp;Soportes[[#This Row],[N° de Actividad
(Consecutivo por meta)]]</f>
        <v>774428</v>
      </c>
      <c r="C34" s="228" t="str">
        <f>Soportes[[#This Row],[Código proyecto]]&amp;Soportes[[#This Row],[No Meta proyecto]]&amp;Soportes[[#This Row],[N° de Actividad
(Consecutivo por meta)]]&amp;Soportes[[#This Row],[N° de tarea]]</f>
        <v>7744282</v>
      </c>
      <c r="D34" s="229" t="str">
        <f>Soportes[[#This Row],[Código proyecto]]&amp;Soportes[[#This Row],[No Meta proyecto]]&amp;Soportes[[#This Row],[N° de Actividad
(Consecutivo por meta)]]&amp;Soportes[[#This Row],[N° de tarea]]&amp;Soportes[[#This Row],[N° de Soporte]]</f>
        <v>77442821</v>
      </c>
      <c r="E34" s="229">
        <f>Proyecto!$B$19</f>
        <v>7744</v>
      </c>
      <c r="F34" s="243" t="str">
        <f>Proyecto!$D$19</f>
        <v>Generación de Oportunidades para el Desarrollo Integral de la Niñez y la Adolescencia de Bogotá</v>
      </c>
      <c r="G34" s="230">
        <v>4102001</v>
      </c>
      <c r="H34" s="240" t="s">
        <v>227</v>
      </c>
      <c r="I34" s="278">
        <v>2</v>
      </c>
      <c r="J34" s="243" t="str">
        <f>VLOOKUP(A34,ESTRATÉGICO!$C$3:$AA$110,14,0)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K34" s="278">
        <v>8</v>
      </c>
      <c r="L34" s="243" t="str">
        <f>VLOOKUP(B34,Actividades!$B$18:$I$35,8,0)</f>
        <v>Implementar y flexibilizar la estrategia de Salas Amigas de la Familia Lactante, con el fin de generar una cultura de la lactancia desde la gestacion y su practica segura en los diferentes entornos.</v>
      </c>
      <c r="M34" s="279">
        <v>2</v>
      </c>
      <c r="N34" s="243" t="str">
        <f>VLOOKUP(C34,Tareas!$C$18:$K$58,9,0)</f>
        <v>Implementar 1 estrategia de  movilización social en lactancia materna,  con enfoque de género que se consoliden en la Celebración de la Semana Mundial de la Lactancia Materna [SMLM] anualmente.</v>
      </c>
      <c r="O34" s="278">
        <v>1</v>
      </c>
      <c r="P34" s="247" t="s">
        <v>1356</v>
      </c>
      <c r="Q34" s="280" t="s">
        <v>844</v>
      </c>
      <c r="R34" s="376" t="s">
        <v>1086</v>
      </c>
      <c r="S34" s="281">
        <v>1</v>
      </c>
      <c r="T34" s="282">
        <v>0</v>
      </c>
      <c r="U34" s="282">
        <v>0.2</v>
      </c>
      <c r="V34" s="282">
        <v>0.3</v>
      </c>
      <c r="W34" s="282">
        <v>0.5</v>
      </c>
      <c r="X34" s="282">
        <v>0</v>
      </c>
      <c r="Y34" s="283"/>
      <c r="Z34" s="283"/>
      <c r="AA34" s="283"/>
      <c r="AB34" s="283"/>
      <c r="AC34" s="283"/>
      <c r="AD34" s="283"/>
      <c r="AE34" s="283"/>
      <c r="AF34" s="380">
        <f>SUM(Soportes[[#This Row],[Programación Plan de actividades
Enero]:[Programación Plan de actividades
Diciembre]])</f>
        <v>1</v>
      </c>
      <c r="AG34" s="381" t="str">
        <f>IF(AF34=S34,"Programación correcta","Revisar programación")</f>
        <v>Programación correcta</v>
      </c>
      <c r="AH34" s="284">
        <f>EJECUCIÓN!O75</f>
        <v>0</v>
      </c>
      <c r="AI34" s="284">
        <f>EJECUCIÓN!Q75</f>
        <v>0</v>
      </c>
      <c r="AJ34" s="284">
        <f>EJECUCIÓN!S75</f>
        <v>0</v>
      </c>
      <c r="AK34" s="284">
        <f>EJECUCIÓN!U75</f>
        <v>0</v>
      </c>
      <c r="AL34" s="284">
        <f>EJECUCIÓN!W75</f>
        <v>0</v>
      </c>
      <c r="AM34" s="284">
        <f>EJECUCIÓN!Y75</f>
        <v>0</v>
      </c>
      <c r="AN34" s="284">
        <f>EJECUCIÓN!AA75</f>
        <v>0</v>
      </c>
      <c r="AO34" s="284">
        <f>EJECUCIÓN!AC75</f>
        <v>0</v>
      </c>
      <c r="AP34" s="284">
        <f>EJECUCIÓN!AE75</f>
        <v>0</v>
      </c>
      <c r="AQ34" s="284">
        <f>EJECUCIÓN!AG75</f>
        <v>0</v>
      </c>
      <c r="AR34" s="284">
        <f>EJECUCIÓN!AI75</f>
        <v>0</v>
      </c>
      <c r="AS34" s="284">
        <f>EJECUCIÓN!AK75</f>
        <v>0</v>
      </c>
      <c r="AT34" s="377">
        <f>SUM(Soportes[[#This Row],[Soportes entregados Plan de actividades
Enero]:[Soportes entregados Plan de actividades
Diciembre]])</f>
        <v>0</v>
      </c>
      <c r="AU34" s="378">
        <f>+Soportes[[#This Row],[Total Ejecutado plan de actividades]]/Soportes[[#This Row],[Total programado plan de actividades]]</f>
        <v>0</v>
      </c>
    </row>
    <row r="35" spans="1:47" s="148" customFormat="1" ht="15.6" x14ac:dyDescent="0.35">
      <c r="A35" s="228" t="str">
        <f>Soportes[[#This Row],[Código proyecto]]&amp;Soportes[[#This Row],[No Meta proyecto]]</f>
        <v>77443</v>
      </c>
      <c r="B35" s="228" t="str">
        <f>Soportes[[#This Row],[Código proyecto]]&amp;Soportes[[#This Row],[No Meta proyecto]]&amp;Soportes[[#This Row],[N° de Actividad
(Consecutivo por meta)]]</f>
        <v>774431</v>
      </c>
      <c r="C35" s="228" t="str">
        <f>Soportes[[#This Row],[Código proyecto]]&amp;Soportes[[#This Row],[No Meta proyecto]]&amp;Soportes[[#This Row],[N° de Actividad
(Consecutivo por meta)]]&amp;Soportes[[#This Row],[N° de tarea]]</f>
        <v>7744311</v>
      </c>
      <c r="D35" s="229" t="str">
        <f>Soportes[[#This Row],[Código proyecto]]&amp;Soportes[[#This Row],[No Meta proyecto]]&amp;Soportes[[#This Row],[N° de Actividad
(Consecutivo por meta)]]&amp;Soportes[[#This Row],[N° de tarea]]&amp;Soportes[[#This Row],[N° de Soporte]]</f>
        <v>77443111</v>
      </c>
      <c r="E35" s="229">
        <f>Proyecto!$B$19</f>
        <v>7744</v>
      </c>
      <c r="F35" s="243" t="str">
        <f>Proyecto!$D$19</f>
        <v>Generación de Oportunidades para el Desarrollo Integral de la Niñez y la Adolescencia de Bogotá</v>
      </c>
      <c r="G35" s="230">
        <v>4102001</v>
      </c>
      <c r="H35" s="240" t="s">
        <v>227</v>
      </c>
      <c r="I35" s="278">
        <v>3</v>
      </c>
      <c r="J35" s="243" t="str">
        <f>VLOOKUP(A35,ESTRATÉGICO!$C$3:$AA$110,14,0)</f>
        <v xml:space="preserve">Atender a 20700 niñas niños y adolescentes con discapacidad, alteraciones en el desarrollo, restricciones médicas, pertenecientes a grupos étnicos y víctimas por el conflicto armado con enfoque diferencial y de género </v>
      </c>
      <c r="K35" s="278">
        <v>1</v>
      </c>
      <c r="L35" s="243" t="str">
        <f>VLOOKUP(B35,Actividades!$B$18:$I$35,8,0)</f>
        <v>Transversalizar el enfoque diferencial y de genero en atencion de ninas, ninos y adolescentes.</v>
      </c>
      <c r="M35" s="279">
        <v>1</v>
      </c>
      <c r="N35" s="243" t="str">
        <f>VLOOKUP(C35,Tareas!$C$18:$K$58,9,0)</f>
        <v>Realizar (05) encuentros anuales en los servicios y las estrategias de la Subdirección para la Infancia, para la cualificación al talento humano en temáticas en torno al Sistema de Cuidado </v>
      </c>
      <c r="O35" s="278">
        <v>1</v>
      </c>
      <c r="P35" s="247" t="s">
        <v>1089</v>
      </c>
      <c r="Q35" s="280" t="s">
        <v>844</v>
      </c>
      <c r="R35" s="376" t="s">
        <v>1090</v>
      </c>
      <c r="S35" s="281">
        <v>1</v>
      </c>
      <c r="T35" s="282">
        <v>0</v>
      </c>
      <c r="U35" s="282">
        <v>0.2</v>
      </c>
      <c r="V35" s="282">
        <v>0.3</v>
      </c>
      <c r="W35" s="282">
        <v>0.2</v>
      </c>
      <c r="X35" s="282">
        <v>0.3</v>
      </c>
      <c r="Y35" s="283"/>
      <c r="Z35" s="283"/>
      <c r="AA35" s="283"/>
      <c r="AB35" s="283"/>
      <c r="AC35" s="283"/>
      <c r="AD35" s="283"/>
      <c r="AE35" s="283"/>
      <c r="AF35" s="380">
        <f>SUM(Soportes[[#This Row],[Programación Plan de actividades
Enero]:[Programación Plan de actividades
Diciembre]])</f>
        <v>1</v>
      </c>
      <c r="AG35" s="381" t="str">
        <f t="shared" si="0"/>
        <v>Programación correcta</v>
      </c>
      <c r="AH35" s="284">
        <f>EJECUCIÓN!O76</f>
        <v>0</v>
      </c>
      <c r="AI35" s="284">
        <f>EJECUCIÓN!Q76</f>
        <v>0</v>
      </c>
      <c r="AJ35" s="284">
        <f>EJECUCIÓN!S76</f>
        <v>0</v>
      </c>
      <c r="AK35" s="284">
        <f>EJECUCIÓN!U76</f>
        <v>0</v>
      </c>
      <c r="AL35" s="284">
        <f>EJECUCIÓN!W76</f>
        <v>0</v>
      </c>
      <c r="AM35" s="284">
        <f>EJECUCIÓN!Y76</f>
        <v>0</v>
      </c>
      <c r="AN35" s="284">
        <f>EJECUCIÓN!AA76</f>
        <v>0</v>
      </c>
      <c r="AO35" s="284">
        <f>EJECUCIÓN!AC76</f>
        <v>0</v>
      </c>
      <c r="AP35" s="284">
        <f>EJECUCIÓN!AE76</f>
        <v>0</v>
      </c>
      <c r="AQ35" s="284">
        <f>EJECUCIÓN!AG76</f>
        <v>0</v>
      </c>
      <c r="AR35" s="284">
        <f>EJECUCIÓN!AI76</f>
        <v>0</v>
      </c>
      <c r="AS35" s="284">
        <f>EJECUCIÓN!AK76</f>
        <v>0</v>
      </c>
      <c r="AT35" s="377">
        <f>SUM(Soportes[[#This Row],[Soportes entregados Plan de actividades
Enero]:[Soportes entregados Plan de actividades
Diciembre]])</f>
        <v>0</v>
      </c>
      <c r="AU35" s="378">
        <f>+Soportes[[#This Row],[Total Ejecutado plan de actividades]]/Soportes[[#This Row],[Total programado plan de actividades]]</f>
        <v>0</v>
      </c>
    </row>
    <row r="36" spans="1:47" s="148" customFormat="1" ht="15.6" x14ac:dyDescent="0.35">
      <c r="A36" s="228" t="str">
        <f>Soportes[[#This Row],[Código proyecto]]&amp;Soportes[[#This Row],[No Meta proyecto]]</f>
        <v>77443</v>
      </c>
      <c r="B36" s="228" t="str">
        <f>Soportes[[#This Row],[Código proyecto]]&amp;Soportes[[#This Row],[No Meta proyecto]]&amp;Soportes[[#This Row],[N° de Actividad
(Consecutivo por meta)]]</f>
        <v>774431</v>
      </c>
      <c r="C36" s="228" t="str">
        <f>Soportes[[#This Row],[Código proyecto]]&amp;Soportes[[#This Row],[No Meta proyecto]]&amp;Soportes[[#This Row],[N° de Actividad
(Consecutivo por meta)]]&amp;Soportes[[#This Row],[N° de tarea]]</f>
        <v>7744312</v>
      </c>
      <c r="D36" s="229" t="str">
        <f>Soportes[[#This Row],[Código proyecto]]&amp;Soportes[[#This Row],[No Meta proyecto]]&amp;Soportes[[#This Row],[N° de Actividad
(Consecutivo por meta)]]&amp;Soportes[[#This Row],[N° de tarea]]&amp;Soportes[[#This Row],[N° de Soporte]]</f>
        <v>77443121</v>
      </c>
      <c r="E36" s="229">
        <f>Proyecto!$B$19</f>
        <v>7744</v>
      </c>
      <c r="F36" s="243" t="str">
        <f>Proyecto!$D$19</f>
        <v>Generación de Oportunidades para el Desarrollo Integral de la Niñez y la Adolescencia de Bogotá</v>
      </c>
      <c r="G36" s="230">
        <v>4102001</v>
      </c>
      <c r="H36" s="240" t="s">
        <v>227</v>
      </c>
      <c r="I36" s="278">
        <v>3</v>
      </c>
      <c r="J36" s="243" t="str">
        <f>VLOOKUP(A36,ESTRATÉGICO!$C$3:$AA$110,14,0)</f>
        <v xml:space="preserve">Atender a 20700 niñas niños y adolescentes con discapacidad, alteraciones en el desarrollo, restricciones médicas, pertenecientes a grupos étnicos y víctimas por el conflicto armado con enfoque diferencial y de género </v>
      </c>
      <c r="K36" s="278">
        <v>1</v>
      </c>
      <c r="L36" s="243" t="str">
        <f>VLOOKUP(B36,Actividades!$B$18:$I$35,8,0)</f>
        <v>Transversalizar el enfoque diferencial y de genero en atencion de ninas, ninos y adolescentes.</v>
      </c>
      <c r="M36" s="279">
        <v>2</v>
      </c>
      <c r="N36" s="243" t="str">
        <f>VLOOKUP(C36,Tareas!$C$18:$K$58,9,0)</f>
        <v>Realizar 05 encuentros anuales de cualificación al talento humano de los servicios,modalidades de atención y las estrategias de la Subdirección para la Infancia para transversalizar el enfoque diferencial y de género.</v>
      </c>
      <c r="O36" s="278">
        <v>1</v>
      </c>
      <c r="P36" s="247" t="s">
        <v>1089</v>
      </c>
      <c r="Q36" s="280" t="s">
        <v>844</v>
      </c>
      <c r="R36" s="376" t="s">
        <v>1091</v>
      </c>
      <c r="S36" s="281">
        <v>1</v>
      </c>
      <c r="T36" s="282">
        <v>0</v>
      </c>
      <c r="U36" s="282">
        <v>0.2</v>
      </c>
      <c r="V36" s="282">
        <v>0.3</v>
      </c>
      <c r="W36" s="282">
        <v>0.2</v>
      </c>
      <c r="X36" s="282">
        <v>0.3</v>
      </c>
      <c r="Y36" s="283"/>
      <c r="Z36" s="283"/>
      <c r="AA36" s="283"/>
      <c r="AB36" s="283"/>
      <c r="AC36" s="283"/>
      <c r="AD36" s="283"/>
      <c r="AE36" s="283"/>
      <c r="AF36" s="380">
        <f>SUM(Soportes[[#This Row],[Programación Plan de actividades
Enero]:[Programación Plan de actividades
Diciembre]])</f>
        <v>1</v>
      </c>
      <c r="AG36" s="381" t="str">
        <f>IF(AF36=S36,"Programación correcta","Revisar programación")</f>
        <v>Programación correcta</v>
      </c>
      <c r="AH36" s="284">
        <f>EJECUCIÓN!O77</f>
        <v>0</v>
      </c>
      <c r="AI36" s="284">
        <f>EJECUCIÓN!Q77</f>
        <v>0</v>
      </c>
      <c r="AJ36" s="284">
        <f>EJECUCIÓN!S77</f>
        <v>0</v>
      </c>
      <c r="AK36" s="284">
        <f>EJECUCIÓN!U77</f>
        <v>0</v>
      </c>
      <c r="AL36" s="284">
        <f>EJECUCIÓN!W77</f>
        <v>0</v>
      </c>
      <c r="AM36" s="284">
        <f>EJECUCIÓN!Y77</f>
        <v>0</v>
      </c>
      <c r="AN36" s="284">
        <f>EJECUCIÓN!AA77</f>
        <v>0</v>
      </c>
      <c r="AO36" s="284">
        <f>EJECUCIÓN!AC77</f>
        <v>0</v>
      </c>
      <c r="AP36" s="284">
        <f>EJECUCIÓN!AE77</f>
        <v>0</v>
      </c>
      <c r="AQ36" s="284">
        <f>EJECUCIÓN!AG77</f>
        <v>0</v>
      </c>
      <c r="AR36" s="284">
        <f>EJECUCIÓN!AI77</f>
        <v>0</v>
      </c>
      <c r="AS36" s="284">
        <f>EJECUCIÓN!AK77</f>
        <v>0</v>
      </c>
      <c r="AT36" s="377">
        <f>SUM(Soportes[[#This Row],[Soportes entregados Plan de actividades
Enero]:[Soportes entregados Plan de actividades
Diciembre]])</f>
        <v>0</v>
      </c>
      <c r="AU36" s="378">
        <f>+Soportes[[#This Row],[Total Ejecutado plan de actividades]]/Soportes[[#This Row],[Total programado plan de actividades]]</f>
        <v>0</v>
      </c>
    </row>
    <row r="37" spans="1:47" s="148" customFormat="1" ht="15.6" x14ac:dyDescent="0.35">
      <c r="A37" s="228" t="str">
        <f>Soportes[[#This Row],[Código proyecto]]&amp;Soportes[[#This Row],[No Meta proyecto]]</f>
        <v>77443</v>
      </c>
      <c r="B37" s="228" t="str">
        <f>Soportes[[#This Row],[Código proyecto]]&amp;Soportes[[#This Row],[No Meta proyecto]]&amp;Soportes[[#This Row],[N° de Actividad
(Consecutivo por meta)]]</f>
        <v>774431</v>
      </c>
      <c r="C37" s="228" t="str">
        <f>Soportes[[#This Row],[Código proyecto]]&amp;Soportes[[#This Row],[No Meta proyecto]]&amp;Soportes[[#This Row],[N° de Actividad
(Consecutivo por meta)]]&amp;Soportes[[#This Row],[N° de tarea]]</f>
        <v>7744313</v>
      </c>
      <c r="D37" s="229" t="str">
        <f>Soportes[[#This Row],[Código proyecto]]&amp;Soportes[[#This Row],[No Meta proyecto]]&amp;Soportes[[#This Row],[N° de Actividad
(Consecutivo por meta)]]&amp;Soportes[[#This Row],[N° de tarea]]&amp;Soportes[[#This Row],[N° de Soporte]]</f>
        <v>77443131</v>
      </c>
      <c r="E37" s="229">
        <f>Proyecto!$B$19</f>
        <v>7744</v>
      </c>
      <c r="F37" s="243" t="str">
        <f>Proyecto!$D$19</f>
        <v>Generación de Oportunidades para el Desarrollo Integral de la Niñez y la Adolescencia de Bogotá</v>
      </c>
      <c r="G37" s="230">
        <v>4102001</v>
      </c>
      <c r="H37" s="240" t="s">
        <v>227</v>
      </c>
      <c r="I37" s="278">
        <v>3</v>
      </c>
      <c r="J37" s="243" t="str">
        <f>VLOOKUP(A37,ESTRATÉGICO!$C$3:$AA$110,14,0)</f>
        <v xml:space="preserve">Atender a 20700 niñas niños y adolescentes con discapacidad, alteraciones en el desarrollo, restricciones médicas, pertenecientes a grupos étnicos y víctimas por el conflicto armado con enfoque diferencial y de género </v>
      </c>
      <c r="K37" s="278">
        <v>1</v>
      </c>
      <c r="L37" s="243" t="str">
        <f>VLOOKUP(B37,Actividades!$B$18:$I$35,8,0)</f>
        <v>Transversalizar el enfoque diferencial y de genero en atencion de ninas, ninos y adolescentes.</v>
      </c>
      <c r="M37" s="279">
        <v>3</v>
      </c>
      <c r="N37" s="243" t="str">
        <f>VLOOKUP(C37,Tareas!$C$18:$K$58,9,0)</f>
        <v>Realizar 1 informe de las acciones adelantadas en los servicios y las estrategias de la subdirección para la infancia, que aportan a la transversalización del enfoque diferencial, el enfoque de género y el sistema de cuidado. </v>
      </c>
      <c r="O37" s="278">
        <v>1</v>
      </c>
      <c r="P37" s="247" t="s">
        <v>1092</v>
      </c>
      <c r="Q37" s="280" t="s">
        <v>844</v>
      </c>
      <c r="R37" s="376" t="s">
        <v>1093</v>
      </c>
      <c r="S37" s="281">
        <v>1</v>
      </c>
      <c r="T37" s="282">
        <v>0</v>
      </c>
      <c r="U37" s="282">
        <v>0.2</v>
      </c>
      <c r="V37" s="282">
        <v>0.3</v>
      </c>
      <c r="W37" s="282">
        <v>0.2</v>
      </c>
      <c r="X37" s="282">
        <v>0.3</v>
      </c>
      <c r="Y37" s="283"/>
      <c r="Z37" s="283"/>
      <c r="AA37" s="283"/>
      <c r="AB37" s="283"/>
      <c r="AC37" s="283"/>
      <c r="AD37" s="283"/>
      <c r="AE37" s="283"/>
      <c r="AF37" s="380">
        <f>SUM(Soportes[[#This Row],[Programación Plan de actividades
Enero]:[Programación Plan de actividades
Diciembre]])</f>
        <v>1</v>
      </c>
      <c r="AG37" s="381" t="str">
        <f t="shared" si="0"/>
        <v>Programación correcta</v>
      </c>
      <c r="AH37" s="284">
        <f>EJECUCIÓN!O78</f>
        <v>0</v>
      </c>
      <c r="AI37" s="284">
        <f>EJECUCIÓN!Q78</f>
        <v>0</v>
      </c>
      <c r="AJ37" s="284">
        <f>EJECUCIÓN!S78</f>
        <v>0</v>
      </c>
      <c r="AK37" s="284">
        <f>EJECUCIÓN!U78</f>
        <v>0</v>
      </c>
      <c r="AL37" s="284">
        <f>EJECUCIÓN!W78</f>
        <v>0</v>
      </c>
      <c r="AM37" s="284">
        <f>EJECUCIÓN!Y78</f>
        <v>0</v>
      </c>
      <c r="AN37" s="284">
        <f>EJECUCIÓN!AA78</f>
        <v>0</v>
      </c>
      <c r="AO37" s="284">
        <f>EJECUCIÓN!AC78</f>
        <v>0</v>
      </c>
      <c r="AP37" s="284">
        <f>EJECUCIÓN!AE78</f>
        <v>0</v>
      </c>
      <c r="AQ37" s="284">
        <f>EJECUCIÓN!AG78</f>
        <v>0</v>
      </c>
      <c r="AR37" s="284">
        <f>EJECUCIÓN!AI78</f>
        <v>0</v>
      </c>
      <c r="AS37" s="284">
        <f>EJECUCIÓN!AK78</f>
        <v>0</v>
      </c>
      <c r="AT37" s="377">
        <f>SUM(Soportes[[#This Row],[Soportes entregados Plan de actividades
Enero]:[Soportes entregados Plan de actividades
Diciembre]])</f>
        <v>0</v>
      </c>
      <c r="AU37" s="378">
        <f>+Soportes[[#This Row],[Total Ejecutado plan de actividades]]/Soportes[[#This Row],[Total programado plan de actividades]]</f>
        <v>0</v>
      </c>
    </row>
    <row r="38" spans="1:47" s="148" customFormat="1" ht="15.6" x14ac:dyDescent="0.35">
      <c r="A38" s="228" t="str">
        <f>Soportes[[#This Row],[Código proyecto]]&amp;Soportes[[#This Row],[No Meta proyecto]]</f>
        <v>77443</v>
      </c>
      <c r="B38" s="228" t="str">
        <f>Soportes[[#This Row],[Código proyecto]]&amp;Soportes[[#This Row],[No Meta proyecto]]&amp;Soportes[[#This Row],[N° de Actividad
(Consecutivo por meta)]]</f>
        <v>774432</v>
      </c>
      <c r="C38" s="228" t="str">
        <f>Soportes[[#This Row],[Código proyecto]]&amp;Soportes[[#This Row],[No Meta proyecto]]&amp;Soportes[[#This Row],[N° de Actividad
(Consecutivo por meta)]]&amp;Soportes[[#This Row],[N° de tarea]]</f>
        <v>7744321</v>
      </c>
      <c r="D38" s="229" t="str">
        <f>Soportes[[#This Row],[Código proyecto]]&amp;Soportes[[#This Row],[No Meta proyecto]]&amp;Soportes[[#This Row],[N° de Actividad
(Consecutivo por meta)]]&amp;Soportes[[#This Row],[N° de tarea]]&amp;Soportes[[#This Row],[N° de Soporte]]</f>
        <v>77443211</v>
      </c>
      <c r="E38" s="229">
        <f>Proyecto!$B$19</f>
        <v>7744</v>
      </c>
      <c r="F38" s="243" t="str">
        <f>Proyecto!$D$19</f>
        <v>Generación de Oportunidades para el Desarrollo Integral de la Niñez y la Adolescencia de Bogotá</v>
      </c>
      <c r="G38" s="230">
        <v>4102001</v>
      </c>
      <c r="H38" s="240" t="s">
        <v>227</v>
      </c>
      <c r="I38" s="278">
        <v>3</v>
      </c>
      <c r="J38" s="243" t="str">
        <f>VLOOKUP(A38,ESTRATÉGICO!$C$3:$AA$110,14,0)</f>
        <v xml:space="preserve">Atender a 20700 niñas niños y adolescentes con discapacidad, alteraciones en el desarrollo, restricciones médicas, pertenecientes a grupos étnicos y víctimas por el conflicto armado con enfoque diferencial y de género </v>
      </c>
      <c r="K38" s="278">
        <v>2</v>
      </c>
      <c r="L38" s="243" t="str">
        <f>VLOOKUP(B38,Actividades!$B$18:$I$35,8,0)</f>
        <v>Fortalecer los procesos de inclusion de las ninas, ninos y adolescentes con alteraciones en el desarrollo, restricciones medicas y discapacidad, para el goce efectivo de sus derechos.</v>
      </c>
      <c r="M38" s="279">
        <v>1</v>
      </c>
      <c r="N38" s="243" t="str">
        <f>VLOOKUP(C38,Tareas!$C$18:$K$58,9,0)</f>
        <v>Implementar la Estrategia Entre Pares en los servicios sociales y estrategias de la Subdirección para la Infancia.</v>
      </c>
      <c r="O38" s="278">
        <v>1</v>
      </c>
      <c r="P38" s="247" t="s">
        <v>1094</v>
      </c>
      <c r="Q38" s="280" t="s">
        <v>843</v>
      </c>
      <c r="R38" s="376" t="s">
        <v>1095</v>
      </c>
      <c r="S38" s="281">
        <v>1</v>
      </c>
      <c r="T38" s="282">
        <v>0</v>
      </c>
      <c r="U38" s="282">
        <v>0.2</v>
      </c>
      <c r="V38" s="282">
        <v>0.3</v>
      </c>
      <c r="W38" s="282">
        <v>0.2</v>
      </c>
      <c r="X38" s="282">
        <v>0.3</v>
      </c>
      <c r="Y38" s="283"/>
      <c r="Z38" s="283"/>
      <c r="AA38" s="283"/>
      <c r="AB38" s="283"/>
      <c r="AC38" s="283"/>
      <c r="AD38" s="283"/>
      <c r="AE38" s="283"/>
      <c r="AF38" s="380">
        <f>SUM(Soportes[[#This Row],[Programación Plan de actividades
Enero]:[Programación Plan de actividades
Diciembre]])</f>
        <v>1</v>
      </c>
      <c r="AG38" s="381" t="str">
        <f t="shared" si="0"/>
        <v>Programación correcta</v>
      </c>
      <c r="AH38" s="284">
        <f>EJECUCIÓN!O79</f>
        <v>0</v>
      </c>
      <c r="AI38" s="284">
        <f>EJECUCIÓN!Q79</f>
        <v>0</v>
      </c>
      <c r="AJ38" s="284">
        <f>EJECUCIÓN!S79</f>
        <v>0</v>
      </c>
      <c r="AK38" s="284">
        <f>EJECUCIÓN!U79</f>
        <v>0</v>
      </c>
      <c r="AL38" s="284">
        <f>EJECUCIÓN!W79</f>
        <v>0</v>
      </c>
      <c r="AM38" s="284">
        <f>EJECUCIÓN!Y79</f>
        <v>0</v>
      </c>
      <c r="AN38" s="284">
        <f>EJECUCIÓN!AA79</f>
        <v>0</v>
      </c>
      <c r="AO38" s="284">
        <f>EJECUCIÓN!AC79</f>
        <v>0</v>
      </c>
      <c r="AP38" s="284">
        <f>EJECUCIÓN!AE79</f>
        <v>0</v>
      </c>
      <c r="AQ38" s="284">
        <f>EJECUCIÓN!AG79</f>
        <v>0</v>
      </c>
      <c r="AR38" s="284">
        <f>EJECUCIÓN!AI79</f>
        <v>0</v>
      </c>
      <c r="AS38" s="284">
        <f>EJECUCIÓN!AK79</f>
        <v>0</v>
      </c>
      <c r="AT38" s="377">
        <f>SUM(Soportes[[#This Row],[Soportes entregados Plan de actividades
Enero]:[Soportes entregados Plan de actividades
Diciembre]])</f>
        <v>0</v>
      </c>
      <c r="AU38" s="378">
        <f>+Soportes[[#This Row],[Total Ejecutado plan de actividades]]/Soportes[[#This Row],[Total programado plan de actividades]]</f>
        <v>0</v>
      </c>
    </row>
    <row r="39" spans="1:47" s="148" customFormat="1" ht="15.6" x14ac:dyDescent="0.35">
      <c r="A39" s="228" t="str">
        <f>Soportes[[#This Row],[Código proyecto]]&amp;Soportes[[#This Row],[No Meta proyecto]]</f>
        <v>77443</v>
      </c>
      <c r="B39" s="228" t="str">
        <f>Soportes[[#This Row],[Código proyecto]]&amp;Soportes[[#This Row],[No Meta proyecto]]&amp;Soportes[[#This Row],[N° de Actividad
(Consecutivo por meta)]]</f>
        <v>774432</v>
      </c>
      <c r="C39" s="228" t="str">
        <f>Soportes[[#This Row],[Código proyecto]]&amp;Soportes[[#This Row],[No Meta proyecto]]&amp;Soportes[[#This Row],[N° de Actividad
(Consecutivo por meta)]]&amp;Soportes[[#This Row],[N° de tarea]]</f>
        <v>7744322</v>
      </c>
      <c r="D39" s="229" t="str">
        <f>Soportes[[#This Row],[Código proyecto]]&amp;Soportes[[#This Row],[No Meta proyecto]]&amp;Soportes[[#This Row],[N° de Actividad
(Consecutivo por meta)]]&amp;Soportes[[#This Row],[N° de tarea]]&amp;Soportes[[#This Row],[N° de Soporte]]</f>
        <v>77443221</v>
      </c>
      <c r="E39" s="229">
        <f>Proyecto!$B$19</f>
        <v>7744</v>
      </c>
      <c r="F39" s="243" t="str">
        <f>Proyecto!$D$19</f>
        <v>Generación de Oportunidades para el Desarrollo Integral de la Niñez y la Adolescencia de Bogotá</v>
      </c>
      <c r="G39" s="230">
        <v>4102001</v>
      </c>
      <c r="H39" s="240" t="s">
        <v>227</v>
      </c>
      <c r="I39" s="278">
        <v>3</v>
      </c>
      <c r="J39" s="243" t="str">
        <f>VLOOKUP(A39,ESTRATÉGICO!$C$3:$AA$110,14,0)</f>
        <v xml:space="preserve">Atender a 20700 niñas niños y adolescentes con discapacidad, alteraciones en el desarrollo, restricciones médicas, pertenecientes a grupos étnicos y víctimas por el conflicto armado con enfoque diferencial y de género </v>
      </c>
      <c r="K39" s="278">
        <v>2</v>
      </c>
      <c r="L39" s="243" t="str">
        <f>VLOOKUP(B39,Actividades!$B$18:$I$35,8,0)</f>
        <v>Fortalecer los procesos de inclusion de las ninas, ninos y adolescentes con alteraciones en el desarrollo, restricciones medicas y discapacidad, para el goce efectivo de sus derechos.</v>
      </c>
      <c r="M39" s="279">
        <v>2</v>
      </c>
      <c r="N39" s="243" t="str">
        <f>VLOOKUP(C39,Tareas!$C$18:$K$58,9,0)</f>
        <v>Realizar (60) encuentros anuales para la actualización y cualificación de las prácticas inclusivas en los servicios,modalidades y las estrategias de la Subdirección para la Infancia.</v>
      </c>
      <c r="O39" s="278">
        <v>1</v>
      </c>
      <c r="P39" s="247" t="s">
        <v>1096</v>
      </c>
      <c r="Q39" s="280" t="s">
        <v>844</v>
      </c>
      <c r="R39" s="376" t="s">
        <v>1097</v>
      </c>
      <c r="S39" s="281">
        <v>1</v>
      </c>
      <c r="T39" s="282">
        <v>0</v>
      </c>
      <c r="U39" s="282">
        <v>0.2</v>
      </c>
      <c r="V39" s="282">
        <v>0.3</v>
      </c>
      <c r="W39" s="282">
        <v>0.2</v>
      </c>
      <c r="X39" s="282">
        <v>0.3</v>
      </c>
      <c r="Y39" s="283"/>
      <c r="Z39" s="283"/>
      <c r="AA39" s="283"/>
      <c r="AB39" s="283"/>
      <c r="AC39" s="283"/>
      <c r="AD39" s="283"/>
      <c r="AE39" s="283"/>
      <c r="AF39" s="380">
        <f>SUM(Soportes[[#This Row],[Programación Plan de actividades
Enero]:[Programación Plan de actividades
Diciembre]])</f>
        <v>1</v>
      </c>
      <c r="AG39" s="381" t="str">
        <f t="shared" si="0"/>
        <v>Programación correcta</v>
      </c>
      <c r="AH39" s="284">
        <f>EJECUCIÓN!O80</f>
        <v>0</v>
      </c>
      <c r="AI39" s="284">
        <f>EJECUCIÓN!Q80</f>
        <v>0</v>
      </c>
      <c r="AJ39" s="284">
        <f>EJECUCIÓN!S80</f>
        <v>0</v>
      </c>
      <c r="AK39" s="284">
        <f>EJECUCIÓN!U80</f>
        <v>0</v>
      </c>
      <c r="AL39" s="284">
        <f>EJECUCIÓN!W80</f>
        <v>0</v>
      </c>
      <c r="AM39" s="284">
        <f>EJECUCIÓN!Y80</f>
        <v>0</v>
      </c>
      <c r="AN39" s="284">
        <f>EJECUCIÓN!AA80</f>
        <v>0</v>
      </c>
      <c r="AO39" s="284">
        <f>EJECUCIÓN!AC80</f>
        <v>0</v>
      </c>
      <c r="AP39" s="284">
        <f>EJECUCIÓN!AE80</f>
        <v>0</v>
      </c>
      <c r="AQ39" s="284">
        <f>EJECUCIÓN!AG80</f>
        <v>0</v>
      </c>
      <c r="AR39" s="284">
        <f>EJECUCIÓN!AI80</f>
        <v>0</v>
      </c>
      <c r="AS39" s="284">
        <f>EJECUCIÓN!AK80</f>
        <v>0</v>
      </c>
      <c r="AT39" s="377">
        <f>SUM(Soportes[[#This Row],[Soportes entregados Plan de actividades
Enero]:[Soportes entregados Plan de actividades
Diciembre]])</f>
        <v>0</v>
      </c>
      <c r="AU39" s="378">
        <f>+Soportes[[#This Row],[Total Ejecutado plan de actividades]]/Soportes[[#This Row],[Total programado plan de actividades]]</f>
        <v>0</v>
      </c>
    </row>
    <row r="40" spans="1:47" s="148" customFormat="1" ht="15.6" x14ac:dyDescent="0.35">
      <c r="A40" s="228" t="str">
        <f>Soportes[[#This Row],[Código proyecto]]&amp;Soportes[[#This Row],[No Meta proyecto]]</f>
        <v>77443</v>
      </c>
      <c r="B40" s="228" t="str">
        <f>Soportes[[#This Row],[Código proyecto]]&amp;Soportes[[#This Row],[No Meta proyecto]]&amp;Soportes[[#This Row],[N° de Actividad
(Consecutivo por meta)]]</f>
        <v>774432</v>
      </c>
      <c r="C40" s="228" t="str">
        <f>Soportes[[#This Row],[Código proyecto]]&amp;Soportes[[#This Row],[No Meta proyecto]]&amp;Soportes[[#This Row],[N° de Actividad
(Consecutivo por meta)]]&amp;Soportes[[#This Row],[N° de tarea]]</f>
        <v>7744323</v>
      </c>
      <c r="D40" s="229" t="str">
        <f>Soportes[[#This Row],[Código proyecto]]&amp;Soportes[[#This Row],[No Meta proyecto]]&amp;Soportes[[#This Row],[N° de Actividad
(Consecutivo por meta)]]&amp;Soportes[[#This Row],[N° de tarea]]&amp;Soportes[[#This Row],[N° de Soporte]]</f>
        <v>77443231</v>
      </c>
      <c r="E40" s="229">
        <f>Proyecto!$B$19</f>
        <v>7744</v>
      </c>
      <c r="F40" s="243" t="str">
        <f>Proyecto!$D$19</f>
        <v>Generación de Oportunidades para el Desarrollo Integral de la Niñez y la Adolescencia de Bogotá</v>
      </c>
      <c r="G40" s="230">
        <v>4102001</v>
      </c>
      <c r="H40" s="240" t="s">
        <v>227</v>
      </c>
      <c r="I40" s="278">
        <v>3</v>
      </c>
      <c r="J40" s="243" t="str">
        <f>VLOOKUP(A40,ESTRATÉGICO!$C$3:$AA$110,14,0)</f>
        <v xml:space="preserve">Atender a 20700 niñas niños y adolescentes con discapacidad, alteraciones en el desarrollo, restricciones médicas, pertenecientes a grupos étnicos y víctimas por el conflicto armado con enfoque diferencial y de género </v>
      </c>
      <c r="K40" s="278">
        <v>2</v>
      </c>
      <c r="L40" s="243" t="str">
        <f>VLOOKUP(B40,Actividades!$B$18:$I$35,8,0)</f>
        <v>Fortalecer los procesos de inclusion de las ninas, ninos y adolescentes con alteraciones en el desarrollo, restricciones medicas y discapacidad, para el goce efectivo de sus derechos.</v>
      </c>
      <c r="M40" s="279">
        <v>3</v>
      </c>
      <c r="N40" s="243" t="str">
        <f>VLOOKUP(C40,Tareas!$C$18:$K$58,9,0)</f>
        <v>Realizar (05) encuentros mensuales (uno por Subdirección Local) de fortalecimiento técnico con los profesionales en educación especial de la Estrategia Entre Pares.</v>
      </c>
      <c r="O40" s="278">
        <v>1</v>
      </c>
      <c r="P40" s="247" t="s">
        <v>1098</v>
      </c>
      <c r="Q40" s="280" t="s">
        <v>844</v>
      </c>
      <c r="R40" s="376" t="s">
        <v>1099</v>
      </c>
      <c r="S40" s="281">
        <v>1</v>
      </c>
      <c r="T40" s="282">
        <v>0</v>
      </c>
      <c r="U40" s="282">
        <v>0.2</v>
      </c>
      <c r="V40" s="282">
        <v>0.3</v>
      </c>
      <c r="W40" s="282">
        <v>0.2</v>
      </c>
      <c r="X40" s="282">
        <v>0.3</v>
      </c>
      <c r="Y40" s="283"/>
      <c r="Z40" s="283"/>
      <c r="AA40" s="283"/>
      <c r="AB40" s="283"/>
      <c r="AC40" s="283"/>
      <c r="AD40" s="283"/>
      <c r="AE40" s="283"/>
      <c r="AF40" s="380">
        <f>SUM(Soportes[[#This Row],[Programación Plan de actividades
Enero]:[Programación Plan de actividades
Diciembre]])</f>
        <v>1</v>
      </c>
      <c r="AG40" s="381" t="str">
        <f t="shared" si="0"/>
        <v>Programación correcta</v>
      </c>
      <c r="AH40" s="284">
        <f>EJECUCIÓN!O81</f>
        <v>0</v>
      </c>
      <c r="AI40" s="284">
        <f>EJECUCIÓN!Q81</f>
        <v>0</v>
      </c>
      <c r="AJ40" s="284">
        <f>EJECUCIÓN!S81</f>
        <v>0</v>
      </c>
      <c r="AK40" s="284">
        <f>EJECUCIÓN!U81</f>
        <v>0</v>
      </c>
      <c r="AL40" s="284">
        <f>EJECUCIÓN!W81</f>
        <v>0</v>
      </c>
      <c r="AM40" s="284">
        <f>EJECUCIÓN!Y81</f>
        <v>0</v>
      </c>
      <c r="AN40" s="284">
        <f>EJECUCIÓN!AA81</f>
        <v>0</v>
      </c>
      <c r="AO40" s="284">
        <f>EJECUCIÓN!AC81</f>
        <v>0</v>
      </c>
      <c r="AP40" s="284">
        <f>EJECUCIÓN!AE81</f>
        <v>0</v>
      </c>
      <c r="AQ40" s="284">
        <f>EJECUCIÓN!AG81</f>
        <v>0</v>
      </c>
      <c r="AR40" s="284">
        <f>EJECUCIÓN!AI81</f>
        <v>0</v>
      </c>
      <c r="AS40" s="284">
        <f>EJECUCIÓN!AK81</f>
        <v>0</v>
      </c>
      <c r="AT40" s="377">
        <f>SUM(Soportes[[#This Row],[Soportes entregados Plan de actividades
Enero]:[Soportes entregados Plan de actividades
Diciembre]])</f>
        <v>0</v>
      </c>
      <c r="AU40" s="378">
        <f>+Soportes[[#This Row],[Total Ejecutado plan de actividades]]/Soportes[[#This Row],[Total programado plan de actividades]]</f>
        <v>0</v>
      </c>
    </row>
    <row r="41" spans="1:47" s="148" customFormat="1" ht="15.6" x14ac:dyDescent="0.35">
      <c r="A41" s="228" t="str">
        <f>Soportes[[#This Row],[Código proyecto]]&amp;Soportes[[#This Row],[No Meta proyecto]]</f>
        <v>77443</v>
      </c>
      <c r="B41" s="228" t="str">
        <f>Soportes[[#This Row],[Código proyecto]]&amp;Soportes[[#This Row],[No Meta proyecto]]&amp;Soportes[[#This Row],[N° de Actividad
(Consecutivo por meta)]]</f>
        <v>774433</v>
      </c>
      <c r="C41" s="228" t="str">
        <f>Soportes[[#This Row],[Código proyecto]]&amp;Soportes[[#This Row],[No Meta proyecto]]&amp;Soportes[[#This Row],[N° de Actividad
(Consecutivo por meta)]]&amp;Soportes[[#This Row],[N° de tarea]]</f>
        <v>7744331</v>
      </c>
      <c r="D41" s="229" t="str">
        <f>Soportes[[#This Row],[Código proyecto]]&amp;Soportes[[#This Row],[No Meta proyecto]]&amp;Soportes[[#This Row],[N° de Actividad
(Consecutivo por meta)]]&amp;Soportes[[#This Row],[N° de tarea]]&amp;Soportes[[#This Row],[N° de Soporte]]</f>
        <v>77443311</v>
      </c>
      <c r="E41" s="229">
        <f>Proyecto!$B$19</f>
        <v>7744</v>
      </c>
      <c r="F41" s="243" t="str">
        <f>Proyecto!$D$19</f>
        <v>Generación de Oportunidades para el Desarrollo Integral de la Niñez y la Adolescencia de Bogotá</v>
      </c>
      <c r="G41" s="230">
        <v>4102001</v>
      </c>
      <c r="H41" s="240" t="s">
        <v>227</v>
      </c>
      <c r="I41" s="278">
        <v>3</v>
      </c>
      <c r="J41" s="243" t="str">
        <f>VLOOKUP(A41,ESTRATÉGICO!$C$3:$AA$110,14,0)</f>
        <v xml:space="preserve">Atender a 20700 niñas niños y adolescentes con discapacidad, alteraciones en el desarrollo, restricciones médicas, pertenecientes a grupos étnicos y víctimas por el conflicto armado con enfoque diferencial y de género </v>
      </c>
      <c r="K41" s="278">
        <v>3</v>
      </c>
      <c r="L41" s="243" t="str">
        <f>VLOOKUP(B41,Actividades!$B$18:$I$35,8,0)</f>
        <v>Fortalecer los procesos de inclusion de las ninas, ninos y adolescentes pertenecientes a grupos etnicos, garantizando que sean incluyentes para el goce efectivo de sus derechos.</v>
      </c>
      <c r="M41" s="279">
        <v>1</v>
      </c>
      <c r="N41" s="243" t="str">
        <f>VLOOKUP(C41,Tareas!$C$18:$K$58,9,0)</f>
        <v>Implementar las estrategias: Sawabona, raizal aidentity, Muge Chave Ava Varele, para la pervivencia cultural de los pueblos negros, afrodescendiente, palenqueros, raizales y Rrom-Gitano; en los servicios sociales y estrategias de la subdirección para la infancia. </v>
      </c>
      <c r="O41" s="278">
        <v>1</v>
      </c>
      <c r="P41" s="247" t="s">
        <v>1100</v>
      </c>
      <c r="Q41" s="280" t="s">
        <v>843</v>
      </c>
      <c r="R41" s="376" t="s">
        <v>1101</v>
      </c>
      <c r="S41" s="281">
        <v>1</v>
      </c>
      <c r="T41" s="282">
        <v>0</v>
      </c>
      <c r="U41" s="282">
        <v>0.2</v>
      </c>
      <c r="V41" s="282">
        <v>0.3</v>
      </c>
      <c r="W41" s="282">
        <v>0.2</v>
      </c>
      <c r="X41" s="282">
        <v>0.3</v>
      </c>
      <c r="Y41" s="283"/>
      <c r="Z41" s="283"/>
      <c r="AA41" s="283"/>
      <c r="AB41" s="283"/>
      <c r="AC41" s="283"/>
      <c r="AD41" s="283"/>
      <c r="AE41" s="283"/>
      <c r="AF41" s="380">
        <f>SUM(Soportes[[#This Row],[Programación Plan de actividades
Enero]:[Programación Plan de actividades
Diciembre]])</f>
        <v>1</v>
      </c>
      <c r="AG41" s="381" t="str">
        <f>IF(AF41=S41,"Programación correcta","Revisar programación")</f>
        <v>Programación correcta</v>
      </c>
      <c r="AH41" s="284">
        <f>EJECUCIÓN!O82</f>
        <v>0</v>
      </c>
      <c r="AI41" s="284">
        <f>EJECUCIÓN!Q82</f>
        <v>0</v>
      </c>
      <c r="AJ41" s="284">
        <f>EJECUCIÓN!S82</f>
        <v>0</v>
      </c>
      <c r="AK41" s="284">
        <f>EJECUCIÓN!U82</f>
        <v>0</v>
      </c>
      <c r="AL41" s="284">
        <f>EJECUCIÓN!W82</f>
        <v>0</v>
      </c>
      <c r="AM41" s="284">
        <f>EJECUCIÓN!Y82</f>
        <v>0</v>
      </c>
      <c r="AN41" s="284">
        <f>EJECUCIÓN!AA82</f>
        <v>0</v>
      </c>
      <c r="AO41" s="284">
        <f>EJECUCIÓN!AC82</f>
        <v>0</v>
      </c>
      <c r="AP41" s="284">
        <f>EJECUCIÓN!AE82</f>
        <v>0</v>
      </c>
      <c r="AQ41" s="284">
        <f>EJECUCIÓN!AG82</f>
        <v>0</v>
      </c>
      <c r="AR41" s="284">
        <f>EJECUCIÓN!AI82</f>
        <v>0</v>
      </c>
      <c r="AS41" s="284">
        <f>EJECUCIÓN!AK82</f>
        <v>0</v>
      </c>
      <c r="AT41" s="377">
        <f>SUM(Soportes[[#This Row],[Soportes entregados Plan de actividades
Enero]:[Soportes entregados Plan de actividades
Diciembre]])</f>
        <v>0</v>
      </c>
      <c r="AU41" s="378">
        <f>+Soportes[[#This Row],[Total Ejecutado plan de actividades]]/Soportes[[#This Row],[Total programado plan de actividades]]</f>
        <v>0</v>
      </c>
    </row>
    <row r="42" spans="1:47" s="148" customFormat="1" ht="15.6" x14ac:dyDescent="0.35">
      <c r="A42" s="228" t="str">
        <f>Soportes[[#This Row],[Código proyecto]]&amp;Soportes[[#This Row],[No Meta proyecto]]</f>
        <v>77443</v>
      </c>
      <c r="B42" s="228" t="str">
        <f>Soportes[[#This Row],[Código proyecto]]&amp;Soportes[[#This Row],[No Meta proyecto]]&amp;Soportes[[#This Row],[N° de Actividad
(Consecutivo por meta)]]</f>
        <v>774433</v>
      </c>
      <c r="C42" s="228" t="str">
        <f>Soportes[[#This Row],[Código proyecto]]&amp;Soportes[[#This Row],[No Meta proyecto]]&amp;Soportes[[#This Row],[N° de Actividad
(Consecutivo por meta)]]&amp;Soportes[[#This Row],[N° de tarea]]</f>
        <v>7744332</v>
      </c>
      <c r="D42" s="229" t="str">
        <f>Soportes[[#This Row],[Código proyecto]]&amp;Soportes[[#This Row],[No Meta proyecto]]&amp;Soportes[[#This Row],[N° de Actividad
(Consecutivo por meta)]]&amp;Soportes[[#This Row],[N° de tarea]]&amp;Soportes[[#This Row],[N° de Soporte]]</f>
        <v>77443321</v>
      </c>
      <c r="E42" s="229">
        <f>Proyecto!$B$19</f>
        <v>7744</v>
      </c>
      <c r="F42" s="243" t="str">
        <f>Proyecto!$D$19</f>
        <v>Generación de Oportunidades para el Desarrollo Integral de la Niñez y la Adolescencia de Bogotá</v>
      </c>
      <c r="G42" s="230">
        <v>4102001</v>
      </c>
      <c r="H42" s="240" t="s">
        <v>227</v>
      </c>
      <c r="I42" s="278">
        <v>3</v>
      </c>
      <c r="J42" s="243" t="str">
        <f>VLOOKUP(A42,ESTRATÉGICO!$C$3:$AA$110,14,0)</f>
        <v xml:space="preserve">Atender a 20700 niñas niños y adolescentes con discapacidad, alteraciones en el desarrollo, restricciones médicas, pertenecientes a grupos étnicos y víctimas por el conflicto armado con enfoque diferencial y de género </v>
      </c>
      <c r="K42" s="278">
        <v>3</v>
      </c>
      <c r="L42" s="243" t="str">
        <f>VLOOKUP(B42,Actividades!$B$18:$I$35,8,0)</f>
        <v>Fortalecer los procesos de inclusion de las ninas, ninos y adolescentes pertenecientes a grupos etnicos, garantizando que sean incluyentes para el goce efectivo de sus derechos.</v>
      </c>
      <c r="M42" s="279">
        <v>2</v>
      </c>
      <c r="N42" s="243" t="str">
        <f>VLOOKUP(C42,Tareas!$C$18:$K$58,9,0)</f>
        <v>Realizar (20) encuentros anuales de fortalecimiento de saberes e identidad cultural afrodescendiente, raizal, palenquera y Rrom gitano, con las familias participantes y talento humano que hace parte de las modalidades de atención y estrategias de la subdirección para la infancia </v>
      </c>
      <c r="O42" s="278">
        <v>1</v>
      </c>
      <c r="P42" s="247" t="s">
        <v>1102</v>
      </c>
      <c r="Q42" s="280" t="s">
        <v>844</v>
      </c>
      <c r="R42" s="376" t="s">
        <v>1103</v>
      </c>
      <c r="S42" s="281">
        <v>1</v>
      </c>
      <c r="T42" s="282">
        <v>0</v>
      </c>
      <c r="U42" s="282">
        <v>0.2</v>
      </c>
      <c r="V42" s="282">
        <v>0.3</v>
      </c>
      <c r="W42" s="282">
        <v>0.2</v>
      </c>
      <c r="X42" s="282">
        <v>0.3</v>
      </c>
      <c r="Y42" s="283"/>
      <c r="Z42" s="283"/>
      <c r="AA42" s="283"/>
      <c r="AB42" s="283"/>
      <c r="AC42" s="283"/>
      <c r="AD42" s="283"/>
      <c r="AE42" s="283"/>
      <c r="AF42" s="380">
        <f>SUM(Soportes[[#This Row],[Programación Plan de actividades
Enero]:[Programación Plan de actividades
Diciembre]])</f>
        <v>1</v>
      </c>
      <c r="AG42" s="381" t="str">
        <f t="shared" si="0"/>
        <v>Programación correcta</v>
      </c>
      <c r="AH42" s="284">
        <f>EJECUCIÓN!O83</f>
        <v>0</v>
      </c>
      <c r="AI42" s="284">
        <f>EJECUCIÓN!Q83</f>
        <v>0</v>
      </c>
      <c r="AJ42" s="284">
        <f>EJECUCIÓN!S83</f>
        <v>0</v>
      </c>
      <c r="AK42" s="284">
        <f>EJECUCIÓN!U83</f>
        <v>0</v>
      </c>
      <c r="AL42" s="284">
        <f>EJECUCIÓN!W83</f>
        <v>0</v>
      </c>
      <c r="AM42" s="284">
        <f>EJECUCIÓN!Y83</f>
        <v>0</v>
      </c>
      <c r="AN42" s="284">
        <f>EJECUCIÓN!AA83</f>
        <v>0</v>
      </c>
      <c r="AO42" s="284">
        <f>EJECUCIÓN!AC83</f>
        <v>0</v>
      </c>
      <c r="AP42" s="284">
        <f>EJECUCIÓN!AE83</f>
        <v>0</v>
      </c>
      <c r="AQ42" s="284">
        <f>EJECUCIÓN!AG83</f>
        <v>0</v>
      </c>
      <c r="AR42" s="284">
        <f>EJECUCIÓN!AI83</f>
        <v>0</v>
      </c>
      <c r="AS42" s="284">
        <f>EJECUCIÓN!AK83</f>
        <v>0</v>
      </c>
      <c r="AT42" s="377">
        <f>SUM(Soportes[[#This Row],[Soportes entregados Plan de actividades
Enero]:[Soportes entregados Plan de actividades
Diciembre]])</f>
        <v>0</v>
      </c>
      <c r="AU42" s="378">
        <f>+Soportes[[#This Row],[Total Ejecutado plan de actividades]]/Soportes[[#This Row],[Total programado plan de actividades]]</f>
        <v>0</v>
      </c>
    </row>
    <row r="43" spans="1:47" s="148" customFormat="1" ht="15.6" x14ac:dyDescent="0.35">
      <c r="A43" s="228" t="str">
        <f>Soportes[[#This Row],[Código proyecto]]&amp;Soportes[[#This Row],[No Meta proyecto]]</f>
        <v>77443</v>
      </c>
      <c r="B43" s="228" t="str">
        <f>Soportes[[#This Row],[Código proyecto]]&amp;Soportes[[#This Row],[No Meta proyecto]]&amp;Soportes[[#This Row],[N° de Actividad
(Consecutivo por meta)]]</f>
        <v>774433</v>
      </c>
      <c r="C43" s="228" t="str">
        <f>Soportes[[#This Row],[Código proyecto]]&amp;Soportes[[#This Row],[No Meta proyecto]]&amp;Soportes[[#This Row],[N° de Actividad
(Consecutivo por meta)]]&amp;Soportes[[#This Row],[N° de tarea]]</f>
        <v>7744333</v>
      </c>
      <c r="D43" s="229" t="str">
        <f>Soportes[[#This Row],[Código proyecto]]&amp;Soportes[[#This Row],[No Meta proyecto]]&amp;Soportes[[#This Row],[N° de Actividad
(Consecutivo por meta)]]&amp;Soportes[[#This Row],[N° de tarea]]&amp;Soportes[[#This Row],[N° de Soporte]]</f>
        <v>77443331</v>
      </c>
      <c r="E43" s="229">
        <f>Proyecto!$B$19</f>
        <v>7744</v>
      </c>
      <c r="F43" s="243" t="str">
        <f>Proyecto!$D$19</f>
        <v>Generación de Oportunidades para el Desarrollo Integral de la Niñez y la Adolescencia de Bogotá</v>
      </c>
      <c r="G43" s="230">
        <v>4102001</v>
      </c>
      <c r="H43" s="240" t="s">
        <v>227</v>
      </c>
      <c r="I43" s="278">
        <v>3</v>
      </c>
      <c r="J43" s="243" t="str">
        <f>VLOOKUP(A43,ESTRATÉGICO!$C$3:$AA$110,14,0)</f>
        <v xml:space="preserve">Atender a 20700 niñas niños y adolescentes con discapacidad, alteraciones en el desarrollo, restricciones médicas, pertenecientes a grupos étnicos y víctimas por el conflicto armado con enfoque diferencial y de género </v>
      </c>
      <c r="K43" s="278">
        <v>3</v>
      </c>
      <c r="L43" s="243" t="str">
        <f>VLOOKUP(B43,Actividades!$B$18:$I$35,8,0)</f>
        <v>Fortalecer los procesos de inclusion de las ninas, ninos y adolescentes pertenecientes a grupos etnicos, garantizando que sean incluyentes para el goce efectivo de sus derechos.</v>
      </c>
      <c r="M43" s="279">
        <v>3</v>
      </c>
      <c r="N43" s="243" t="str">
        <f>VLOOKUP(C43,Tareas!$C$18:$K$58,9,0)</f>
        <v>Realizar (05) encuentros anuales de fortalecimiento técnico dirigido a las sabedoras y sabedores de las estrategias Sawabona, raizal aidentity y  Muge Chave Ava Varele</v>
      </c>
      <c r="O43" s="278">
        <v>1</v>
      </c>
      <c r="P43" s="247" t="s">
        <v>1104</v>
      </c>
      <c r="Q43" s="280" t="s">
        <v>844</v>
      </c>
      <c r="R43" s="376" t="s">
        <v>1097</v>
      </c>
      <c r="S43" s="281">
        <v>1</v>
      </c>
      <c r="T43" s="282">
        <v>0</v>
      </c>
      <c r="U43" s="282">
        <v>0.2</v>
      </c>
      <c r="V43" s="282">
        <v>0.3</v>
      </c>
      <c r="W43" s="282">
        <v>0.2</v>
      </c>
      <c r="X43" s="282">
        <v>0.3</v>
      </c>
      <c r="Y43" s="283"/>
      <c r="Z43" s="283"/>
      <c r="AA43" s="283"/>
      <c r="AB43" s="283"/>
      <c r="AC43" s="283"/>
      <c r="AD43" s="283"/>
      <c r="AE43" s="283"/>
      <c r="AF43" s="380">
        <f>SUM(Soportes[[#This Row],[Programación Plan de actividades
Enero]:[Programación Plan de actividades
Diciembre]])</f>
        <v>1</v>
      </c>
      <c r="AG43" s="381" t="str">
        <f t="shared" si="0"/>
        <v>Programación correcta</v>
      </c>
      <c r="AH43" s="284">
        <f>EJECUCIÓN!O84</f>
        <v>0</v>
      </c>
      <c r="AI43" s="284">
        <f>EJECUCIÓN!Q84</f>
        <v>0</v>
      </c>
      <c r="AJ43" s="284">
        <f>EJECUCIÓN!S84</f>
        <v>0</v>
      </c>
      <c r="AK43" s="284">
        <f>EJECUCIÓN!U84</f>
        <v>0</v>
      </c>
      <c r="AL43" s="284">
        <f>EJECUCIÓN!W84</f>
        <v>0</v>
      </c>
      <c r="AM43" s="284">
        <f>EJECUCIÓN!Y84</f>
        <v>0</v>
      </c>
      <c r="AN43" s="284">
        <f>EJECUCIÓN!AA84</f>
        <v>0</v>
      </c>
      <c r="AO43" s="284">
        <f>EJECUCIÓN!AC84</f>
        <v>0</v>
      </c>
      <c r="AP43" s="284">
        <f>EJECUCIÓN!AE84</f>
        <v>0</v>
      </c>
      <c r="AQ43" s="284">
        <f>EJECUCIÓN!AG84</f>
        <v>0</v>
      </c>
      <c r="AR43" s="284">
        <f>EJECUCIÓN!AI84</f>
        <v>0</v>
      </c>
      <c r="AS43" s="284">
        <f>EJECUCIÓN!AK84</f>
        <v>0</v>
      </c>
      <c r="AT43" s="377">
        <f>SUM(Soportes[[#This Row],[Soportes entregados Plan de actividades
Enero]:[Soportes entregados Plan de actividades
Diciembre]])</f>
        <v>0</v>
      </c>
      <c r="AU43" s="378">
        <f>+Soportes[[#This Row],[Total Ejecutado plan de actividades]]/Soportes[[#This Row],[Total programado plan de actividades]]</f>
        <v>0</v>
      </c>
    </row>
    <row r="44" spans="1:47" s="148" customFormat="1" ht="15.6" x14ac:dyDescent="0.35">
      <c r="A44" s="228" t="str">
        <f>Soportes[[#This Row],[Código proyecto]]&amp;Soportes[[#This Row],[No Meta proyecto]]</f>
        <v>77443</v>
      </c>
      <c r="B44" s="228" t="str">
        <f>Soportes[[#This Row],[Código proyecto]]&amp;Soportes[[#This Row],[No Meta proyecto]]&amp;Soportes[[#This Row],[N° de Actividad
(Consecutivo por meta)]]</f>
        <v>774433</v>
      </c>
      <c r="C44" s="228" t="str">
        <f>Soportes[[#This Row],[Código proyecto]]&amp;Soportes[[#This Row],[No Meta proyecto]]&amp;Soportes[[#This Row],[N° de Actividad
(Consecutivo por meta)]]&amp;Soportes[[#This Row],[N° de tarea]]</f>
        <v>7744334</v>
      </c>
      <c r="D44" s="229" t="str">
        <f>Soportes[[#This Row],[Código proyecto]]&amp;Soportes[[#This Row],[No Meta proyecto]]&amp;Soportes[[#This Row],[N° de Actividad
(Consecutivo por meta)]]&amp;Soportes[[#This Row],[N° de tarea]]&amp;Soportes[[#This Row],[N° de Soporte]]</f>
        <v>77443341</v>
      </c>
      <c r="E44" s="229">
        <f>Proyecto!$B$19</f>
        <v>7744</v>
      </c>
      <c r="F44" s="243" t="str">
        <f>Proyecto!$D$19</f>
        <v>Generación de Oportunidades para el Desarrollo Integral de la Niñez y la Adolescencia de Bogotá</v>
      </c>
      <c r="G44" s="230">
        <v>4102001</v>
      </c>
      <c r="H44" s="240" t="s">
        <v>227</v>
      </c>
      <c r="I44" s="278">
        <v>3</v>
      </c>
      <c r="J44" s="243" t="str">
        <f>VLOOKUP(A44,ESTRATÉGICO!$C$3:$AA$110,14,0)</f>
        <v xml:space="preserve">Atender a 20700 niñas niños y adolescentes con discapacidad, alteraciones en el desarrollo, restricciones médicas, pertenecientes a grupos étnicos y víctimas por el conflicto armado con enfoque diferencial y de género </v>
      </c>
      <c r="K44" s="278">
        <v>3</v>
      </c>
      <c r="L44" s="243" t="str">
        <f>VLOOKUP(B44,Actividades!$B$18:$I$35,8,0)</f>
        <v>Fortalecer los procesos de inclusion de las ninas, ninos y adolescentes pertenecientes a grupos etnicos, garantizando que sean incluyentes para el goce efectivo de sus derechos.</v>
      </c>
      <c r="M44" s="279">
        <v>4</v>
      </c>
      <c r="N44" s="243" t="str">
        <f>VLOOKUP(C44,Tareas!$C$18:$K$58,9,0)</f>
        <v>Realizar (04) acciones anuales de movilización social en torno a las fiestas propias y tradicionales de los pueblos indígenas en las Casas de Pensamiento Intercultural.</v>
      </c>
      <c r="O44" s="278">
        <v>1</v>
      </c>
      <c r="P44" s="247" t="s">
        <v>1105</v>
      </c>
      <c r="Q44" s="280" t="s">
        <v>844</v>
      </c>
      <c r="R44" s="376" t="s">
        <v>1106</v>
      </c>
      <c r="S44" s="281">
        <v>1</v>
      </c>
      <c r="T44" s="282">
        <v>0</v>
      </c>
      <c r="U44" s="282">
        <v>0.2</v>
      </c>
      <c r="V44" s="282">
        <v>0.3</v>
      </c>
      <c r="W44" s="282">
        <v>0.2</v>
      </c>
      <c r="X44" s="282">
        <v>0.3</v>
      </c>
      <c r="Y44" s="283"/>
      <c r="Z44" s="283"/>
      <c r="AA44" s="283"/>
      <c r="AB44" s="283"/>
      <c r="AC44" s="283"/>
      <c r="AD44" s="283"/>
      <c r="AE44" s="283"/>
      <c r="AF44" s="380">
        <f>SUM(Soportes[[#This Row],[Programación Plan de actividades
Enero]:[Programación Plan de actividades
Diciembre]])</f>
        <v>1</v>
      </c>
      <c r="AG44" s="381" t="str">
        <f t="shared" si="0"/>
        <v>Programación correcta</v>
      </c>
      <c r="AH44" s="284">
        <f>EJECUCIÓN!O85</f>
        <v>0</v>
      </c>
      <c r="AI44" s="284">
        <f>EJECUCIÓN!Q85</f>
        <v>0</v>
      </c>
      <c r="AJ44" s="284">
        <f>EJECUCIÓN!S85</f>
        <v>0</v>
      </c>
      <c r="AK44" s="284">
        <f>EJECUCIÓN!U85</f>
        <v>0</v>
      </c>
      <c r="AL44" s="284">
        <f>EJECUCIÓN!W85</f>
        <v>0</v>
      </c>
      <c r="AM44" s="284">
        <f>EJECUCIÓN!Y85</f>
        <v>0</v>
      </c>
      <c r="AN44" s="284">
        <f>EJECUCIÓN!AA85</f>
        <v>0</v>
      </c>
      <c r="AO44" s="284">
        <f>EJECUCIÓN!AC85</f>
        <v>0</v>
      </c>
      <c r="AP44" s="284">
        <f>EJECUCIÓN!AE85</f>
        <v>0</v>
      </c>
      <c r="AQ44" s="284">
        <f>EJECUCIÓN!AG85</f>
        <v>0</v>
      </c>
      <c r="AR44" s="284">
        <f>EJECUCIÓN!AI85</f>
        <v>0</v>
      </c>
      <c r="AS44" s="284">
        <f>EJECUCIÓN!AK85</f>
        <v>0</v>
      </c>
      <c r="AT44" s="377">
        <f>SUM(Soportes[[#This Row],[Soportes entregados Plan de actividades
Enero]:[Soportes entregados Plan de actividades
Diciembre]])</f>
        <v>0</v>
      </c>
      <c r="AU44" s="378">
        <f>+Soportes[[#This Row],[Total Ejecutado plan de actividades]]/Soportes[[#This Row],[Total programado plan de actividades]]</f>
        <v>0</v>
      </c>
    </row>
    <row r="45" spans="1:47" s="148" customFormat="1" ht="15.6" x14ac:dyDescent="0.35">
      <c r="A45" s="228" t="str">
        <f>Soportes[[#This Row],[Código proyecto]]&amp;Soportes[[#This Row],[No Meta proyecto]]</f>
        <v>77443</v>
      </c>
      <c r="B45" s="228" t="str">
        <f>Soportes[[#This Row],[Código proyecto]]&amp;Soportes[[#This Row],[No Meta proyecto]]&amp;Soportes[[#This Row],[N° de Actividad
(Consecutivo por meta)]]</f>
        <v>774433</v>
      </c>
      <c r="C45" s="228" t="str">
        <f>Soportes[[#This Row],[Código proyecto]]&amp;Soportes[[#This Row],[No Meta proyecto]]&amp;Soportes[[#This Row],[N° de Actividad
(Consecutivo por meta)]]&amp;Soportes[[#This Row],[N° de tarea]]</f>
        <v>7744335</v>
      </c>
      <c r="D45" s="229" t="str">
        <f>Soportes[[#This Row],[Código proyecto]]&amp;Soportes[[#This Row],[No Meta proyecto]]&amp;Soportes[[#This Row],[N° de Actividad
(Consecutivo por meta)]]&amp;Soportes[[#This Row],[N° de tarea]]&amp;Soportes[[#This Row],[N° de Soporte]]</f>
        <v>77443351</v>
      </c>
      <c r="E45" s="229">
        <f>Proyecto!$B$19</f>
        <v>7744</v>
      </c>
      <c r="F45" s="243" t="str">
        <f>Proyecto!$D$19</f>
        <v>Generación de Oportunidades para el Desarrollo Integral de la Niñez y la Adolescencia de Bogotá</v>
      </c>
      <c r="G45" s="230">
        <v>4102001</v>
      </c>
      <c r="H45" s="240" t="s">
        <v>227</v>
      </c>
      <c r="I45" s="278">
        <v>3</v>
      </c>
      <c r="J45" s="243" t="str">
        <f>VLOOKUP(A45,ESTRATÉGICO!$C$3:$AA$110,14,0)</f>
        <v xml:space="preserve">Atender a 20700 niñas niños y adolescentes con discapacidad, alteraciones en el desarrollo, restricciones médicas, pertenecientes a grupos étnicos y víctimas por el conflicto armado con enfoque diferencial y de género </v>
      </c>
      <c r="K45" s="278">
        <v>3</v>
      </c>
      <c r="L45" s="243" t="str">
        <f>VLOOKUP(B45,Actividades!$B$18:$I$35,8,0)</f>
        <v>Fortalecer los procesos de inclusion de las ninas, ninos y adolescentes pertenecientes a grupos etnicos, garantizando que sean incluyentes para el goce efectivo de sus derechos.</v>
      </c>
      <c r="M45" s="279">
        <v>5</v>
      </c>
      <c r="N45" s="243" t="str">
        <f>VLOOKUP(C45,Tareas!$C$18:$K$58,9,0)</f>
        <v xml:space="preserve">Realizar (03) encuentros anuales de fortalecimiento de saberes e identidad cultural indígena con el talento humano de las Casas de Pensamiento Intercultural. </v>
      </c>
      <c r="O45" s="278">
        <v>1</v>
      </c>
      <c r="P45" s="247" t="s">
        <v>1104</v>
      </c>
      <c r="Q45" s="280" t="s">
        <v>844</v>
      </c>
      <c r="R45" s="376" t="s">
        <v>1091</v>
      </c>
      <c r="S45" s="281">
        <v>1</v>
      </c>
      <c r="T45" s="282">
        <v>0</v>
      </c>
      <c r="U45" s="282">
        <v>0.2</v>
      </c>
      <c r="V45" s="282">
        <v>0.3</v>
      </c>
      <c r="W45" s="282">
        <v>0.2</v>
      </c>
      <c r="X45" s="282">
        <v>0.3</v>
      </c>
      <c r="Y45" s="283"/>
      <c r="Z45" s="283"/>
      <c r="AA45" s="283"/>
      <c r="AB45" s="283"/>
      <c r="AC45" s="283"/>
      <c r="AD45" s="283"/>
      <c r="AE45" s="283"/>
      <c r="AF45" s="380">
        <f>SUM(Soportes[[#This Row],[Programación Plan de actividades
Enero]:[Programación Plan de actividades
Diciembre]])</f>
        <v>1</v>
      </c>
      <c r="AG45" s="381" t="str">
        <f t="shared" si="0"/>
        <v>Programación correcta</v>
      </c>
      <c r="AH45" s="284">
        <f>EJECUCIÓN!O86</f>
        <v>0</v>
      </c>
      <c r="AI45" s="284">
        <f>EJECUCIÓN!Q86</f>
        <v>0</v>
      </c>
      <c r="AJ45" s="284">
        <f>EJECUCIÓN!S86</f>
        <v>0</v>
      </c>
      <c r="AK45" s="284">
        <f>EJECUCIÓN!U86</f>
        <v>0</v>
      </c>
      <c r="AL45" s="284">
        <f>EJECUCIÓN!W86</f>
        <v>0</v>
      </c>
      <c r="AM45" s="284">
        <f>EJECUCIÓN!Y86</f>
        <v>0</v>
      </c>
      <c r="AN45" s="284">
        <f>EJECUCIÓN!AA86</f>
        <v>0</v>
      </c>
      <c r="AO45" s="284">
        <f>EJECUCIÓN!AC86</f>
        <v>0</v>
      </c>
      <c r="AP45" s="284">
        <f>EJECUCIÓN!AE86</f>
        <v>0</v>
      </c>
      <c r="AQ45" s="284">
        <f>EJECUCIÓN!AG86</f>
        <v>0</v>
      </c>
      <c r="AR45" s="284">
        <f>EJECUCIÓN!AI86</f>
        <v>0</v>
      </c>
      <c r="AS45" s="284">
        <f>EJECUCIÓN!AK86</f>
        <v>0</v>
      </c>
      <c r="AT45" s="377">
        <f>SUM(Soportes[[#This Row],[Soportes entregados Plan de actividades
Enero]:[Soportes entregados Plan de actividades
Diciembre]])</f>
        <v>0</v>
      </c>
      <c r="AU45" s="378">
        <f>+Soportes[[#This Row],[Total Ejecutado plan de actividades]]/Soportes[[#This Row],[Total programado plan de actividades]]</f>
        <v>0</v>
      </c>
    </row>
    <row r="46" spans="1:47" s="148" customFormat="1" ht="15.6" x14ac:dyDescent="0.35">
      <c r="A46" s="228" t="str">
        <f>Soportes[[#This Row],[Código proyecto]]&amp;Soportes[[#This Row],[No Meta proyecto]]</f>
        <v>77443</v>
      </c>
      <c r="B46" s="228" t="str">
        <f>Soportes[[#This Row],[Código proyecto]]&amp;Soportes[[#This Row],[No Meta proyecto]]&amp;Soportes[[#This Row],[N° de Actividad
(Consecutivo por meta)]]</f>
        <v>774434</v>
      </c>
      <c r="C46" s="228" t="str">
        <f>Soportes[[#This Row],[Código proyecto]]&amp;Soportes[[#This Row],[No Meta proyecto]]&amp;Soportes[[#This Row],[N° de Actividad
(Consecutivo por meta)]]&amp;Soportes[[#This Row],[N° de tarea]]</f>
        <v>7744341</v>
      </c>
      <c r="D46" s="229" t="str">
        <f>Soportes[[#This Row],[Código proyecto]]&amp;Soportes[[#This Row],[No Meta proyecto]]&amp;Soportes[[#This Row],[N° de Actividad
(Consecutivo por meta)]]&amp;Soportes[[#This Row],[N° de tarea]]&amp;Soportes[[#This Row],[N° de Soporte]]</f>
        <v>77443411</v>
      </c>
      <c r="E46" s="229">
        <f>Proyecto!$B$19</f>
        <v>7744</v>
      </c>
      <c r="F46" s="243" t="str">
        <f>Proyecto!$D$19</f>
        <v>Generación de Oportunidades para el Desarrollo Integral de la Niñez y la Adolescencia de Bogotá</v>
      </c>
      <c r="G46" s="230">
        <v>4102001</v>
      </c>
      <c r="H46" s="240" t="s">
        <v>227</v>
      </c>
      <c r="I46" s="278">
        <v>3</v>
      </c>
      <c r="J46" s="243" t="str">
        <f>VLOOKUP(A46,ESTRATÉGICO!$C$3:$AA$110,14,0)</f>
        <v xml:space="preserve">Atender a 20700 niñas niños y adolescentes con discapacidad, alteraciones en el desarrollo, restricciones médicas, pertenecientes a grupos étnicos y víctimas por el conflicto armado con enfoque diferencial y de género </v>
      </c>
      <c r="K46" s="278">
        <v>4</v>
      </c>
      <c r="L46" s="243" t="str">
        <f>VLOOKUP(B46,Actividades!$B$18:$I$35,8,0)</f>
        <v>Fortalecer los procesos tecnicos para la atencion e inclusion de las ninas, ninos y adolescentes  victimas por el conflicto armado que asisten a los diferentes programas de la subdireccion para la infancia.</v>
      </c>
      <c r="M46" s="279">
        <v>1</v>
      </c>
      <c r="N46" s="243" t="str">
        <f>VLOOKUP(C46,Tareas!$C$18:$K$58,9,0)</f>
        <v>Realizar 08 encuentros anuales de fortalecimiento técnico dirigidos al talento humano que hace parte de los servicios y estrategias de la Subdirección para la Infancia, acerca de la Estrategia Atrapasueños a través de los laboratorios de paz. </v>
      </c>
      <c r="O46" s="278">
        <v>1</v>
      </c>
      <c r="P46" s="247" t="s">
        <v>1089</v>
      </c>
      <c r="Q46" s="280" t="s">
        <v>844</v>
      </c>
      <c r="R46" s="376" t="s">
        <v>1091</v>
      </c>
      <c r="S46" s="281">
        <v>1</v>
      </c>
      <c r="T46" s="282">
        <v>0</v>
      </c>
      <c r="U46" s="282">
        <v>0.2</v>
      </c>
      <c r="V46" s="282">
        <v>0.3</v>
      </c>
      <c r="W46" s="282">
        <v>0.2</v>
      </c>
      <c r="X46" s="282">
        <v>0.3</v>
      </c>
      <c r="Y46" s="283"/>
      <c r="Z46" s="283"/>
      <c r="AA46" s="283"/>
      <c r="AB46" s="283"/>
      <c r="AC46" s="283"/>
      <c r="AD46" s="283"/>
      <c r="AE46" s="283"/>
      <c r="AF46" s="380">
        <f>SUM(Soportes[[#This Row],[Programación Plan de actividades
Enero]:[Programación Plan de actividades
Diciembre]])</f>
        <v>1</v>
      </c>
      <c r="AG46" s="381" t="str">
        <f t="shared" si="0"/>
        <v>Programación correcta</v>
      </c>
      <c r="AH46" s="284">
        <f>EJECUCIÓN!O87</f>
        <v>0</v>
      </c>
      <c r="AI46" s="284">
        <f>EJECUCIÓN!Q87</f>
        <v>0</v>
      </c>
      <c r="AJ46" s="284">
        <f>EJECUCIÓN!S87</f>
        <v>0</v>
      </c>
      <c r="AK46" s="284">
        <f>EJECUCIÓN!U87</f>
        <v>0</v>
      </c>
      <c r="AL46" s="284">
        <f>EJECUCIÓN!W87</f>
        <v>0</v>
      </c>
      <c r="AM46" s="284">
        <f>EJECUCIÓN!Y87</f>
        <v>0</v>
      </c>
      <c r="AN46" s="284">
        <f>EJECUCIÓN!AA87</f>
        <v>0</v>
      </c>
      <c r="AO46" s="284">
        <f>EJECUCIÓN!AC87</f>
        <v>0</v>
      </c>
      <c r="AP46" s="284">
        <f>EJECUCIÓN!AE87</f>
        <v>0</v>
      </c>
      <c r="AQ46" s="284">
        <f>EJECUCIÓN!AG87</f>
        <v>0</v>
      </c>
      <c r="AR46" s="284">
        <f>EJECUCIÓN!AI87</f>
        <v>0</v>
      </c>
      <c r="AS46" s="284">
        <f>EJECUCIÓN!AK87</f>
        <v>0</v>
      </c>
      <c r="AT46" s="377">
        <f>SUM(Soportes[[#This Row],[Soportes entregados Plan de actividades
Enero]:[Soportes entregados Plan de actividades
Diciembre]])</f>
        <v>0</v>
      </c>
      <c r="AU46" s="378">
        <f>+Soportes[[#This Row],[Total Ejecutado plan de actividades]]/Soportes[[#This Row],[Total programado plan de actividades]]</f>
        <v>0</v>
      </c>
    </row>
    <row r="47" spans="1:47" s="148" customFormat="1" ht="15.6" x14ac:dyDescent="0.35">
      <c r="A47" s="228" t="str">
        <f>Soportes[[#This Row],[Código proyecto]]&amp;Soportes[[#This Row],[No Meta proyecto]]</f>
        <v>77443</v>
      </c>
      <c r="B47" s="228" t="str">
        <f>Soportes[[#This Row],[Código proyecto]]&amp;Soportes[[#This Row],[No Meta proyecto]]&amp;Soportes[[#This Row],[N° de Actividad
(Consecutivo por meta)]]</f>
        <v>774434</v>
      </c>
      <c r="C47" s="228" t="str">
        <f>Soportes[[#This Row],[Código proyecto]]&amp;Soportes[[#This Row],[No Meta proyecto]]&amp;Soportes[[#This Row],[N° de Actividad
(Consecutivo por meta)]]&amp;Soportes[[#This Row],[N° de tarea]]</f>
        <v>7744342</v>
      </c>
      <c r="D47" s="229" t="str">
        <f>Soportes[[#This Row],[Código proyecto]]&amp;Soportes[[#This Row],[No Meta proyecto]]&amp;Soportes[[#This Row],[N° de Actividad
(Consecutivo por meta)]]&amp;Soportes[[#This Row],[N° de tarea]]&amp;Soportes[[#This Row],[N° de Soporte]]</f>
        <v>77443421</v>
      </c>
      <c r="E47" s="229">
        <f>Proyecto!$B$19</f>
        <v>7744</v>
      </c>
      <c r="F47" s="243" t="str">
        <f>Proyecto!$D$19</f>
        <v>Generación de Oportunidades para el Desarrollo Integral de la Niñez y la Adolescencia de Bogotá</v>
      </c>
      <c r="G47" s="230">
        <v>4102001</v>
      </c>
      <c r="H47" s="240" t="s">
        <v>227</v>
      </c>
      <c r="I47" s="278">
        <v>3</v>
      </c>
      <c r="J47" s="243" t="str">
        <f>VLOOKUP(A47,ESTRATÉGICO!$C$3:$AA$110,14,0)</f>
        <v xml:space="preserve">Atender a 20700 niñas niños y adolescentes con discapacidad, alteraciones en el desarrollo, restricciones médicas, pertenecientes a grupos étnicos y víctimas por el conflicto armado con enfoque diferencial y de género </v>
      </c>
      <c r="K47" s="278">
        <v>4</v>
      </c>
      <c r="L47" s="243" t="str">
        <f>VLOOKUP(B47,Actividades!$B$18:$I$35,8,0)</f>
        <v>Fortalecer los procesos tecnicos para la atencion e inclusion de las ninas, ninos y adolescentes  victimas por el conflicto armado que asisten a los diferentes programas de la subdireccion para la infancia.</v>
      </c>
      <c r="M47" s="279">
        <v>2</v>
      </c>
      <c r="N47" s="243" t="str">
        <f>VLOOKUP(C47,Tareas!$C$18:$K$58,9,0)</f>
        <v>Realizar 11  jornadas de concienciación anuales en 11 localidades priorizadas, aportando a la disminución de segregación y discriminación frente a la población víctimas y afectada por el conflicto armado.</v>
      </c>
      <c r="O47" s="278">
        <v>1</v>
      </c>
      <c r="P47" s="247" t="s">
        <v>1089</v>
      </c>
      <c r="Q47" s="280" t="s">
        <v>844</v>
      </c>
      <c r="R47" s="376" t="s">
        <v>1091</v>
      </c>
      <c r="S47" s="281">
        <v>1</v>
      </c>
      <c r="T47" s="282">
        <v>0</v>
      </c>
      <c r="U47" s="282">
        <v>0.2</v>
      </c>
      <c r="V47" s="282">
        <v>0.3</v>
      </c>
      <c r="W47" s="282">
        <v>0.2</v>
      </c>
      <c r="X47" s="282">
        <v>0.3</v>
      </c>
      <c r="Y47" s="283"/>
      <c r="Z47" s="283"/>
      <c r="AA47" s="283"/>
      <c r="AB47" s="283"/>
      <c r="AC47" s="283"/>
      <c r="AD47" s="283"/>
      <c r="AE47" s="283"/>
      <c r="AF47" s="380">
        <f>SUM(Soportes[[#This Row],[Programación Plan de actividades
Enero]:[Programación Plan de actividades
Diciembre]])</f>
        <v>1</v>
      </c>
      <c r="AG47" s="381" t="str">
        <f t="shared" si="0"/>
        <v>Programación correcta</v>
      </c>
      <c r="AH47" s="284">
        <f>EJECUCIÓN!O88</f>
        <v>0</v>
      </c>
      <c r="AI47" s="284">
        <f>EJECUCIÓN!Q88</f>
        <v>0</v>
      </c>
      <c r="AJ47" s="284">
        <f>EJECUCIÓN!S88</f>
        <v>0</v>
      </c>
      <c r="AK47" s="284">
        <f>EJECUCIÓN!U88</f>
        <v>0</v>
      </c>
      <c r="AL47" s="284">
        <f>EJECUCIÓN!W88</f>
        <v>0</v>
      </c>
      <c r="AM47" s="284">
        <f>EJECUCIÓN!Y88</f>
        <v>0</v>
      </c>
      <c r="AN47" s="284">
        <f>EJECUCIÓN!AA88</f>
        <v>0</v>
      </c>
      <c r="AO47" s="284">
        <f>EJECUCIÓN!AC88</f>
        <v>0</v>
      </c>
      <c r="AP47" s="284">
        <f>EJECUCIÓN!AE88</f>
        <v>0</v>
      </c>
      <c r="AQ47" s="284">
        <f>EJECUCIÓN!AG88</f>
        <v>0</v>
      </c>
      <c r="AR47" s="284">
        <f>EJECUCIÓN!AI88</f>
        <v>0</v>
      </c>
      <c r="AS47" s="284">
        <f>EJECUCIÓN!AK88</f>
        <v>0</v>
      </c>
      <c r="AT47" s="377">
        <f>SUM(Soportes[[#This Row],[Soportes entregados Plan de actividades
Enero]:[Soportes entregados Plan de actividades
Diciembre]])</f>
        <v>0</v>
      </c>
      <c r="AU47" s="378">
        <f>+Soportes[[#This Row],[Total Ejecutado plan de actividades]]/Soportes[[#This Row],[Total programado plan de actividades]]</f>
        <v>0</v>
      </c>
    </row>
    <row r="48" spans="1:47" s="148" customFormat="1" ht="15.6" x14ac:dyDescent="0.35">
      <c r="A48" s="228" t="str">
        <f>Soportes[[#This Row],[Código proyecto]]&amp;Soportes[[#This Row],[No Meta proyecto]]</f>
        <v>77443</v>
      </c>
      <c r="B48" s="228" t="str">
        <f>Soportes[[#This Row],[Código proyecto]]&amp;Soportes[[#This Row],[No Meta proyecto]]&amp;Soportes[[#This Row],[N° de Actividad
(Consecutivo por meta)]]</f>
        <v>774434</v>
      </c>
      <c r="C48" s="228" t="str">
        <f>Soportes[[#This Row],[Código proyecto]]&amp;Soportes[[#This Row],[No Meta proyecto]]&amp;Soportes[[#This Row],[N° de Actividad
(Consecutivo por meta)]]&amp;Soportes[[#This Row],[N° de tarea]]</f>
        <v>7744343</v>
      </c>
      <c r="D48" s="229" t="str">
        <f>Soportes[[#This Row],[Código proyecto]]&amp;Soportes[[#This Row],[No Meta proyecto]]&amp;Soportes[[#This Row],[N° de Actividad
(Consecutivo por meta)]]&amp;Soportes[[#This Row],[N° de tarea]]&amp;Soportes[[#This Row],[N° de Soporte]]</f>
        <v>77443431</v>
      </c>
      <c r="E48" s="229">
        <f>Proyecto!$B$19</f>
        <v>7744</v>
      </c>
      <c r="F48" s="243" t="str">
        <f>Proyecto!$D$19</f>
        <v>Generación de Oportunidades para el Desarrollo Integral de la Niñez y la Adolescencia de Bogotá</v>
      </c>
      <c r="G48" s="230">
        <v>4102001</v>
      </c>
      <c r="H48" s="240" t="s">
        <v>227</v>
      </c>
      <c r="I48" s="278">
        <v>3</v>
      </c>
      <c r="J48" s="243" t="str">
        <f>VLOOKUP(A48,ESTRATÉGICO!$C$3:$AA$110,14,0)</f>
        <v xml:space="preserve">Atender a 20700 niñas niños y adolescentes con discapacidad, alteraciones en el desarrollo, restricciones médicas, pertenecientes a grupos étnicos y víctimas por el conflicto armado con enfoque diferencial y de género </v>
      </c>
      <c r="K48" s="278">
        <v>4</v>
      </c>
      <c r="L48" s="243" t="str">
        <f>VLOOKUP(B48,Actividades!$B$18:$I$35,8,0)</f>
        <v>Fortalecer los procesos tecnicos para la atencion e inclusion de las ninas, ninos y adolescentes  victimas por el conflicto armado que asisten a los diferentes programas de la subdireccion para la infancia.</v>
      </c>
      <c r="M48" s="279">
        <v>3</v>
      </c>
      <c r="N48" s="243" t="str">
        <f>VLOOKUP(C48,Tareas!$C$18:$K$58,9,0)</f>
        <v xml:space="preserve">Realizar 48 sesiones de capacitación en fortalecimiento técnico, dirigido al talento humano que hace parte de los servicios y estrategias de la Subdirección para la Infancia, acerca del servicio Atrapasueños, en las 64 unidades operativas, con 7 temáticas especificas </v>
      </c>
      <c r="O48" s="278">
        <v>1</v>
      </c>
      <c r="P48" s="247" t="s">
        <v>1105</v>
      </c>
      <c r="Q48" s="280" t="s">
        <v>843</v>
      </c>
      <c r="R48" s="376" t="s">
        <v>1103</v>
      </c>
      <c r="S48" s="281">
        <v>1</v>
      </c>
      <c r="T48" s="282">
        <v>0</v>
      </c>
      <c r="U48" s="282">
        <v>0.2</v>
      </c>
      <c r="V48" s="282">
        <v>0.3</v>
      </c>
      <c r="W48" s="282">
        <v>0.2</v>
      </c>
      <c r="X48" s="282">
        <v>0.3</v>
      </c>
      <c r="Y48" s="283"/>
      <c r="Z48" s="283"/>
      <c r="AA48" s="283"/>
      <c r="AB48" s="283"/>
      <c r="AC48" s="283"/>
      <c r="AD48" s="283"/>
      <c r="AE48" s="283"/>
      <c r="AF48" s="380">
        <f>SUM(Soportes[[#This Row],[Programación Plan de actividades
Enero]:[Programación Plan de actividades
Diciembre]])</f>
        <v>1</v>
      </c>
      <c r="AG48" s="381" t="str">
        <f t="shared" si="0"/>
        <v>Programación correcta</v>
      </c>
      <c r="AH48" s="284">
        <f>EJECUCIÓN!O89</f>
        <v>0</v>
      </c>
      <c r="AI48" s="284">
        <f>EJECUCIÓN!Q89</f>
        <v>0</v>
      </c>
      <c r="AJ48" s="284">
        <f>EJECUCIÓN!S89</f>
        <v>0</v>
      </c>
      <c r="AK48" s="284">
        <f>EJECUCIÓN!U89</f>
        <v>0</v>
      </c>
      <c r="AL48" s="284">
        <f>EJECUCIÓN!W89</f>
        <v>0</v>
      </c>
      <c r="AM48" s="284">
        <f>EJECUCIÓN!Y89</f>
        <v>0</v>
      </c>
      <c r="AN48" s="284">
        <f>EJECUCIÓN!AA89</f>
        <v>0</v>
      </c>
      <c r="AO48" s="284">
        <f>EJECUCIÓN!AC89</f>
        <v>0</v>
      </c>
      <c r="AP48" s="284">
        <f>EJECUCIÓN!AE89</f>
        <v>0</v>
      </c>
      <c r="AQ48" s="284">
        <f>EJECUCIÓN!AG89</f>
        <v>0</v>
      </c>
      <c r="AR48" s="284">
        <f>EJECUCIÓN!AI89</f>
        <v>0</v>
      </c>
      <c r="AS48" s="284">
        <f>EJECUCIÓN!AK89</f>
        <v>0</v>
      </c>
      <c r="AT48" s="377">
        <f>SUM(Soportes[[#This Row],[Soportes entregados Plan de actividades
Enero]:[Soportes entregados Plan de actividades
Diciembre]])</f>
        <v>0</v>
      </c>
      <c r="AU48" s="378">
        <f>+Soportes[[#This Row],[Total Ejecutado plan de actividades]]/Soportes[[#This Row],[Total programado plan de actividades]]</f>
        <v>0</v>
      </c>
    </row>
    <row r="49" spans="1:47" s="148" customFormat="1" ht="15.6" x14ac:dyDescent="0.35">
      <c r="A49" s="228" t="str">
        <f>Soportes[[#This Row],[Código proyecto]]&amp;Soportes[[#This Row],[No Meta proyecto]]</f>
        <v>77444</v>
      </c>
      <c r="B49" s="228" t="str">
        <f>Soportes[[#This Row],[Código proyecto]]&amp;Soportes[[#This Row],[No Meta proyecto]]&amp;Soportes[[#This Row],[N° de Actividad
(Consecutivo por meta)]]</f>
        <v>774441</v>
      </c>
      <c r="C49" s="228" t="str">
        <f>Soportes[[#This Row],[Código proyecto]]&amp;Soportes[[#This Row],[No Meta proyecto]]&amp;Soportes[[#This Row],[N° de Actividad
(Consecutivo por meta)]]&amp;Soportes[[#This Row],[N° de tarea]]</f>
        <v>7744411</v>
      </c>
      <c r="D49" s="229" t="str">
        <f>Soportes[[#This Row],[Código proyecto]]&amp;Soportes[[#This Row],[No Meta proyecto]]&amp;Soportes[[#This Row],[N° de Actividad
(Consecutivo por meta)]]&amp;Soportes[[#This Row],[N° de tarea]]&amp;Soportes[[#This Row],[N° de Soporte]]</f>
        <v>77444111</v>
      </c>
      <c r="E49" s="229">
        <f>Proyecto!$B$19</f>
        <v>7744</v>
      </c>
      <c r="F49" s="243" t="str">
        <f>Proyecto!$D$19</f>
        <v>Generación de Oportunidades para el Desarrollo Integral de la Niñez y la Adolescencia de Bogotá</v>
      </c>
      <c r="G49" s="230">
        <v>4102001</v>
      </c>
      <c r="H49" s="240" t="s">
        <v>227</v>
      </c>
      <c r="I49" s="278">
        <v>4</v>
      </c>
      <c r="J49" s="243" t="str">
        <f>VLOOKUP(A49,ESTRATÉGICO!$C$3:$AA$110,14,0)</f>
        <v>Consolidar 1 herramienta de medición de la atención integral a niñas, niños y adolescentes que permita la trazabilidad de la Ruta Integral de Atenciones desde la Gestación hasta la Adolescencia -RIAGA-</v>
      </c>
      <c r="K49" s="278">
        <v>1</v>
      </c>
      <c r="L49" s="243" t="str">
        <f>VLOOKUP(B49,Actividades!$B$18:$I$35,8,0)</f>
        <v>Fortalecer, articular y movilizar la gestion distrital y local para la realizacion de las atenciones definidas en la Ruta Integral de Atenciones desde la gestacion hasta la Adolescencia, en el marco del sistema distrital de cuidado.</v>
      </c>
      <c r="M49" s="279">
        <v>1</v>
      </c>
      <c r="N49" s="243" t="str">
        <f>VLOOKUP(C49,Tareas!$C$18:$K$58,9,0)</f>
        <v>Realizar 1 proceso de gestión intra e interinstitucional  para la movilización e implementación de la RIAGA y sus atenciones.</v>
      </c>
      <c r="O49" s="278">
        <v>1</v>
      </c>
      <c r="P49" s="317" t="s">
        <v>1107</v>
      </c>
      <c r="Q49" s="280" t="s">
        <v>844</v>
      </c>
      <c r="R49" s="376" t="s">
        <v>1065</v>
      </c>
      <c r="S49" s="281">
        <v>1</v>
      </c>
      <c r="T49" s="316">
        <v>0</v>
      </c>
      <c r="U49" s="316">
        <v>0</v>
      </c>
      <c r="V49" s="316">
        <v>0.3</v>
      </c>
      <c r="W49" s="316">
        <v>0.3</v>
      </c>
      <c r="X49" s="316">
        <v>0.4</v>
      </c>
      <c r="Y49" s="283"/>
      <c r="Z49" s="283"/>
      <c r="AA49" s="283"/>
      <c r="AB49" s="283"/>
      <c r="AC49" s="283"/>
      <c r="AD49" s="283"/>
      <c r="AE49" s="283"/>
      <c r="AF49" s="380">
        <f>SUM(Soportes[[#This Row],[Programación Plan de actividades
Enero]:[Programación Plan de actividades
Diciembre]])</f>
        <v>1</v>
      </c>
      <c r="AG49" s="381" t="str">
        <f t="shared" si="0"/>
        <v>Programación correcta</v>
      </c>
      <c r="AH49" s="284">
        <f>EJECUCIÓN!O90</f>
        <v>0</v>
      </c>
      <c r="AI49" s="284">
        <f>EJECUCIÓN!Q90</f>
        <v>0</v>
      </c>
      <c r="AJ49" s="284">
        <f>EJECUCIÓN!S90</f>
        <v>0</v>
      </c>
      <c r="AK49" s="284">
        <f>EJECUCIÓN!U90</f>
        <v>0</v>
      </c>
      <c r="AL49" s="284">
        <f>EJECUCIÓN!W90</f>
        <v>0</v>
      </c>
      <c r="AM49" s="284">
        <f>EJECUCIÓN!Y90</f>
        <v>0</v>
      </c>
      <c r="AN49" s="284">
        <f>EJECUCIÓN!AA90</f>
        <v>0</v>
      </c>
      <c r="AO49" s="284">
        <f>EJECUCIÓN!AC90</f>
        <v>0</v>
      </c>
      <c r="AP49" s="284">
        <f>EJECUCIÓN!AE90</f>
        <v>0</v>
      </c>
      <c r="AQ49" s="284">
        <f>EJECUCIÓN!AG90</f>
        <v>0</v>
      </c>
      <c r="AR49" s="284">
        <f>EJECUCIÓN!AI90</f>
        <v>0</v>
      </c>
      <c r="AS49" s="284">
        <f>EJECUCIÓN!AK90</f>
        <v>0</v>
      </c>
      <c r="AT49" s="377">
        <f>SUM(Soportes[[#This Row],[Soportes entregados Plan de actividades
Enero]:[Soportes entregados Plan de actividades
Diciembre]])</f>
        <v>0</v>
      </c>
      <c r="AU49" s="378">
        <f>+Soportes[[#This Row],[Total Ejecutado plan de actividades]]/Soportes[[#This Row],[Total programado plan de actividades]]</f>
        <v>0</v>
      </c>
    </row>
    <row r="50" spans="1:47" s="148" customFormat="1" ht="15.6" x14ac:dyDescent="0.35">
      <c r="A50" s="228" t="str">
        <f>Soportes[[#This Row],[Código proyecto]]&amp;Soportes[[#This Row],[No Meta proyecto]]</f>
        <v>77444</v>
      </c>
      <c r="B50" s="228" t="str">
        <f>Soportes[[#This Row],[Código proyecto]]&amp;Soportes[[#This Row],[No Meta proyecto]]&amp;Soportes[[#This Row],[N° de Actividad
(Consecutivo por meta)]]</f>
        <v>774441</v>
      </c>
      <c r="C50" s="228" t="str">
        <f>Soportes[[#This Row],[Código proyecto]]&amp;Soportes[[#This Row],[No Meta proyecto]]&amp;Soportes[[#This Row],[N° de Actividad
(Consecutivo por meta)]]&amp;Soportes[[#This Row],[N° de tarea]]</f>
        <v>7744412</v>
      </c>
      <c r="D50" s="229" t="str">
        <f>Soportes[[#This Row],[Código proyecto]]&amp;Soportes[[#This Row],[No Meta proyecto]]&amp;Soportes[[#This Row],[N° de Actividad
(Consecutivo por meta)]]&amp;Soportes[[#This Row],[N° de tarea]]&amp;Soportes[[#This Row],[N° de Soporte]]</f>
        <v>77444121</v>
      </c>
      <c r="E50" s="229">
        <f>Proyecto!$B$19</f>
        <v>7744</v>
      </c>
      <c r="F50" s="277" t="str">
        <f>Proyecto!$D$19</f>
        <v>Generación de Oportunidades para el Desarrollo Integral de la Niñez y la Adolescencia de Bogotá</v>
      </c>
      <c r="G50" s="230">
        <v>4102001</v>
      </c>
      <c r="H50" s="240" t="s">
        <v>227</v>
      </c>
      <c r="I50" s="278">
        <v>4</v>
      </c>
      <c r="J50" s="243" t="str">
        <f>VLOOKUP(A50,ESTRATÉGICO!$C$3:$AA$110,14,0)</f>
        <v>Consolidar 1 herramienta de medición de la atención integral a niñas, niños y adolescentes que permita la trazabilidad de la Ruta Integral de Atenciones desde la Gestación hasta la Adolescencia -RIAGA-</v>
      </c>
      <c r="K50" s="278">
        <v>1</v>
      </c>
      <c r="L50" s="243" t="str">
        <f>VLOOKUP(B50,Actividades!$B$18:$I$35,8,0)</f>
        <v>Fortalecer, articular y movilizar la gestion distrital y local para la realizacion de las atenciones definidas en la Ruta Integral de Atenciones desde la gestacion hasta la Adolescencia, en el marco del sistema distrital de cuidado.</v>
      </c>
      <c r="M50" s="279">
        <v>2</v>
      </c>
      <c r="N50" s="243" t="str">
        <f>VLOOKUP(C50,Tareas!$C$18:$K$58,9,0)</f>
        <v xml:space="preserve">Realizar 1 proceso de seguimiento a la atención integral desde la gestión distrital y territorial en el marco de la RIAGA.  
</v>
      </c>
      <c r="O50" s="278">
        <v>1</v>
      </c>
      <c r="P50" s="317" t="s">
        <v>1108</v>
      </c>
      <c r="Q50" s="280" t="s">
        <v>844</v>
      </c>
      <c r="R50" s="376" t="s">
        <v>1109</v>
      </c>
      <c r="S50" s="281">
        <v>1</v>
      </c>
      <c r="T50" s="316">
        <v>0</v>
      </c>
      <c r="U50" s="316">
        <v>0</v>
      </c>
      <c r="V50" s="316">
        <v>0</v>
      </c>
      <c r="W50" s="316">
        <v>0</v>
      </c>
      <c r="X50" s="316">
        <v>1</v>
      </c>
      <c r="Y50" s="283"/>
      <c r="Z50" s="283"/>
      <c r="AA50" s="283"/>
      <c r="AB50" s="283"/>
      <c r="AC50" s="283"/>
      <c r="AD50" s="283"/>
      <c r="AE50" s="283"/>
      <c r="AF50" s="380">
        <f>SUM(Soportes[[#This Row],[Programación Plan de actividades
Enero]:[Programación Plan de actividades
Diciembre]])</f>
        <v>1</v>
      </c>
      <c r="AG50" s="381" t="str">
        <f>IF(AF50=S50,"Programación correcta","Revisar programación")</f>
        <v>Programación correcta</v>
      </c>
      <c r="AH50" s="284">
        <f>EJECUCIÓN!O91</f>
        <v>0</v>
      </c>
      <c r="AI50" s="284">
        <f>EJECUCIÓN!Q91</f>
        <v>0</v>
      </c>
      <c r="AJ50" s="284">
        <f>EJECUCIÓN!S91</f>
        <v>0</v>
      </c>
      <c r="AK50" s="284">
        <f>EJECUCIÓN!U91</f>
        <v>0</v>
      </c>
      <c r="AL50" s="284">
        <f>EJECUCIÓN!W91</f>
        <v>0</v>
      </c>
      <c r="AM50" s="284">
        <f>EJECUCIÓN!Y91</f>
        <v>0</v>
      </c>
      <c r="AN50" s="284">
        <f>EJECUCIÓN!AA91</f>
        <v>0</v>
      </c>
      <c r="AO50" s="284">
        <f>EJECUCIÓN!AC91</f>
        <v>0</v>
      </c>
      <c r="AP50" s="284">
        <f>EJECUCIÓN!AE91</f>
        <v>0</v>
      </c>
      <c r="AQ50" s="284">
        <f>EJECUCIÓN!AG91</f>
        <v>0</v>
      </c>
      <c r="AR50" s="284">
        <f>EJECUCIÓN!AI91</f>
        <v>0</v>
      </c>
      <c r="AS50" s="284">
        <f>EJECUCIÓN!AK91</f>
        <v>0</v>
      </c>
      <c r="AT50" s="377">
        <f>SUM(Soportes[[#This Row],[Soportes entregados Plan de actividades
Enero]:[Soportes entregados Plan de actividades
Diciembre]])</f>
        <v>0</v>
      </c>
      <c r="AU50" s="378">
        <f>+Soportes[[#This Row],[Total Ejecutado plan de actividades]]/Soportes[[#This Row],[Total programado plan de actividades]]</f>
        <v>0</v>
      </c>
    </row>
    <row r="51" spans="1:47" s="148" customFormat="1" ht="15.6" x14ac:dyDescent="0.35">
      <c r="A51" s="228" t="str">
        <f>Soportes[[#This Row],[Código proyecto]]&amp;Soportes[[#This Row],[No Meta proyecto]]</f>
        <v>77444</v>
      </c>
      <c r="B51" s="228" t="str">
        <f>Soportes[[#This Row],[Código proyecto]]&amp;Soportes[[#This Row],[No Meta proyecto]]&amp;Soportes[[#This Row],[N° de Actividad
(Consecutivo por meta)]]</f>
        <v>774441</v>
      </c>
      <c r="C51" s="228" t="str">
        <f>Soportes[[#This Row],[Código proyecto]]&amp;Soportes[[#This Row],[No Meta proyecto]]&amp;Soportes[[#This Row],[N° de Actividad
(Consecutivo por meta)]]&amp;Soportes[[#This Row],[N° de tarea]]</f>
        <v>7744413</v>
      </c>
      <c r="D51" s="229" t="str">
        <f>Soportes[[#This Row],[Código proyecto]]&amp;Soportes[[#This Row],[No Meta proyecto]]&amp;Soportes[[#This Row],[N° de Actividad
(Consecutivo por meta)]]&amp;Soportes[[#This Row],[N° de tarea]]&amp;Soportes[[#This Row],[N° de Soporte]]</f>
        <v>77444131</v>
      </c>
      <c r="E51" s="229">
        <f>Proyecto!$B$19</f>
        <v>7744</v>
      </c>
      <c r="F51" s="277" t="str">
        <f>Proyecto!$D$19</f>
        <v>Generación de Oportunidades para el Desarrollo Integral de la Niñez y la Adolescencia de Bogotá</v>
      </c>
      <c r="G51" s="230">
        <v>4102001</v>
      </c>
      <c r="H51" s="240" t="s">
        <v>227</v>
      </c>
      <c r="I51" s="278">
        <v>4</v>
      </c>
      <c r="J51" s="243" t="str">
        <f>VLOOKUP(A51,ESTRATÉGICO!$C$3:$AA$110,14,0)</f>
        <v>Consolidar 1 herramienta de medición de la atención integral a niñas, niños y adolescentes que permita la trazabilidad de la Ruta Integral de Atenciones desde la Gestación hasta la Adolescencia -RIAGA-</v>
      </c>
      <c r="K51" s="278">
        <v>1</v>
      </c>
      <c r="L51" s="243" t="str">
        <f>VLOOKUP(B51,Actividades!$B$18:$I$35,8,0)</f>
        <v>Fortalecer, articular y movilizar la gestion distrital y local para la realizacion de las atenciones definidas en la Ruta Integral de Atenciones desde la gestacion hasta la Adolescencia, en el marco del sistema distrital de cuidado.</v>
      </c>
      <c r="M51" s="279">
        <v>3</v>
      </c>
      <c r="N51" s="243" t="str">
        <f>VLOOKUP(C51,Tareas!$C$18:$K$58,9,0)</f>
        <v>Realizar 1 proceso de gestión intra e interinstitucional para la implementación del SSN como herramienta orientadora  para la toma de decisiones y gestión en el  marco de la RIAGA.</v>
      </c>
      <c r="O51" s="278">
        <v>1</v>
      </c>
      <c r="P51" s="317" t="s">
        <v>1110</v>
      </c>
      <c r="Q51" s="280" t="s">
        <v>844</v>
      </c>
      <c r="R51" s="376" t="s">
        <v>1111</v>
      </c>
      <c r="S51" s="281">
        <v>1</v>
      </c>
      <c r="T51" s="316">
        <v>0</v>
      </c>
      <c r="U51" s="316">
        <v>0</v>
      </c>
      <c r="V51" s="316">
        <v>0.5</v>
      </c>
      <c r="W51" s="316">
        <v>0</v>
      </c>
      <c r="X51" s="316">
        <v>0.5</v>
      </c>
      <c r="Y51" s="283"/>
      <c r="Z51" s="283"/>
      <c r="AA51" s="283"/>
      <c r="AB51" s="283"/>
      <c r="AC51" s="283"/>
      <c r="AD51" s="283"/>
      <c r="AE51" s="283"/>
      <c r="AF51" s="380">
        <f>SUM(Soportes[[#This Row],[Programación Plan de actividades
Enero]:[Programación Plan de actividades
Diciembre]])</f>
        <v>1</v>
      </c>
      <c r="AG51" s="381" t="str">
        <f>IF(AF51=S51,"Programación correcta","Revisar programación")</f>
        <v>Programación correcta</v>
      </c>
      <c r="AH51" s="284">
        <f>EJECUCIÓN!O92</f>
        <v>0</v>
      </c>
      <c r="AI51" s="284">
        <f>EJECUCIÓN!Q92</f>
        <v>0</v>
      </c>
      <c r="AJ51" s="284">
        <f>EJECUCIÓN!S92</f>
        <v>0</v>
      </c>
      <c r="AK51" s="284">
        <f>EJECUCIÓN!U92</f>
        <v>0</v>
      </c>
      <c r="AL51" s="284">
        <f>EJECUCIÓN!W92</f>
        <v>0</v>
      </c>
      <c r="AM51" s="284">
        <f>EJECUCIÓN!Y92</f>
        <v>0</v>
      </c>
      <c r="AN51" s="284">
        <f>EJECUCIÓN!AA92</f>
        <v>0</v>
      </c>
      <c r="AO51" s="284">
        <f>EJECUCIÓN!AC92</f>
        <v>0</v>
      </c>
      <c r="AP51" s="284">
        <f>EJECUCIÓN!AE92</f>
        <v>0</v>
      </c>
      <c r="AQ51" s="284">
        <f>EJECUCIÓN!AG92</f>
        <v>0</v>
      </c>
      <c r="AR51" s="284">
        <f>EJECUCIÓN!AI92</f>
        <v>0</v>
      </c>
      <c r="AS51" s="284">
        <f>EJECUCIÓN!AK92</f>
        <v>0</v>
      </c>
      <c r="AT51" s="377">
        <f>SUM(Soportes[[#This Row],[Soportes entregados Plan de actividades
Enero]:[Soportes entregados Plan de actividades
Diciembre]])</f>
        <v>0</v>
      </c>
      <c r="AU51" s="378">
        <f>+Soportes[[#This Row],[Total Ejecutado plan de actividades]]/Soportes[[#This Row],[Total programado plan de actividades]]</f>
        <v>0</v>
      </c>
    </row>
    <row r="52" spans="1:47" s="148" customFormat="1" ht="15.6" x14ac:dyDescent="0.35">
      <c r="A52" s="228" t="str">
        <f>Soportes[[#This Row],[Código proyecto]]&amp;Soportes[[#This Row],[No Meta proyecto]]</f>
        <v>77445</v>
      </c>
      <c r="B52" s="228" t="str">
        <f>Soportes[[#This Row],[Código proyecto]]&amp;Soportes[[#This Row],[No Meta proyecto]]&amp;Soportes[[#This Row],[N° de Actividad
(Consecutivo por meta)]]</f>
        <v>774451</v>
      </c>
      <c r="C52" s="228" t="str">
        <f>Soportes[[#This Row],[Código proyecto]]&amp;Soportes[[#This Row],[No Meta proyecto]]&amp;Soportes[[#This Row],[N° de Actividad
(Consecutivo por meta)]]&amp;Soportes[[#This Row],[N° de tarea]]</f>
        <v>7744511</v>
      </c>
      <c r="D52" s="229" t="str">
        <f>Soportes[[#This Row],[Código proyecto]]&amp;Soportes[[#This Row],[No Meta proyecto]]&amp;Soportes[[#This Row],[N° de Actividad
(Consecutivo por meta)]]&amp;Soportes[[#This Row],[N° de tarea]]&amp;Soportes[[#This Row],[N° de Soporte]]</f>
        <v>77445111</v>
      </c>
      <c r="E52" s="229">
        <f>Proyecto!$B$19</f>
        <v>7744</v>
      </c>
      <c r="F52" s="277" t="str">
        <f>Proyecto!$D$19</f>
        <v>Generación de Oportunidades para el Desarrollo Integral de la Niñez y la Adolescencia de Bogotá</v>
      </c>
      <c r="G52" s="230">
        <v>4102001</v>
      </c>
      <c r="H52" s="240" t="s">
        <v>227</v>
      </c>
      <c r="I52" s="278">
        <v>5</v>
      </c>
      <c r="J52" s="243" t="str">
        <f>VLOOKUP(A52,ESTRATÉGICO!$C$3:$AA$110,14,0)</f>
        <v>Atender a 21200 niñas, niños y adolescentes del distrito en riesgo de trabajo infantil y violencias sexuales; y migrantes en riesgo de vulneración de sus derechos de manera flexible con enfoque diferencial y de género  </v>
      </c>
      <c r="K52" s="278">
        <v>1</v>
      </c>
      <c r="L52" s="243" t="str">
        <f>VLOOKUP(B52,Actividades!$B$18:$I$35,8,0)</f>
        <v>Atender mediante procesos flexibles y diferenciales a las ninas, ninos y adolescentes en riesgo o situacion de trabajo infantil, generando espacios protectores que garanticen sus derechos.</v>
      </c>
      <c r="M52" s="279">
        <v>1</v>
      </c>
      <c r="N52" s="243" t="str">
        <f>VLOOKUP(C52,Tareas!$C$18:$K$58,9,0)</f>
        <v>Implementar la línea técnica del modelo de Atención para NNA en Situación y Riesgo de Trabajo Infantil en los Centros Amar y  la Estrategia Móvil PETI</v>
      </c>
      <c r="O52" s="278">
        <v>1</v>
      </c>
      <c r="P52" s="247" t="s">
        <v>1112</v>
      </c>
      <c r="Q52" s="280" t="s">
        <v>843</v>
      </c>
      <c r="R52" s="376" t="s">
        <v>1113</v>
      </c>
      <c r="S52" s="281">
        <v>1</v>
      </c>
      <c r="T52" s="282">
        <v>0</v>
      </c>
      <c r="U52" s="282">
        <v>0.25</v>
      </c>
      <c r="V52" s="282">
        <v>0.25</v>
      </c>
      <c r="W52" s="282">
        <v>0.25</v>
      </c>
      <c r="X52" s="282">
        <v>0.25</v>
      </c>
      <c r="Y52" s="283"/>
      <c r="Z52" s="283"/>
      <c r="AA52" s="283"/>
      <c r="AB52" s="283"/>
      <c r="AC52" s="283"/>
      <c r="AD52" s="283"/>
      <c r="AE52" s="283"/>
      <c r="AF52" s="380">
        <f>SUM(Soportes[[#This Row],[Programación Plan de actividades
Enero]:[Programación Plan de actividades
Diciembre]])</f>
        <v>1</v>
      </c>
      <c r="AG52" s="381" t="str">
        <f>IF(AF52=S52,"Programación correcta","Revisar programación")</f>
        <v>Programación correcta</v>
      </c>
      <c r="AH52" s="284">
        <f>EJECUCIÓN!O93</f>
        <v>0</v>
      </c>
      <c r="AI52" s="284">
        <f>EJECUCIÓN!Q93</f>
        <v>0</v>
      </c>
      <c r="AJ52" s="284">
        <f>EJECUCIÓN!S93</f>
        <v>0</v>
      </c>
      <c r="AK52" s="284">
        <f>EJECUCIÓN!U93</f>
        <v>0</v>
      </c>
      <c r="AL52" s="284">
        <f>EJECUCIÓN!W93</f>
        <v>0</v>
      </c>
      <c r="AM52" s="284">
        <f>EJECUCIÓN!Y93</f>
        <v>0</v>
      </c>
      <c r="AN52" s="284">
        <f>EJECUCIÓN!AA93</f>
        <v>0</v>
      </c>
      <c r="AO52" s="284">
        <f>EJECUCIÓN!AC93</f>
        <v>0</v>
      </c>
      <c r="AP52" s="284">
        <f>EJECUCIÓN!AE93</f>
        <v>0</v>
      </c>
      <c r="AQ52" s="284">
        <f>EJECUCIÓN!AG93</f>
        <v>0</v>
      </c>
      <c r="AR52" s="284">
        <f>EJECUCIÓN!AI93</f>
        <v>0</v>
      </c>
      <c r="AS52" s="284">
        <f>EJECUCIÓN!AK93</f>
        <v>0</v>
      </c>
      <c r="AT52" s="377">
        <f>SUM(Soportes[[#This Row],[Soportes entregados Plan de actividades
Enero]:[Soportes entregados Plan de actividades
Diciembre]])</f>
        <v>0</v>
      </c>
      <c r="AU52" s="378">
        <f>+Soportes[[#This Row],[Total Ejecutado plan de actividades]]/Soportes[[#This Row],[Total programado plan de actividades]]</f>
        <v>0</v>
      </c>
    </row>
    <row r="53" spans="1:47" s="148" customFormat="1" ht="15.6" x14ac:dyDescent="0.35">
      <c r="A53" s="228" t="str">
        <f>Soportes[[#This Row],[Código proyecto]]&amp;Soportes[[#This Row],[No Meta proyecto]]</f>
        <v>77445</v>
      </c>
      <c r="B53" s="228" t="str">
        <f>Soportes[[#This Row],[Código proyecto]]&amp;Soportes[[#This Row],[No Meta proyecto]]&amp;Soportes[[#This Row],[N° de Actividad
(Consecutivo por meta)]]</f>
        <v>774451</v>
      </c>
      <c r="C53" s="228" t="str">
        <f>Soportes[[#This Row],[Código proyecto]]&amp;Soportes[[#This Row],[No Meta proyecto]]&amp;Soportes[[#This Row],[N° de Actividad
(Consecutivo por meta)]]&amp;Soportes[[#This Row],[N° de tarea]]</f>
        <v>7744512</v>
      </c>
      <c r="D53" s="229" t="str">
        <f>Soportes[[#This Row],[Código proyecto]]&amp;Soportes[[#This Row],[No Meta proyecto]]&amp;Soportes[[#This Row],[N° de Actividad
(Consecutivo por meta)]]&amp;Soportes[[#This Row],[N° de tarea]]&amp;Soportes[[#This Row],[N° de Soporte]]</f>
        <v>77445121</v>
      </c>
      <c r="E53" s="229">
        <f>Proyecto!$B$19</f>
        <v>7744</v>
      </c>
      <c r="F53" s="277" t="str">
        <f>Proyecto!$D$19</f>
        <v>Generación de Oportunidades para el Desarrollo Integral de la Niñez y la Adolescencia de Bogotá</v>
      </c>
      <c r="G53" s="230">
        <v>4102001</v>
      </c>
      <c r="H53" s="240" t="s">
        <v>227</v>
      </c>
      <c r="I53" s="278">
        <v>5</v>
      </c>
      <c r="J53" s="243" t="str">
        <f>VLOOKUP(A53,ESTRATÉGICO!$C$3:$AA$110,14,0)</f>
        <v>Atender a 21200 niñas, niños y adolescentes del distrito en riesgo de trabajo infantil y violencias sexuales; y migrantes en riesgo de vulneración de sus derechos de manera flexible con enfoque diferencial y de género  </v>
      </c>
      <c r="K53" s="278">
        <v>1</v>
      </c>
      <c r="L53" s="243" t="str">
        <f>VLOOKUP(B53,Actividades!$B$18:$I$35,8,0)</f>
        <v>Atender mediante procesos flexibles y diferenciales a las ninas, ninos y adolescentes en riesgo o situacion de trabajo infantil, generando espacios protectores que garanticen sus derechos.</v>
      </c>
      <c r="M53" s="279">
        <v>2</v>
      </c>
      <c r="N53" s="243" t="str">
        <f>VLOOKUP(C53,Tareas!$C$18:$K$58,9,0)</f>
        <v>Socialización del Anexo técnico de estándares de Calidad del servicio Centros Amar.</v>
      </c>
      <c r="O53" s="278">
        <v>1</v>
      </c>
      <c r="P53" s="247" t="s">
        <v>1114</v>
      </c>
      <c r="Q53" s="280" t="s">
        <v>844</v>
      </c>
      <c r="R53" s="376" t="s">
        <v>1115</v>
      </c>
      <c r="S53" s="281">
        <v>1</v>
      </c>
      <c r="T53" s="282">
        <v>0</v>
      </c>
      <c r="U53" s="282">
        <v>0.05</v>
      </c>
      <c r="V53" s="282">
        <v>0.3</v>
      </c>
      <c r="W53" s="282">
        <v>0.35</v>
      </c>
      <c r="X53" s="282">
        <v>0.3</v>
      </c>
      <c r="Y53" s="283"/>
      <c r="Z53" s="283"/>
      <c r="AA53" s="283"/>
      <c r="AB53" s="283"/>
      <c r="AC53" s="283"/>
      <c r="AD53" s="283"/>
      <c r="AE53" s="283"/>
      <c r="AF53" s="380">
        <f>SUM(Soportes[[#This Row],[Programación Plan de actividades
Enero]:[Programación Plan de actividades
Diciembre]])</f>
        <v>1</v>
      </c>
      <c r="AG53" s="381" t="str">
        <f>IF(AF53=S53,"Programación correcta","Revisar programación")</f>
        <v>Programación correcta</v>
      </c>
      <c r="AH53" s="284">
        <f>EJECUCIÓN!O94</f>
        <v>0</v>
      </c>
      <c r="AI53" s="284">
        <f>EJECUCIÓN!Q94</f>
        <v>0</v>
      </c>
      <c r="AJ53" s="284">
        <f>EJECUCIÓN!S94</f>
        <v>0</v>
      </c>
      <c r="AK53" s="284">
        <f>EJECUCIÓN!U94</f>
        <v>0</v>
      </c>
      <c r="AL53" s="284">
        <f>EJECUCIÓN!W94</f>
        <v>0</v>
      </c>
      <c r="AM53" s="284">
        <f>EJECUCIÓN!Y94</f>
        <v>0</v>
      </c>
      <c r="AN53" s="284">
        <f>EJECUCIÓN!AA94</f>
        <v>0</v>
      </c>
      <c r="AO53" s="284">
        <f>EJECUCIÓN!AC94</f>
        <v>0</v>
      </c>
      <c r="AP53" s="284">
        <f>EJECUCIÓN!AE94</f>
        <v>0</v>
      </c>
      <c r="AQ53" s="284">
        <f>EJECUCIÓN!AG94</f>
        <v>0</v>
      </c>
      <c r="AR53" s="284">
        <f>EJECUCIÓN!AI94</f>
        <v>0</v>
      </c>
      <c r="AS53" s="284">
        <f>EJECUCIÓN!AK94</f>
        <v>0</v>
      </c>
      <c r="AT53" s="377">
        <f>SUM(Soportes[[#This Row],[Soportes entregados Plan de actividades
Enero]:[Soportes entregados Plan de actividades
Diciembre]])</f>
        <v>0</v>
      </c>
      <c r="AU53" s="378">
        <f>+Soportes[[#This Row],[Total Ejecutado plan de actividades]]/Soportes[[#This Row],[Total programado plan de actividades]]</f>
        <v>0</v>
      </c>
    </row>
    <row r="54" spans="1:47" s="148" customFormat="1" ht="15.6" x14ac:dyDescent="0.35">
      <c r="A54" s="228" t="str">
        <f>Soportes[[#This Row],[Código proyecto]]&amp;Soportes[[#This Row],[No Meta proyecto]]</f>
        <v>77445</v>
      </c>
      <c r="B54" s="228" t="str">
        <f>Soportes[[#This Row],[Código proyecto]]&amp;Soportes[[#This Row],[No Meta proyecto]]&amp;Soportes[[#This Row],[N° de Actividad
(Consecutivo por meta)]]</f>
        <v>774451</v>
      </c>
      <c r="C54" s="228" t="str">
        <f>Soportes[[#This Row],[Código proyecto]]&amp;Soportes[[#This Row],[No Meta proyecto]]&amp;Soportes[[#This Row],[N° de Actividad
(Consecutivo por meta)]]&amp;Soportes[[#This Row],[N° de tarea]]</f>
        <v>7744513</v>
      </c>
      <c r="D54" s="229" t="str">
        <f>Soportes[[#This Row],[Código proyecto]]&amp;Soportes[[#This Row],[No Meta proyecto]]&amp;Soportes[[#This Row],[N° de Actividad
(Consecutivo por meta)]]&amp;Soportes[[#This Row],[N° de tarea]]&amp;Soportes[[#This Row],[N° de Soporte]]</f>
        <v>77445131</v>
      </c>
      <c r="E54" s="229">
        <f>Proyecto!$B$19</f>
        <v>7744</v>
      </c>
      <c r="F54" s="277" t="str">
        <f>Proyecto!$D$19</f>
        <v>Generación de Oportunidades para el Desarrollo Integral de la Niñez y la Adolescencia de Bogotá</v>
      </c>
      <c r="G54" s="230">
        <v>4102001</v>
      </c>
      <c r="H54" s="240" t="s">
        <v>227</v>
      </c>
      <c r="I54" s="278">
        <v>5</v>
      </c>
      <c r="J54" s="243" t="str">
        <f>VLOOKUP(A54,ESTRATÉGICO!$C$3:$AA$110,14,0)</f>
        <v>Atender a 21200 niñas, niños y adolescentes del distrito en riesgo de trabajo infantil y violencias sexuales; y migrantes en riesgo de vulneración de sus derechos de manera flexible con enfoque diferencial y de género  </v>
      </c>
      <c r="K54" s="278">
        <v>1</v>
      </c>
      <c r="L54" s="243" t="str">
        <f>VLOOKUP(B54,Actividades!$B$18:$I$35,8,0)</f>
        <v>Atender mediante procesos flexibles y diferenciales a las ninas, ninos y adolescentes en riesgo o situacion de trabajo infantil, generando espacios protectores que garanticen sus derechos.</v>
      </c>
      <c r="M54" s="279">
        <v>3</v>
      </c>
      <c r="N54" s="243" t="str">
        <f>VLOOKUP(C54,Tareas!$C$18:$K$58,9,0)</f>
        <v>Socializar el protocolo de atención de la modalidad de atención a la denuncia ciudadana.</v>
      </c>
      <c r="O54" s="278">
        <v>1</v>
      </c>
      <c r="P54" s="247" t="s">
        <v>1116</v>
      </c>
      <c r="Q54" s="280" t="s">
        <v>844</v>
      </c>
      <c r="R54" s="376" t="s">
        <v>1117</v>
      </c>
      <c r="S54" s="281">
        <v>1</v>
      </c>
      <c r="T54" s="282">
        <v>0</v>
      </c>
      <c r="U54" s="282">
        <v>0.1</v>
      </c>
      <c r="V54" s="282">
        <v>0.3</v>
      </c>
      <c r="W54" s="282">
        <v>0.3</v>
      </c>
      <c r="X54" s="282">
        <v>0.3</v>
      </c>
      <c r="Y54" s="283"/>
      <c r="Z54" s="283"/>
      <c r="AA54" s="283"/>
      <c r="AB54" s="283"/>
      <c r="AC54" s="283"/>
      <c r="AD54" s="283"/>
      <c r="AE54" s="283"/>
      <c r="AF54" s="380">
        <f>SUM(Soportes[[#This Row],[Programación Plan de actividades
Enero]:[Programación Plan de actividades
Diciembre]])</f>
        <v>1</v>
      </c>
      <c r="AG54" s="381" t="str">
        <f t="shared" ref="AG54:AG60" si="1">IF(AF54=S54,"Programación correcta","Revisar programación")</f>
        <v>Programación correcta</v>
      </c>
      <c r="AH54" s="284">
        <f>EJECUCIÓN!O95</f>
        <v>0</v>
      </c>
      <c r="AI54" s="284">
        <f>EJECUCIÓN!Q95</f>
        <v>0</v>
      </c>
      <c r="AJ54" s="284">
        <f>EJECUCIÓN!S95</f>
        <v>0</v>
      </c>
      <c r="AK54" s="284">
        <f>EJECUCIÓN!U95</f>
        <v>0</v>
      </c>
      <c r="AL54" s="284">
        <f>EJECUCIÓN!W95</f>
        <v>0</v>
      </c>
      <c r="AM54" s="284">
        <f>EJECUCIÓN!Y95</f>
        <v>0</v>
      </c>
      <c r="AN54" s="284">
        <f>EJECUCIÓN!AA95</f>
        <v>0</v>
      </c>
      <c r="AO54" s="284">
        <f>EJECUCIÓN!AC95</f>
        <v>0</v>
      </c>
      <c r="AP54" s="284">
        <f>EJECUCIÓN!AE95</f>
        <v>0</v>
      </c>
      <c r="AQ54" s="284">
        <f>EJECUCIÓN!AG95</f>
        <v>0</v>
      </c>
      <c r="AR54" s="284">
        <f>EJECUCIÓN!AI95</f>
        <v>0</v>
      </c>
      <c r="AS54" s="284">
        <f>EJECUCIÓN!AK95</f>
        <v>0</v>
      </c>
      <c r="AT54" s="377">
        <f>SUM(Soportes[[#This Row],[Soportes entregados Plan de actividades
Enero]:[Soportes entregados Plan de actividades
Diciembre]])</f>
        <v>0</v>
      </c>
      <c r="AU54" s="378">
        <f>+Soportes[[#This Row],[Total Ejecutado plan de actividades]]/Soportes[[#This Row],[Total programado plan de actividades]]</f>
        <v>0</v>
      </c>
    </row>
    <row r="55" spans="1:47" s="148" customFormat="1" ht="15.6" x14ac:dyDescent="0.35">
      <c r="A55" s="228" t="str">
        <f>Soportes[[#This Row],[Código proyecto]]&amp;Soportes[[#This Row],[No Meta proyecto]]</f>
        <v>77445</v>
      </c>
      <c r="B55" s="228" t="str">
        <f>Soportes[[#This Row],[Código proyecto]]&amp;Soportes[[#This Row],[No Meta proyecto]]&amp;Soportes[[#This Row],[N° de Actividad
(Consecutivo por meta)]]</f>
        <v>774452</v>
      </c>
      <c r="C55" s="228" t="str">
        <f>Soportes[[#This Row],[Código proyecto]]&amp;Soportes[[#This Row],[No Meta proyecto]]&amp;Soportes[[#This Row],[N° de Actividad
(Consecutivo por meta)]]&amp;Soportes[[#This Row],[N° de tarea]]</f>
        <v>7744521</v>
      </c>
      <c r="D55" s="229" t="str">
        <f>Soportes[[#This Row],[Código proyecto]]&amp;Soportes[[#This Row],[No Meta proyecto]]&amp;Soportes[[#This Row],[N° de Actividad
(Consecutivo por meta)]]&amp;Soportes[[#This Row],[N° de tarea]]&amp;Soportes[[#This Row],[N° de Soporte]]</f>
        <v>77445211</v>
      </c>
      <c r="E55" s="229">
        <f>Proyecto!$B$19</f>
        <v>7744</v>
      </c>
      <c r="F55" s="277" t="str">
        <f>Proyecto!$D$19</f>
        <v>Generación de Oportunidades para el Desarrollo Integral de la Niñez y la Adolescencia de Bogotá</v>
      </c>
      <c r="G55" s="230">
        <v>4102001</v>
      </c>
      <c r="H55" s="240" t="s">
        <v>227</v>
      </c>
      <c r="I55" s="278">
        <v>5</v>
      </c>
      <c r="J55" s="243" t="str">
        <f>VLOOKUP(A55,ESTRATÉGICO!$C$3:$AA$110,14,0)</f>
        <v>Atender a 21200 niñas, niños y adolescentes del distrito en riesgo de trabajo infantil y violencias sexuales; y migrantes en riesgo de vulneración de sus derechos de manera flexible con enfoque diferencial y de género  </v>
      </c>
      <c r="K55" s="278">
        <v>2</v>
      </c>
      <c r="L55" s="243" t="str">
        <f>VLOOKUP(B55,Actividades!$B$18:$I$35,8,0)</f>
        <v>Atender mediante estrategias diferenciales y flexibles a ninas, ninos y adolescentes en contexto de poblacion migrante, en riesgo de vulneracion de derechos, articulando la oferta distrital para garantizar la proteccion de sus derechos.</v>
      </c>
      <c r="M55" s="279">
        <v>1</v>
      </c>
      <c r="N55" s="243" t="str">
        <f>VLOOKUP(C55,Tareas!$C$18:$K$58,9,0)</f>
        <v>Implementar acciones para la atención de niñas y niños migrantes en situación de riesgo de vulneración de derechos.</v>
      </c>
      <c r="O55" s="278">
        <v>1</v>
      </c>
      <c r="P55" s="247" t="s">
        <v>1118</v>
      </c>
      <c r="Q55" s="280" t="s">
        <v>843</v>
      </c>
      <c r="R55" s="376" t="s">
        <v>1119</v>
      </c>
      <c r="S55" s="281">
        <v>1</v>
      </c>
      <c r="T55" s="282">
        <v>0</v>
      </c>
      <c r="U55" s="282">
        <v>0.25</v>
      </c>
      <c r="V55" s="282">
        <v>0.25</v>
      </c>
      <c r="W55" s="282">
        <v>0.25</v>
      </c>
      <c r="X55" s="282">
        <v>0.25</v>
      </c>
      <c r="Y55" s="283"/>
      <c r="Z55" s="283"/>
      <c r="AA55" s="283"/>
      <c r="AB55" s="283"/>
      <c r="AC55" s="283"/>
      <c r="AD55" s="283"/>
      <c r="AE55" s="283"/>
      <c r="AF55" s="380">
        <f>SUM(Soportes[[#This Row],[Programación Plan de actividades
Enero]:[Programación Plan de actividades
Diciembre]])</f>
        <v>1</v>
      </c>
      <c r="AG55" s="381" t="str">
        <f t="shared" si="1"/>
        <v>Programación correcta</v>
      </c>
      <c r="AH55" s="284">
        <f>EJECUCIÓN!O96</f>
        <v>0</v>
      </c>
      <c r="AI55" s="284">
        <f>EJECUCIÓN!Q96</f>
        <v>0</v>
      </c>
      <c r="AJ55" s="284">
        <f>EJECUCIÓN!S96</f>
        <v>0</v>
      </c>
      <c r="AK55" s="284">
        <f>EJECUCIÓN!U96</f>
        <v>0</v>
      </c>
      <c r="AL55" s="284">
        <f>EJECUCIÓN!W96</f>
        <v>0</v>
      </c>
      <c r="AM55" s="284">
        <f>EJECUCIÓN!Y96</f>
        <v>0</v>
      </c>
      <c r="AN55" s="284">
        <f>EJECUCIÓN!AA96</f>
        <v>0</v>
      </c>
      <c r="AO55" s="284">
        <f>EJECUCIÓN!AC96</f>
        <v>0</v>
      </c>
      <c r="AP55" s="284">
        <f>EJECUCIÓN!AE96</f>
        <v>0</v>
      </c>
      <c r="AQ55" s="284">
        <f>EJECUCIÓN!AG96</f>
        <v>0</v>
      </c>
      <c r="AR55" s="284">
        <f>EJECUCIÓN!AI96</f>
        <v>0</v>
      </c>
      <c r="AS55" s="284">
        <f>EJECUCIÓN!AK96</f>
        <v>0</v>
      </c>
      <c r="AT55" s="377">
        <f>SUM(Soportes[[#This Row],[Soportes entregados Plan de actividades
Enero]:[Soportes entregados Plan de actividades
Diciembre]])</f>
        <v>0</v>
      </c>
      <c r="AU55" s="378">
        <f>+Soportes[[#This Row],[Total Ejecutado plan de actividades]]/Soportes[[#This Row],[Total programado plan de actividades]]</f>
        <v>0</v>
      </c>
    </row>
    <row r="56" spans="1:47" s="148" customFormat="1" ht="15.6" x14ac:dyDescent="0.35">
      <c r="A56" s="228" t="str">
        <f>Soportes[[#This Row],[Código proyecto]]&amp;Soportes[[#This Row],[No Meta proyecto]]</f>
        <v>77445</v>
      </c>
      <c r="B56" s="228" t="str">
        <f>Soportes[[#This Row],[Código proyecto]]&amp;Soportes[[#This Row],[No Meta proyecto]]&amp;Soportes[[#This Row],[N° de Actividad
(Consecutivo por meta)]]</f>
        <v>774454</v>
      </c>
      <c r="C56" s="228" t="str">
        <f>Soportes[[#This Row],[Código proyecto]]&amp;Soportes[[#This Row],[No Meta proyecto]]&amp;Soportes[[#This Row],[N° de Actividad
(Consecutivo por meta)]]&amp;Soportes[[#This Row],[N° de tarea]]</f>
        <v>7744541</v>
      </c>
      <c r="D56" s="229" t="str">
        <f>Soportes[[#This Row],[Código proyecto]]&amp;Soportes[[#This Row],[No Meta proyecto]]&amp;Soportes[[#This Row],[N° de Actividad
(Consecutivo por meta)]]&amp;Soportes[[#This Row],[N° de tarea]]&amp;Soportes[[#This Row],[N° de Soporte]]</f>
        <v>77445411</v>
      </c>
      <c r="E56" s="229">
        <f>Proyecto!$B$19</f>
        <v>7744</v>
      </c>
      <c r="F56" s="277" t="str">
        <f>Proyecto!$D$19</f>
        <v>Generación de Oportunidades para el Desarrollo Integral de la Niñez y la Adolescencia de Bogotá</v>
      </c>
      <c r="G56" s="230">
        <v>4102001</v>
      </c>
      <c r="H56" s="240" t="s">
        <v>227</v>
      </c>
      <c r="I56" s="278">
        <v>5</v>
      </c>
      <c r="J56" s="243" t="str">
        <f>VLOOKUP(A56,ESTRATÉGICO!$C$3:$AA$110,14,0)</f>
        <v>Atender a 21200 niñas, niños y adolescentes del distrito en riesgo de trabajo infantil y violencias sexuales; y migrantes en riesgo de vulneración de sus derechos de manera flexible con enfoque diferencial y de género  </v>
      </c>
      <c r="K56" s="278">
        <v>4</v>
      </c>
      <c r="L56" s="243" t="str">
        <f>VLOOKUP(B56,Actividades!$B$18:$I$35,8,0)</f>
        <v>Implementar en el marco del Sistema Distrital de Cuidado, espacios de modalidad flexible de acompanamiento a las ninas, ninos y adolescentes, cuyas madres o padres debido a sus realidades sociales y economicas, requieran de estrategias dife</v>
      </c>
      <c r="M56" s="279">
        <v>1</v>
      </c>
      <c r="N56" s="243" t="str">
        <f>VLOOKUP(C56,Tareas!$C$18:$K$58,9,0)</f>
        <v>Oficializar y socializar el lineamiento pedagógico de el servicio el Arte de Cuidar- te,a el talento humano que hace parte del servicio</v>
      </c>
      <c r="O56" s="278">
        <v>1</v>
      </c>
      <c r="P56" s="247" t="s">
        <v>1120</v>
      </c>
      <c r="Q56" s="280" t="s">
        <v>844</v>
      </c>
      <c r="R56" s="376" t="s">
        <v>1121</v>
      </c>
      <c r="S56" s="281">
        <v>1</v>
      </c>
      <c r="T56" s="282">
        <v>0</v>
      </c>
      <c r="U56" s="282">
        <v>0.1</v>
      </c>
      <c r="V56" s="282">
        <v>0.1</v>
      </c>
      <c r="W56" s="282">
        <v>0.2</v>
      </c>
      <c r="X56" s="282">
        <v>0.6</v>
      </c>
      <c r="Y56" s="283"/>
      <c r="Z56" s="283"/>
      <c r="AA56" s="283"/>
      <c r="AB56" s="283"/>
      <c r="AC56" s="283"/>
      <c r="AD56" s="283"/>
      <c r="AE56" s="283"/>
      <c r="AF56" s="380">
        <f>SUM(Soportes[[#This Row],[Programación Plan de actividades
Enero]:[Programación Plan de actividades
Diciembre]])</f>
        <v>1</v>
      </c>
      <c r="AG56" s="381" t="str">
        <f t="shared" si="1"/>
        <v>Programación correcta</v>
      </c>
      <c r="AH56" s="284">
        <f>EJECUCIÓN!O97</f>
        <v>0</v>
      </c>
      <c r="AI56" s="284">
        <f>EJECUCIÓN!Q97</f>
        <v>0</v>
      </c>
      <c r="AJ56" s="284">
        <f>EJECUCIÓN!S97</f>
        <v>0</v>
      </c>
      <c r="AK56" s="284">
        <f>EJECUCIÓN!U97</f>
        <v>0</v>
      </c>
      <c r="AL56" s="284">
        <f>EJECUCIÓN!W97</f>
        <v>0</v>
      </c>
      <c r="AM56" s="284">
        <f>EJECUCIÓN!Y97</f>
        <v>0</v>
      </c>
      <c r="AN56" s="284">
        <f>EJECUCIÓN!AA97</f>
        <v>0</v>
      </c>
      <c r="AO56" s="284">
        <f>EJECUCIÓN!AC97</f>
        <v>0</v>
      </c>
      <c r="AP56" s="284">
        <f>EJECUCIÓN!AE97</f>
        <v>0</v>
      </c>
      <c r="AQ56" s="284">
        <f>EJECUCIÓN!AG97</f>
        <v>0</v>
      </c>
      <c r="AR56" s="284">
        <f>EJECUCIÓN!AI97</f>
        <v>0</v>
      </c>
      <c r="AS56" s="284">
        <f>EJECUCIÓN!AK97</f>
        <v>0</v>
      </c>
      <c r="AT56" s="377">
        <f>SUM(Soportes[[#This Row],[Soportes entregados Plan de actividades
Enero]:[Soportes entregados Plan de actividades
Diciembre]])</f>
        <v>0</v>
      </c>
      <c r="AU56" s="378">
        <f>+Soportes[[#This Row],[Total Ejecutado plan de actividades]]/Soportes[[#This Row],[Total programado plan de actividades]]</f>
        <v>0</v>
      </c>
    </row>
    <row r="57" spans="1:47" s="148" customFormat="1" ht="15.6" x14ac:dyDescent="0.35">
      <c r="A57" s="228" t="str">
        <f>Soportes[[#This Row],[Código proyecto]]&amp;Soportes[[#This Row],[No Meta proyecto]]</f>
        <v>77445</v>
      </c>
      <c r="B57" s="228" t="str">
        <f>Soportes[[#This Row],[Código proyecto]]&amp;Soportes[[#This Row],[No Meta proyecto]]&amp;Soportes[[#This Row],[N° de Actividad
(Consecutivo por meta)]]</f>
        <v>774454</v>
      </c>
      <c r="C57" s="228" t="str">
        <f>Soportes[[#This Row],[Código proyecto]]&amp;Soportes[[#This Row],[No Meta proyecto]]&amp;Soportes[[#This Row],[N° de Actividad
(Consecutivo por meta)]]&amp;Soportes[[#This Row],[N° de tarea]]</f>
        <v>7744542</v>
      </c>
      <c r="D57" s="229" t="str">
        <f>Soportes[[#This Row],[Código proyecto]]&amp;Soportes[[#This Row],[No Meta proyecto]]&amp;Soportes[[#This Row],[N° de Actividad
(Consecutivo por meta)]]&amp;Soportes[[#This Row],[N° de tarea]]&amp;Soportes[[#This Row],[N° de Soporte]]</f>
        <v>77445421</v>
      </c>
      <c r="E57" s="229">
        <f>Proyecto!$B$19</f>
        <v>7744</v>
      </c>
      <c r="F57" s="277" t="str">
        <f>Proyecto!$D$19</f>
        <v>Generación de Oportunidades para el Desarrollo Integral de la Niñez y la Adolescencia de Bogotá</v>
      </c>
      <c r="G57" s="230">
        <v>4102045</v>
      </c>
      <c r="H57" s="240" t="s">
        <v>235</v>
      </c>
      <c r="I57" s="278">
        <v>5</v>
      </c>
      <c r="J57" s="243" t="str">
        <f>VLOOKUP(A57,ESTRATÉGICO!$C$3:$AA$110,14,0)</f>
        <v>Atender a 21200 niñas, niños y adolescentes del distrito en riesgo de trabajo infantil y violencias sexuales; y migrantes en riesgo de vulneración de sus derechos de manera flexible con enfoque diferencial y de género  </v>
      </c>
      <c r="K57" s="278">
        <v>4</v>
      </c>
      <c r="L57" s="243" t="str">
        <f>VLOOKUP(B57,Actividades!$B$18:$I$35,8,0)</f>
        <v>Implementar en el marco del Sistema Distrital de Cuidado, espacios de modalidad flexible de acompanamiento a las ninas, ninos y adolescentes, cuyas madres o padres debido a sus realidades sociales y economicas, requieran de estrategias dife</v>
      </c>
      <c r="M57" s="279">
        <v>2</v>
      </c>
      <c r="N57" s="243" t="str">
        <f>VLOOKUP(C57,Tareas!$C$18:$K$58,9,0)</f>
        <v>Desarrollar espacios flexibles de implementación de la Estrategia el Arte de Cuidarte.</v>
      </c>
      <c r="O57" s="278">
        <v>1</v>
      </c>
      <c r="P57" s="247" t="s">
        <v>1122</v>
      </c>
      <c r="Q57" s="280" t="s">
        <v>843</v>
      </c>
      <c r="R57" s="376" t="s">
        <v>1123</v>
      </c>
      <c r="S57" s="281">
        <v>1</v>
      </c>
      <c r="T57" s="282">
        <v>0</v>
      </c>
      <c r="U57" s="282">
        <v>0.25</v>
      </c>
      <c r="V57" s="282">
        <v>0.25</v>
      </c>
      <c r="W57" s="282">
        <v>0.25</v>
      </c>
      <c r="X57" s="282">
        <v>0.25</v>
      </c>
      <c r="Y57" s="283"/>
      <c r="Z57" s="283"/>
      <c r="AA57" s="283"/>
      <c r="AB57" s="283"/>
      <c r="AC57" s="283"/>
      <c r="AD57" s="283"/>
      <c r="AE57" s="283"/>
      <c r="AF57" s="380">
        <f>SUM(Soportes[[#This Row],[Programación Plan de actividades
Enero]:[Programación Plan de actividades
Diciembre]])</f>
        <v>1</v>
      </c>
      <c r="AG57" s="381" t="str">
        <f t="shared" si="1"/>
        <v>Programación correcta</v>
      </c>
      <c r="AH57" s="284">
        <f>EJECUCIÓN!O98</f>
        <v>0</v>
      </c>
      <c r="AI57" s="284">
        <f>EJECUCIÓN!Q98</f>
        <v>0</v>
      </c>
      <c r="AJ57" s="284">
        <f>EJECUCIÓN!S98</f>
        <v>0</v>
      </c>
      <c r="AK57" s="284">
        <f>EJECUCIÓN!U98</f>
        <v>0</v>
      </c>
      <c r="AL57" s="284">
        <f>EJECUCIÓN!W98</f>
        <v>0</v>
      </c>
      <c r="AM57" s="284">
        <f>EJECUCIÓN!Y98</f>
        <v>0</v>
      </c>
      <c r="AN57" s="284">
        <f>EJECUCIÓN!AA98</f>
        <v>0</v>
      </c>
      <c r="AO57" s="284">
        <f>EJECUCIÓN!AC98</f>
        <v>0</v>
      </c>
      <c r="AP57" s="284">
        <f>EJECUCIÓN!AE98</f>
        <v>0</v>
      </c>
      <c r="AQ57" s="284">
        <f>EJECUCIÓN!AG98</f>
        <v>0</v>
      </c>
      <c r="AR57" s="284">
        <f>EJECUCIÓN!AI98</f>
        <v>0</v>
      </c>
      <c r="AS57" s="284">
        <f>EJECUCIÓN!AK98</f>
        <v>0</v>
      </c>
      <c r="AT57" s="377">
        <f>SUM(Soportes[[#This Row],[Soportes entregados Plan de actividades
Enero]:[Soportes entregados Plan de actividades
Diciembre]])</f>
        <v>0</v>
      </c>
      <c r="AU57" s="378">
        <f>+Soportes[[#This Row],[Total Ejecutado plan de actividades]]/Soportes[[#This Row],[Total programado plan de actividades]]</f>
        <v>0</v>
      </c>
    </row>
    <row r="58" spans="1:47" s="148" customFormat="1" ht="15.6" x14ac:dyDescent="0.35">
      <c r="A58" s="228" t="str">
        <f>Soportes[[#This Row],[Código proyecto]]&amp;Soportes[[#This Row],[No Meta proyecto]]</f>
        <v>77446</v>
      </c>
      <c r="B58" s="228" t="str">
        <f>Soportes[[#This Row],[Código proyecto]]&amp;Soportes[[#This Row],[No Meta proyecto]]&amp;Soportes[[#This Row],[N° de Actividad
(Consecutivo por meta)]]</f>
        <v>774461</v>
      </c>
      <c r="C58" s="228" t="str">
        <f>Soportes[[#This Row],[Código proyecto]]&amp;Soportes[[#This Row],[No Meta proyecto]]&amp;Soportes[[#This Row],[N° de Actividad
(Consecutivo por meta)]]&amp;Soportes[[#This Row],[N° de tarea]]</f>
        <v>7744611</v>
      </c>
      <c r="D58" s="229" t="str">
        <f>Soportes[[#This Row],[Código proyecto]]&amp;Soportes[[#This Row],[No Meta proyecto]]&amp;Soportes[[#This Row],[N° de Actividad
(Consecutivo por meta)]]&amp;Soportes[[#This Row],[N° de tarea]]&amp;Soportes[[#This Row],[N° de Soporte]]</f>
        <v>77446111</v>
      </c>
      <c r="E58" s="229">
        <f>Proyecto!$B$19</f>
        <v>7744</v>
      </c>
      <c r="F58" s="277" t="str">
        <f>Proyecto!$D$19</f>
        <v>Generación de Oportunidades para el Desarrollo Integral de la Niñez y la Adolescencia de Bogotá</v>
      </c>
      <c r="G58" s="230">
        <v>4102045</v>
      </c>
      <c r="H58" s="240" t="s">
        <v>235</v>
      </c>
      <c r="I58" s="278">
        <v>6</v>
      </c>
      <c r="J58" s="243" t="str">
        <f>VLOOKUP(A58,ESTRATÉGICO!$C$3:$AA$110,14,0)</f>
        <v>Atender a 8300 niñas niños y adolescentes  víctimas y afectados por el conflicto armado en el marco del acuerdo de paz, la memoria, la convivencia y la reconciliación con enfoque diferencial y de género</v>
      </c>
      <c r="K58" s="278">
        <v>1</v>
      </c>
      <c r="L58" s="243" t="str">
        <f>VLOOKUP(B58,Actividades!$B$18:$I$35,8,0)</f>
        <v>Contribuir a la construcción de la memoria, la convivencia y la reconciliación en el marco del acuerdo de paz, a través de la atención de las niñas, niños y adolescentes víctimas y afectados por el conflicto armado, desde un enfoque territo</v>
      </c>
      <c r="M58" s="279">
        <v>1</v>
      </c>
      <c r="N58" s="243" t="str">
        <f>VLOOKUP(C58,Tareas!$C$18:$K$58,9,0)</f>
        <v xml:space="preserve">Implementar la Línea técnica de la Estrategia Atrapasueños </v>
      </c>
      <c r="O58" s="278">
        <v>1</v>
      </c>
      <c r="P58" s="247" t="s">
        <v>1124</v>
      </c>
      <c r="Q58" s="280" t="s">
        <v>843</v>
      </c>
      <c r="R58" s="376" t="s">
        <v>1125</v>
      </c>
      <c r="S58" s="281">
        <v>1</v>
      </c>
      <c r="T58" s="282">
        <v>0</v>
      </c>
      <c r="U58" s="282">
        <v>0.25</v>
      </c>
      <c r="V58" s="282">
        <v>0.25</v>
      </c>
      <c r="W58" s="282">
        <v>0.25</v>
      </c>
      <c r="X58" s="282">
        <v>0.25</v>
      </c>
      <c r="Y58" s="283"/>
      <c r="Z58" s="283"/>
      <c r="AA58" s="283"/>
      <c r="AB58" s="283"/>
      <c r="AC58" s="283"/>
      <c r="AD58" s="283"/>
      <c r="AE58" s="283"/>
      <c r="AF58" s="380">
        <f>SUM(Soportes[[#This Row],[Programación Plan de actividades
Enero]:[Programación Plan de actividades
Diciembre]])</f>
        <v>1</v>
      </c>
      <c r="AG58" s="381" t="str">
        <f t="shared" si="1"/>
        <v>Programación correcta</v>
      </c>
      <c r="AH58" s="284">
        <f>EJECUCIÓN!O99</f>
        <v>0</v>
      </c>
      <c r="AI58" s="284">
        <f>EJECUCIÓN!Q99</f>
        <v>0</v>
      </c>
      <c r="AJ58" s="284">
        <f>EJECUCIÓN!S99</f>
        <v>0</v>
      </c>
      <c r="AK58" s="284">
        <f>EJECUCIÓN!U99</f>
        <v>0</v>
      </c>
      <c r="AL58" s="284">
        <f>EJECUCIÓN!W99</f>
        <v>0</v>
      </c>
      <c r="AM58" s="284">
        <f>EJECUCIÓN!Y99</f>
        <v>0</v>
      </c>
      <c r="AN58" s="284">
        <f>EJECUCIÓN!AA99</f>
        <v>0</v>
      </c>
      <c r="AO58" s="284">
        <f>EJECUCIÓN!AC99</f>
        <v>0</v>
      </c>
      <c r="AP58" s="284">
        <f>EJECUCIÓN!AE99</f>
        <v>0</v>
      </c>
      <c r="AQ58" s="284">
        <f>EJECUCIÓN!AG99</f>
        <v>0</v>
      </c>
      <c r="AR58" s="284">
        <f>EJECUCIÓN!AI99</f>
        <v>0</v>
      </c>
      <c r="AS58" s="284">
        <f>EJECUCIÓN!AK99</f>
        <v>0</v>
      </c>
      <c r="AT58" s="377">
        <f>SUM(Soportes[[#This Row],[Soportes entregados Plan de actividades
Enero]:[Soportes entregados Plan de actividades
Diciembre]])</f>
        <v>0</v>
      </c>
      <c r="AU58" s="378">
        <f>+Soportes[[#This Row],[Total Ejecutado plan de actividades]]/Soportes[[#This Row],[Total programado plan de actividades]]</f>
        <v>0</v>
      </c>
    </row>
    <row r="59" spans="1:47" s="148" customFormat="1" ht="15.6" x14ac:dyDescent="0.35">
      <c r="A59" s="228" t="str">
        <f>Soportes[[#This Row],[Código proyecto]]&amp;Soportes[[#This Row],[No Meta proyecto]]</f>
        <v>77446</v>
      </c>
      <c r="B59" s="228" t="str">
        <f>Soportes[[#This Row],[Código proyecto]]&amp;Soportes[[#This Row],[No Meta proyecto]]&amp;Soportes[[#This Row],[N° de Actividad
(Consecutivo por meta)]]</f>
        <v>774461</v>
      </c>
      <c r="C59" s="228" t="str">
        <f>Soportes[[#This Row],[Código proyecto]]&amp;Soportes[[#This Row],[No Meta proyecto]]&amp;Soportes[[#This Row],[N° de Actividad
(Consecutivo por meta)]]&amp;Soportes[[#This Row],[N° de tarea]]</f>
        <v>7744612</v>
      </c>
      <c r="D59" s="229" t="str">
        <f>Soportes[[#This Row],[Código proyecto]]&amp;Soportes[[#This Row],[No Meta proyecto]]&amp;Soportes[[#This Row],[N° de Actividad
(Consecutivo por meta)]]&amp;Soportes[[#This Row],[N° de tarea]]&amp;Soportes[[#This Row],[N° de Soporte]]</f>
        <v>77446121</v>
      </c>
      <c r="E59" s="229">
        <f>Proyecto!$B$19</f>
        <v>7744</v>
      </c>
      <c r="F59" s="277" t="str">
        <f>Proyecto!$D$19</f>
        <v>Generación de Oportunidades para el Desarrollo Integral de la Niñez y la Adolescencia de Bogotá</v>
      </c>
      <c r="G59" s="230">
        <v>4102045</v>
      </c>
      <c r="H59" s="240" t="s">
        <v>235</v>
      </c>
      <c r="I59" s="278">
        <v>6</v>
      </c>
      <c r="J59" s="243" t="str">
        <f>VLOOKUP(A59,ESTRATÉGICO!$C$3:$AA$110,14,0)</f>
        <v>Atender a 8300 niñas niños y adolescentes  víctimas y afectados por el conflicto armado en el marco del acuerdo de paz, la memoria, la convivencia y la reconciliación con enfoque diferencial y de género</v>
      </c>
      <c r="K59" s="278">
        <v>1</v>
      </c>
      <c r="L59" s="243" t="str">
        <f>VLOOKUP(B59,Actividades!$B$18:$I$35,8,0)</f>
        <v>Contribuir a la construcción de la memoria, la convivencia y la reconciliación en el marco del acuerdo de paz, a través de la atención de las niñas, niños y adolescentes víctimas y afectados por el conflicto armado, desde un enfoque territo</v>
      </c>
      <c r="M59" s="279">
        <v>2</v>
      </c>
      <c r="N59" s="243" t="str">
        <f>VLOOKUP(C59,Tareas!$C$18:$K$58,9,0)</f>
        <v>Realizar (2) acciones de participación y movilización social anuales con niñas, niños y adolescentes víctimas y afectados por el conflicto armado.</v>
      </c>
      <c r="O59" s="278">
        <v>1</v>
      </c>
      <c r="P59" s="247" t="s">
        <v>1126</v>
      </c>
      <c r="Q59" s="280" t="s">
        <v>844</v>
      </c>
      <c r="R59" s="376" t="s">
        <v>1127</v>
      </c>
      <c r="S59" s="281">
        <v>1</v>
      </c>
      <c r="T59" s="282">
        <v>0</v>
      </c>
      <c r="U59" s="282">
        <v>0.25</v>
      </c>
      <c r="V59" s="282">
        <v>0.25</v>
      </c>
      <c r="W59" s="282">
        <v>0.25</v>
      </c>
      <c r="X59" s="282">
        <v>0.25</v>
      </c>
      <c r="Y59" s="283"/>
      <c r="Z59" s="283"/>
      <c r="AA59" s="283"/>
      <c r="AB59" s="283"/>
      <c r="AC59" s="283"/>
      <c r="AD59" s="283"/>
      <c r="AE59" s="283"/>
      <c r="AF59" s="380">
        <f>SUM(Soportes[[#This Row],[Programación Plan de actividades
Enero]:[Programación Plan de actividades
Diciembre]])</f>
        <v>1</v>
      </c>
      <c r="AG59" s="381" t="str">
        <f t="shared" si="1"/>
        <v>Programación correcta</v>
      </c>
      <c r="AH59" s="284">
        <f>EJECUCIÓN!O100</f>
        <v>0</v>
      </c>
      <c r="AI59" s="284">
        <f>EJECUCIÓN!Q100</f>
        <v>0</v>
      </c>
      <c r="AJ59" s="284">
        <f>EJECUCIÓN!S100</f>
        <v>0</v>
      </c>
      <c r="AK59" s="284">
        <f>EJECUCIÓN!U100</f>
        <v>0</v>
      </c>
      <c r="AL59" s="284">
        <f>EJECUCIÓN!W100</f>
        <v>0</v>
      </c>
      <c r="AM59" s="284">
        <f>EJECUCIÓN!Y100</f>
        <v>0</v>
      </c>
      <c r="AN59" s="284">
        <f>EJECUCIÓN!AA100</f>
        <v>0</v>
      </c>
      <c r="AO59" s="284">
        <f>EJECUCIÓN!AC100</f>
        <v>0</v>
      </c>
      <c r="AP59" s="284">
        <f>EJECUCIÓN!AE100</f>
        <v>0</v>
      </c>
      <c r="AQ59" s="284">
        <f>EJECUCIÓN!AG100</f>
        <v>0</v>
      </c>
      <c r="AR59" s="284">
        <f>EJECUCIÓN!AI100</f>
        <v>0</v>
      </c>
      <c r="AS59" s="284">
        <f>EJECUCIÓN!AK100</f>
        <v>0</v>
      </c>
      <c r="AT59" s="377">
        <f>SUM(Soportes[[#This Row],[Soportes entregados Plan de actividades
Enero]:[Soportes entregados Plan de actividades
Diciembre]])</f>
        <v>0</v>
      </c>
      <c r="AU59" s="378">
        <f>+Soportes[[#This Row],[Total Ejecutado plan de actividades]]/Soportes[[#This Row],[Total programado plan de actividades]]</f>
        <v>0</v>
      </c>
    </row>
    <row r="60" spans="1:47" s="148" customFormat="1" ht="15.6" x14ac:dyDescent="0.35">
      <c r="A60" s="228" t="str">
        <f>Soportes[[#This Row],[Código proyecto]]&amp;Soportes[[#This Row],[No Meta proyecto]]</f>
        <v>77446</v>
      </c>
      <c r="B60" s="228" t="str">
        <f>Soportes[[#This Row],[Código proyecto]]&amp;Soportes[[#This Row],[No Meta proyecto]]&amp;Soportes[[#This Row],[N° de Actividad
(Consecutivo por meta)]]</f>
        <v>774461</v>
      </c>
      <c r="C60" s="228" t="str">
        <f>Soportes[[#This Row],[Código proyecto]]&amp;Soportes[[#This Row],[No Meta proyecto]]&amp;Soportes[[#This Row],[N° de Actividad
(Consecutivo por meta)]]&amp;Soportes[[#This Row],[N° de tarea]]</f>
        <v>7744613</v>
      </c>
      <c r="D60" s="229" t="str">
        <f>Soportes[[#This Row],[Código proyecto]]&amp;Soportes[[#This Row],[No Meta proyecto]]&amp;Soportes[[#This Row],[N° de Actividad
(Consecutivo por meta)]]&amp;Soportes[[#This Row],[N° de tarea]]&amp;Soportes[[#This Row],[N° de Soporte]]</f>
        <v>77446131</v>
      </c>
      <c r="E60" s="229">
        <f>Proyecto!$B$19</f>
        <v>7744</v>
      </c>
      <c r="F60" s="277" t="str">
        <f>Proyecto!$D$19</f>
        <v>Generación de Oportunidades para el Desarrollo Integral de la Niñez y la Adolescencia de Bogotá</v>
      </c>
      <c r="G60" s="230">
        <v>4102045</v>
      </c>
      <c r="H60" s="240" t="s">
        <v>235</v>
      </c>
      <c r="I60" s="278">
        <v>6</v>
      </c>
      <c r="J60" s="243" t="str">
        <f>VLOOKUP(A60,ESTRATÉGICO!$C$3:$AA$110,14,0)</f>
        <v>Atender a 8300 niñas niños y adolescentes  víctimas y afectados por el conflicto armado en el marco del acuerdo de paz, la memoria, la convivencia y la reconciliación con enfoque diferencial y de género</v>
      </c>
      <c r="K60" s="278">
        <v>1</v>
      </c>
      <c r="L60" s="243" t="str">
        <f>VLOOKUP(B60,Actividades!$B$18:$I$35,8,0)</f>
        <v>Contribuir a la construcción de la memoria, la convivencia y la reconciliación en el marco del acuerdo de paz, a través de la atención de las niñas, niños y adolescentes víctimas y afectados por el conflicto armado, desde un enfoque territo</v>
      </c>
      <c r="M60" s="279">
        <v>3</v>
      </c>
      <c r="N60" s="243" t="str">
        <f>VLOOKUP(C60,Tareas!$C$18:$K$58,9,0)</f>
        <v>Implementar procesos de participación y movilización en (03) once escuelas de Memoria y Paz en las localidades priorizadas que promuevan el ejercicio de fortalecimiento del tejido social y la participación de niñas, niños y adolescentes víctimas y afectados por el conflicto armado.</v>
      </c>
      <c r="O60" s="278">
        <v>1</v>
      </c>
      <c r="P60" s="247" t="s">
        <v>1128</v>
      </c>
      <c r="Q60" s="280" t="s">
        <v>844</v>
      </c>
      <c r="R60" s="376" t="s">
        <v>1129</v>
      </c>
      <c r="S60" s="281">
        <v>1</v>
      </c>
      <c r="T60" s="282">
        <v>0</v>
      </c>
      <c r="U60" s="282">
        <v>0.25</v>
      </c>
      <c r="V60" s="282">
        <v>0.25</v>
      </c>
      <c r="W60" s="282">
        <v>0.25</v>
      </c>
      <c r="X60" s="282">
        <v>0.25</v>
      </c>
      <c r="Y60" s="283"/>
      <c r="Z60" s="283"/>
      <c r="AA60" s="283"/>
      <c r="AB60" s="283"/>
      <c r="AC60" s="283"/>
      <c r="AD60" s="283"/>
      <c r="AE60" s="283"/>
      <c r="AF60" s="380">
        <f>SUM(Soportes[[#This Row],[Programación Plan de actividades
Enero]:[Programación Plan de actividades
Diciembre]])</f>
        <v>1</v>
      </c>
      <c r="AG60" s="381" t="str">
        <f t="shared" si="1"/>
        <v>Programación correcta</v>
      </c>
      <c r="AH60" s="284">
        <f>EJECUCIÓN!O101</f>
        <v>0</v>
      </c>
      <c r="AI60" s="284">
        <f>EJECUCIÓN!Q101</f>
        <v>0</v>
      </c>
      <c r="AJ60" s="284">
        <f>EJECUCIÓN!S101</f>
        <v>0</v>
      </c>
      <c r="AK60" s="284">
        <f>EJECUCIÓN!U101</f>
        <v>0</v>
      </c>
      <c r="AL60" s="284">
        <f>EJECUCIÓN!W101</f>
        <v>0</v>
      </c>
      <c r="AM60" s="284">
        <f>EJECUCIÓN!Y101</f>
        <v>0</v>
      </c>
      <c r="AN60" s="284">
        <f>EJECUCIÓN!AA101</f>
        <v>0</v>
      </c>
      <c r="AO60" s="284">
        <f>EJECUCIÓN!AC101</f>
        <v>0</v>
      </c>
      <c r="AP60" s="284">
        <f>EJECUCIÓN!AE101</f>
        <v>0</v>
      </c>
      <c r="AQ60" s="284">
        <f>EJECUCIÓN!AG101</f>
        <v>0</v>
      </c>
      <c r="AR60" s="284">
        <f>EJECUCIÓN!AI101</f>
        <v>0</v>
      </c>
      <c r="AS60" s="284">
        <f>EJECUCIÓN!AK101</f>
        <v>0</v>
      </c>
      <c r="AT60" s="377">
        <f>SUM(Soportes[[#This Row],[Soportes entregados Plan de actividades
Enero]:[Soportes entregados Plan de actividades
Diciembre]])</f>
        <v>0</v>
      </c>
      <c r="AU60" s="378">
        <f>+Soportes[[#This Row],[Total Ejecutado plan de actividades]]/Soportes[[#This Row],[Total programado plan de actividades]]</f>
        <v>0</v>
      </c>
    </row>
    <row r="61" spans="1:47" x14ac:dyDescent="0.3">
      <c r="A61" s="228" t="e">
        <f>Soportes[[#This Row],[Código proyecto]]&amp;Soportes[[#This Row],[No Meta proyecto]]</f>
        <v>#VALUE!</v>
      </c>
      <c r="B61" s="228" t="e">
        <f>Soportes[[#This Row],[Código proyecto]]&amp;Soportes[[#This Row],[No Meta proyecto]]&amp;Soportes[[#This Row],[N° de Actividad
(Consecutivo por meta)]]</f>
        <v>#VALUE!</v>
      </c>
      <c r="C61" s="228" t="e">
        <f>Soportes[[#This Row],[Código proyecto]]&amp;Soportes[[#This Row],[No Meta proyecto]]&amp;Soportes[[#This Row],[N° de Actividad
(Consecutivo por meta)]]&amp;Soportes[[#This Row],[N° de tarea]]</f>
        <v>#VALUE!</v>
      </c>
      <c r="D61" s="20" t="s">
        <v>845</v>
      </c>
      <c r="E61" s="20"/>
      <c r="F61" s="20"/>
      <c r="G61" s="10"/>
      <c r="H61" s="20"/>
      <c r="I61" s="10"/>
      <c r="J61" s="20"/>
      <c r="K61" s="10"/>
      <c r="L61" s="20"/>
      <c r="M61" s="10"/>
      <c r="N61" s="20"/>
      <c r="O61" s="10"/>
      <c r="P61" s="10"/>
      <c r="Q61" s="10"/>
      <c r="R61" s="10"/>
      <c r="S61" s="303">
        <f>SUBTOTAL(109,Soportes[Ponderación del soporte para la tarea ( la suma de los % debe dar 100% para la tarea))])</f>
        <v>41</v>
      </c>
      <c r="T61" s="10"/>
      <c r="U61" s="10"/>
      <c r="V61" s="10"/>
      <c r="W61" s="10"/>
      <c r="X61" s="10"/>
      <c r="Y61" s="10"/>
      <c r="Z61" s="10"/>
      <c r="AA61" s="10"/>
      <c r="AB61" s="10"/>
      <c r="AC61" s="10"/>
      <c r="AD61" s="10"/>
      <c r="AE61" s="10"/>
      <c r="AF61" s="296">
        <f>SUBTOTAL(109,Soportes[Total programado plan de actividades])</f>
        <v>41</v>
      </c>
      <c r="AG61" s="10">
        <f>SUBTOTAL(103,Soportes[Validación (El total de la programación vigencia, debe ser igual al valor ponderado para la tarea)])</f>
        <v>43</v>
      </c>
      <c r="AH61" s="10"/>
      <c r="AI61" s="10"/>
      <c r="AJ61" s="10"/>
      <c r="AK61" s="10"/>
      <c r="AL61" s="10"/>
      <c r="AM61" s="10"/>
      <c r="AN61" s="10"/>
      <c r="AO61" s="10"/>
      <c r="AP61" s="10"/>
      <c r="AQ61" s="10"/>
      <c r="AR61" s="10"/>
      <c r="AS61" s="10"/>
      <c r="AT61" s="297">
        <f>SUBTOTAL(109,Soportes[Total Ejecutado plan de actividades])</f>
        <v>0</v>
      </c>
      <c r="AU61" s="10"/>
    </row>
    <row r="62" spans="1:47" x14ac:dyDescent="0.3">
      <c r="A62" s="228" t="e">
        <f>Soportes[[#This Row],[Código proyecto]]&amp;Soportes[[#This Row],[No Meta proyecto]]</f>
        <v>#VALUE!</v>
      </c>
      <c r="B62" s="228" t="e">
        <f>Soportes[[#This Row],[Código proyecto]]&amp;Soportes[[#This Row],[No Meta proyecto]]&amp;Soportes[[#This Row],[N° de Actividad
(Consecutivo por meta)]]</f>
        <v>#VALUE!</v>
      </c>
      <c r="C62" s="228" t="e">
        <f>Soportes[[#This Row],[Código proyecto]]&amp;Soportes[[#This Row],[No Meta proyecto]]&amp;Soportes[[#This Row],[N° de Actividad
(Consecutivo por meta)]]&amp;Soportes[[#This Row],[N° de tarea]]</f>
        <v>#VALUE!</v>
      </c>
      <c r="S62" s="302"/>
    </row>
    <row r="63" spans="1:47" x14ac:dyDescent="0.3">
      <c r="A63" s="228" t="e">
        <f>Soportes[[#This Row],[Código proyecto]]&amp;Soportes[[#This Row],[No Meta proyecto]]</f>
        <v>#VALUE!</v>
      </c>
      <c r="B63" s="228" t="e">
        <f>Soportes[[#This Row],[Código proyecto]]&amp;Soportes[[#This Row],[No Meta proyecto]]&amp;Soportes[[#This Row],[N° de Actividad
(Consecutivo por meta)]]</f>
        <v>#VALUE!</v>
      </c>
      <c r="C63" s="228" t="e">
        <f>Soportes[[#This Row],[Código proyecto]]&amp;Soportes[[#This Row],[No Meta proyecto]]&amp;Soportes[[#This Row],[N° de Actividad
(Consecutivo por meta)]]&amp;Soportes[[#This Row],[N° de tarea]]</f>
        <v>#VALUE!</v>
      </c>
    </row>
    <row r="64" spans="1:47" x14ac:dyDescent="0.3">
      <c r="A64" s="228" t="e">
        <f>Soportes[[#This Row],[Código proyecto]]&amp;Soportes[[#This Row],[No Meta proyecto]]</f>
        <v>#VALUE!</v>
      </c>
      <c r="B64" s="228" t="e">
        <f>Soportes[[#This Row],[Código proyecto]]&amp;Soportes[[#This Row],[No Meta proyecto]]&amp;Soportes[[#This Row],[N° de Actividad
(Consecutivo por meta)]]</f>
        <v>#VALUE!</v>
      </c>
      <c r="C64" s="228" t="e">
        <f>Soportes[[#This Row],[Código proyecto]]&amp;Soportes[[#This Row],[No Meta proyecto]]&amp;Soportes[[#This Row],[N° de Actividad
(Consecutivo por meta)]]&amp;Soportes[[#This Row],[N° de tarea]]</f>
        <v>#VALUE!</v>
      </c>
    </row>
    <row r="65" spans="1:46" x14ac:dyDescent="0.3">
      <c r="A65" s="228" t="e">
        <f>Soportes[[#This Row],[Código proyecto]]&amp;Soportes[[#This Row],[No Meta proyecto]]</f>
        <v>#VALUE!</v>
      </c>
      <c r="B65" s="228" t="e">
        <f>Soportes[[#This Row],[Código proyecto]]&amp;Soportes[[#This Row],[No Meta proyecto]]&amp;Soportes[[#This Row],[N° de Actividad
(Consecutivo por meta)]]</f>
        <v>#VALUE!</v>
      </c>
      <c r="C65" s="228" t="e">
        <f>Soportes[[#This Row],[Código proyecto]]&amp;Soportes[[#This Row],[No Meta proyecto]]&amp;Soportes[[#This Row],[N° de Actividad
(Consecutivo por meta)]]&amp;Soportes[[#This Row],[N° de tarea]]</f>
        <v>#VALUE!</v>
      </c>
    </row>
    <row r="66" spans="1:46" x14ac:dyDescent="0.3">
      <c r="A66" s="228" t="e">
        <f>Soportes[[#This Row],[Código proyecto]]&amp;Soportes[[#This Row],[No Meta proyecto]]</f>
        <v>#VALUE!</v>
      </c>
      <c r="B66" s="228" t="e">
        <f>Soportes[[#This Row],[Código proyecto]]&amp;Soportes[[#This Row],[No Meta proyecto]]&amp;Soportes[[#This Row],[N° de Actividad
(Consecutivo por meta)]]</f>
        <v>#VALUE!</v>
      </c>
      <c r="C66" s="228" t="e">
        <f>Soportes[[#This Row],[Código proyecto]]&amp;Soportes[[#This Row],[No Meta proyecto]]&amp;Soportes[[#This Row],[N° de Actividad
(Consecutivo por meta)]]&amp;Soportes[[#This Row],[N° de tarea]]</f>
        <v>#VALUE!</v>
      </c>
    </row>
    <row r="67" spans="1:46" x14ac:dyDescent="0.3">
      <c r="A67" s="228" t="e">
        <f>Soportes[[#This Row],[Código proyecto]]&amp;Soportes[[#This Row],[No Meta proyecto]]</f>
        <v>#VALUE!</v>
      </c>
      <c r="B67" s="228" t="e">
        <f>Soportes[[#This Row],[Código proyecto]]&amp;Soportes[[#This Row],[No Meta proyecto]]&amp;Soportes[[#This Row],[N° de Actividad
(Consecutivo por meta)]]</f>
        <v>#VALUE!</v>
      </c>
      <c r="C67" s="228" t="e">
        <f>Soportes[[#This Row],[Código proyecto]]&amp;Soportes[[#This Row],[No Meta proyecto]]&amp;Soportes[[#This Row],[N° de Actividad
(Consecutivo por meta)]]&amp;Soportes[[#This Row],[N° de tarea]]</f>
        <v>#VALUE!</v>
      </c>
    </row>
    <row r="68" spans="1:46" x14ac:dyDescent="0.3">
      <c r="A68" s="228" t="e">
        <f>Soportes[[#This Row],[Código proyecto]]&amp;Soportes[[#This Row],[No Meta proyecto]]</f>
        <v>#VALUE!</v>
      </c>
      <c r="B68" s="228" t="e">
        <f>Soportes[[#This Row],[Código proyecto]]&amp;Soportes[[#This Row],[No Meta proyecto]]&amp;Soportes[[#This Row],[N° de Actividad
(Consecutivo por meta)]]</f>
        <v>#VALUE!</v>
      </c>
      <c r="C68" s="228" t="e">
        <f>Soportes[[#This Row],[Código proyecto]]&amp;Soportes[[#This Row],[No Meta proyecto]]&amp;Soportes[[#This Row],[N° de Actividad
(Consecutivo por meta)]]&amp;Soportes[[#This Row],[N° de tarea]]</f>
        <v>#VALUE!</v>
      </c>
    </row>
    <row r="69" spans="1:46" x14ac:dyDescent="0.3">
      <c r="A69" s="228" t="e">
        <f>Soportes[[#This Row],[Código proyecto]]&amp;Soportes[[#This Row],[No Meta proyecto]]</f>
        <v>#VALUE!</v>
      </c>
      <c r="B69" s="228" t="e">
        <f>Soportes[[#This Row],[Código proyecto]]&amp;Soportes[[#This Row],[No Meta proyecto]]&amp;Soportes[[#This Row],[N° de Actividad
(Consecutivo por meta)]]</f>
        <v>#VALUE!</v>
      </c>
      <c r="C69" s="228" t="e">
        <f>Soportes[[#This Row],[Código proyecto]]&amp;Soportes[[#This Row],[No Meta proyecto]]&amp;Soportes[[#This Row],[N° de Actividad
(Consecutivo por meta)]]&amp;Soportes[[#This Row],[N° de tarea]]</f>
        <v>#VALUE!</v>
      </c>
    </row>
    <row r="70" spans="1:46" x14ac:dyDescent="0.3">
      <c r="A70" s="228" t="e">
        <f>Soportes[[#This Row],[Código proyecto]]&amp;Soportes[[#This Row],[No Meta proyecto]]</f>
        <v>#VALUE!</v>
      </c>
      <c r="B70" s="228" t="e">
        <f>Soportes[[#This Row],[Código proyecto]]&amp;Soportes[[#This Row],[No Meta proyecto]]&amp;Soportes[[#This Row],[N° de Actividad
(Consecutivo por meta)]]</f>
        <v>#VALUE!</v>
      </c>
      <c r="C70" s="228" t="e">
        <f>Soportes[[#This Row],[Código proyecto]]&amp;Soportes[[#This Row],[No Meta proyecto]]&amp;Soportes[[#This Row],[N° de Actividad
(Consecutivo por meta)]]&amp;Soportes[[#This Row],[N° de tarea]]</f>
        <v>#VALUE!</v>
      </c>
    </row>
    <row r="71" spans="1:46" x14ac:dyDescent="0.3">
      <c r="A71" s="228" t="e">
        <f>Soportes[[#This Row],[Código proyecto]]&amp;Soportes[[#This Row],[No Meta proyecto]]</f>
        <v>#VALUE!</v>
      </c>
      <c r="B71" s="228" t="e">
        <f>Soportes[[#This Row],[Código proyecto]]&amp;Soportes[[#This Row],[No Meta proyecto]]&amp;Soportes[[#This Row],[N° de Actividad
(Consecutivo por meta)]]</f>
        <v>#VALUE!</v>
      </c>
      <c r="C71" s="228" t="e">
        <f>Soportes[[#This Row],[Código proyecto]]&amp;Soportes[[#This Row],[No Meta proyecto]]&amp;Soportes[[#This Row],[N° de Actividad
(Consecutivo por meta)]]&amp;Soportes[[#This Row],[N° de tarea]]</f>
        <v>#VALUE!</v>
      </c>
    </row>
    <row r="72" spans="1:46" x14ac:dyDescent="0.3">
      <c r="A72" s="228" t="e">
        <f>Soportes[[#This Row],[Código proyecto]]&amp;Soportes[[#This Row],[No Meta proyecto]]</f>
        <v>#VALUE!</v>
      </c>
      <c r="B72" s="228" t="e">
        <f>Soportes[[#This Row],[Código proyecto]]&amp;Soportes[[#This Row],[No Meta proyecto]]&amp;Soportes[[#This Row],[N° de Actividad
(Consecutivo por meta)]]</f>
        <v>#VALUE!</v>
      </c>
      <c r="C72" s="228" t="e">
        <f>Soportes[[#This Row],[Código proyecto]]&amp;Soportes[[#This Row],[No Meta proyecto]]&amp;Soportes[[#This Row],[N° de Actividad
(Consecutivo por meta)]]&amp;Soportes[[#This Row],[N° de tarea]]</f>
        <v>#VALUE!</v>
      </c>
    </row>
    <row r="73" spans="1:46" x14ac:dyDescent="0.3">
      <c r="A73" s="228" t="e">
        <f>Soportes[[#This Row],[Código proyecto]]&amp;Soportes[[#This Row],[No Meta proyecto]]</f>
        <v>#VALUE!</v>
      </c>
      <c r="B73" s="228" t="e">
        <f>Soportes[[#This Row],[Código proyecto]]&amp;Soportes[[#This Row],[No Meta proyecto]]&amp;Soportes[[#This Row],[N° de Actividad
(Consecutivo por meta)]]</f>
        <v>#VALUE!</v>
      </c>
      <c r="C73" s="228" t="e">
        <f>Soportes[[#This Row],[Código proyecto]]&amp;Soportes[[#This Row],[No Meta proyecto]]&amp;Soportes[[#This Row],[N° de Actividad
(Consecutivo por meta)]]&amp;Soportes[[#This Row],[N° de tarea]]</f>
        <v>#VALUE!</v>
      </c>
    </row>
    <row r="74" spans="1:46" x14ac:dyDescent="0.3">
      <c r="A74" s="228" t="e">
        <f>Soportes[[#This Row],[Código proyecto]]&amp;Soportes[[#This Row],[No Meta proyecto]]</f>
        <v>#VALUE!</v>
      </c>
      <c r="B74" s="228" t="e">
        <f>Soportes[[#This Row],[Código proyecto]]&amp;Soportes[[#This Row],[No Meta proyecto]]&amp;Soportes[[#This Row],[N° de Actividad
(Consecutivo por meta)]]</f>
        <v>#VALUE!</v>
      </c>
      <c r="C74" s="228" t="e">
        <f>Soportes[[#This Row],[Código proyecto]]&amp;Soportes[[#This Row],[No Meta proyecto]]&amp;Soportes[[#This Row],[N° de Actividad
(Consecutivo por meta)]]&amp;Soportes[[#This Row],[N° de tarea]]</f>
        <v>#VALUE!</v>
      </c>
    </row>
    <row r="75" spans="1:46" x14ac:dyDescent="0.3">
      <c r="A75" s="228" t="e">
        <f>Soportes[[#This Row],[Código proyecto]]&amp;Soportes[[#This Row],[No Meta proyecto]]</f>
        <v>#VALUE!</v>
      </c>
      <c r="B75" s="228" t="e">
        <f>Soportes[[#This Row],[Código proyecto]]&amp;Soportes[[#This Row],[No Meta proyecto]]&amp;Soportes[[#This Row],[N° de Actividad
(Consecutivo por meta)]]</f>
        <v>#VALUE!</v>
      </c>
      <c r="C75" s="228" t="e">
        <f>Soportes[[#This Row],[Código proyecto]]&amp;Soportes[[#This Row],[No Meta proyecto]]&amp;Soportes[[#This Row],[N° de Actividad
(Consecutivo por meta)]]&amp;Soportes[[#This Row],[N° de tarea]]</f>
        <v>#VALUE!</v>
      </c>
      <c r="AT75" s="49" t="e">
        <f>#REF!/2</f>
        <v>#REF!</v>
      </c>
    </row>
    <row r="76" spans="1:46" x14ac:dyDescent="0.3">
      <c r="A76" s="228" t="e">
        <f>Soportes[[#This Row],[Código proyecto]]&amp;Soportes[[#This Row],[No Meta proyecto]]</f>
        <v>#VALUE!</v>
      </c>
      <c r="B76" s="228" t="e">
        <f>Soportes[[#This Row],[Código proyecto]]&amp;Soportes[[#This Row],[No Meta proyecto]]&amp;Soportes[[#This Row],[N° de Actividad
(Consecutivo por meta)]]</f>
        <v>#VALUE!</v>
      </c>
      <c r="C76" s="228" t="e">
        <f>Soportes[[#This Row],[Código proyecto]]&amp;Soportes[[#This Row],[No Meta proyecto]]&amp;Soportes[[#This Row],[N° de Actividad
(Consecutivo por meta)]]&amp;Soportes[[#This Row],[N° de tarea]]</f>
        <v>#VALUE!</v>
      </c>
    </row>
    <row r="77" spans="1:46" x14ac:dyDescent="0.3">
      <c r="A77" s="228" t="e">
        <f>Soportes[[#This Row],[Código proyecto]]&amp;Soportes[[#This Row],[No Meta proyecto]]</f>
        <v>#VALUE!</v>
      </c>
      <c r="B77" s="228" t="e">
        <f>Soportes[[#This Row],[Código proyecto]]&amp;Soportes[[#This Row],[No Meta proyecto]]&amp;Soportes[[#This Row],[N° de Actividad
(Consecutivo por meta)]]</f>
        <v>#VALUE!</v>
      </c>
      <c r="C77" s="228" t="e">
        <f>Soportes[[#This Row],[Código proyecto]]&amp;Soportes[[#This Row],[No Meta proyecto]]&amp;Soportes[[#This Row],[N° de Actividad
(Consecutivo por meta)]]&amp;Soportes[[#This Row],[N° de tarea]]</f>
        <v>#VALUE!</v>
      </c>
    </row>
    <row r="78" spans="1:46" x14ac:dyDescent="0.3">
      <c r="A78" s="228" t="e">
        <f>Soportes[[#This Row],[Código proyecto]]&amp;Soportes[[#This Row],[No Meta proyecto]]</f>
        <v>#VALUE!</v>
      </c>
      <c r="B78" s="228" t="e">
        <f>Soportes[[#This Row],[Código proyecto]]&amp;Soportes[[#This Row],[No Meta proyecto]]&amp;Soportes[[#This Row],[N° de Actividad
(Consecutivo por meta)]]</f>
        <v>#VALUE!</v>
      </c>
      <c r="C78" s="228" t="e">
        <f>Soportes[[#This Row],[Código proyecto]]&amp;Soportes[[#This Row],[No Meta proyecto]]&amp;Soportes[[#This Row],[N° de Actividad
(Consecutivo por meta)]]&amp;Soportes[[#This Row],[N° de tarea]]</f>
        <v>#VALUE!</v>
      </c>
    </row>
    <row r="79" spans="1:46" x14ac:dyDescent="0.3">
      <c r="A79" s="228" t="e">
        <f>Soportes[[#This Row],[Código proyecto]]&amp;Soportes[[#This Row],[No Meta proyecto]]</f>
        <v>#VALUE!</v>
      </c>
      <c r="B79" s="228" t="e">
        <f>Soportes[[#This Row],[Código proyecto]]&amp;Soportes[[#This Row],[No Meta proyecto]]&amp;Soportes[[#This Row],[N° de Actividad
(Consecutivo por meta)]]</f>
        <v>#VALUE!</v>
      </c>
      <c r="C79" s="228" t="e">
        <f>Soportes[[#This Row],[Código proyecto]]&amp;Soportes[[#This Row],[No Meta proyecto]]&amp;Soportes[[#This Row],[N° de Actividad
(Consecutivo por meta)]]&amp;Soportes[[#This Row],[N° de tarea]]</f>
        <v>#VALUE!</v>
      </c>
    </row>
    <row r="80" spans="1:46" x14ac:dyDescent="0.3">
      <c r="A80" s="228" t="e">
        <f>Soportes[[#This Row],[Código proyecto]]&amp;Soportes[[#This Row],[No Meta proyecto]]</f>
        <v>#VALUE!</v>
      </c>
      <c r="B80" s="228" t="e">
        <f>Soportes[[#This Row],[Código proyecto]]&amp;Soportes[[#This Row],[No Meta proyecto]]&amp;Soportes[[#This Row],[N° de Actividad
(Consecutivo por meta)]]</f>
        <v>#VALUE!</v>
      </c>
      <c r="C80" s="228" t="e">
        <f>Soportes[[#This Row],[Código proyecto]]&amp;Soportes[[#This Row],[No Meta proyecto]]&amp;Soportes[[#This Row],[N° de Actividad
(Consecutivo por meta)]]&amp;Soportes[[#This Row],[N° de tarea]]</f>
        <v>#VALUE!</v>
      </c>
    </row>
    <row r="81" spans="1:3" x14ac:dyDescent="0.3">
      <c r="A81" s="228" t="e">
        <f>Soportes[[#This Row],[Código proyecto]]&amp;Soportes[[#This Row],[No Meta proyecto]]</f>
        <v>#VALUE!</v>
      </c>
      <c r="B81" s="228" t="e">
        <f>Soportes[[#This Row],[Código proyecto]]&amp;Soportes[[#This Row],[No Meta proyecto]]&amp;Soportes[[#This Row],[N° de Actividad
(Consecutivo por meta)]]</f>
        <v>#VALUE!</v>
      </c>
      <c r="C81" s="228" t="e">
        <f>Soportes[[#This Row],[Código proyecto]]&amp;Soportes[[#This Row],[No Meta proyecto]]&amp;Soportes[[#This Row],[N° de Actividad
(Consecutivo por meta)]]&amp;Soportes[[#This Row],[N° de tarea]]</f>
        <v>#VALUE!</v>
      </c>
    </row>
    <row r="82" spans="1:3" x14ac:dyDescent="0.3">
      <c r="A82" s="228" t="e">
        <f>Soportes[[#This Row],[Código proyecto]]&amp;Soportes[[#This Row],[No Meta proyecto]]</f>
        <v>#VALUE!</v>
      </c>
      <c r="B82" s="228" t="e">
        <f>Soportes[[#This Row],[Código proyecto]]&amp;Soportes[[#This Row],[No Meta proyecto]]&amp;Soportes[[#This Row],[N° de Actividad
(Consecutivo por meta)]]</f>
        <v>#VALUE!</v>
      </c>
      <c r="C82" s="228" t="e">
        <f>Soportes[[#This Row],[Código proyecto]]&amp;Soportes[[#This Row],[No Meta proyecto]]&amp;Soportes[[#This Row],[N° de Actividad
(Consecutivo por meta)]]&amp;Soportes[[#This Row],[N° de tarea]]</f>
        <v>#VALUE!</v>
      </c>
    </row>
    <row r="83" spans="1:3" x14ac:dyDescent="0.3">
      <c r="A83" s="228" t="e">
        <f>Soportes[[#This Row],[Código proyecto]]&amp;Soportes[[#This Row],[No Meta proyecto]]</f>
        <v>#VALUE!</v>
      </c>
      <c r="B83" s="228" t="e">
        <f>Soportes[[#This Row],[Código proyecto]]&amp;Soportes[[#This Row],[No Meta proyecto]]&amp;Soportes[[#This Row],[N° de Actividad
(Consecutivo por meta)]]</f>
        <v>#VALUE!</v>
      </c>
      <c r="C83" s="228" t="e">
        <f>Soportes[[#This Row],[Código proyecto]]&amp;Soportes[[#This Row],[No Meta proyecto]]&amp;Soportes[[#This Row],[N° de Actividad
(Consecutivo por meta)]]&amp;Soportes[[#This Row],[N° de tarea]]</f>
        <v>#VALUE!</v>
      </c>
    </row>
    <row r="84" spans="1:3" x14ac:dyDescent="0.3">
      <c r="A84" s="228" t="e">
        <f>Soportes[[#This Row],[Código proyecto]]&amp;Soportes[[#This Row],[No Meta proyecto]]</f>
        <v>#VALUE!</v>
      </c>
      <c r="B84" s="228" t="e">
        <f>Soportes[[#This Row],[Código proyecto]]&amp;Soportes[[#This Row],[No Meta proyecto]]&amp;Soportes[[#This Row],[N° de Actividad
(Consecutivo por meta)]]</f>
        <v>#VALUE!</v>
      </c>
      <c r="C84" s="228" t="e">
        <f>Soportes[[#This Row],[Código proyecto]]&amp;Soportes[[#This Row],[No Meta proyecto]]&amp;Soportes[[#This Row],[N° de Actividad
(Consecutivo por meta)]]&amp;Soportes[[#This Row],[N° de tarea]]</f>
        <v>#VALUE!</v>
      </c>
    </row>
    <row r="85" spans="1:3" x14ac:dyDescent="0.3">
      <c r="A85" s="228" t="e">
        <f>Soportes[[#This Row],[Código proyecto]]&amp;Soportes[[#This Row],[No Meta proyecto]]</f>
        <v>#VALUE!</v>
      </c>
      <c r="B85" s="228" t="e">
        <f>Soportes[[#This Row],[Código proyecto]]&amp;Soportes[[#This Row],[No Meta proyecto]]&amp;Soportes[[#This Row],[N° de Actividad
(Consecutivo por meta)]]</f>
        <v>#VALUE!</v>
      </c>
      <c r="C85" s="228" t="e">
        <f>Soportes[[#This Row],[Código proyecto]]&amp;Soportes[[#This Row],[No Meta proyecto]]&amp;Soportes[[#This Row],[N° de Actividad
(Consecutivo por meta)]]&amp;Soportes[[#This Row],[N° de tarea]]</f>
        <v>#VALUE!</v>
      </c>
    </row>
    <row r="86" spans="1:3" x14ac:dyDescent="0.3">
      <c r="A86" s="228" t="e">
        <f>Soportes[[#This Row],[Código proyecto]]&amp;Soportes[[#This Row],[No Meta proyecto]]</f>
        <v>#VALUE!</v>
      </c>
      <c r="B86" s="228" t="e">
        <f>Soportes[[#This Row],[Código proyecto]]&amp;Soportes[[#This Row],[No Meta proyecto]]&amp;Soportes[[#This Row],[N° de Actividad
(Consecutivo por meta)]]</f>
        <v>#VALUE!</v>
      </c>
      <c r="C86" s="228" t="e">
        <f>Soportes[[#This Row],[Código proyecto]]&amp;Soportes[[#This Row],[No Meta proyecto]]&amp;Soportes[[#This Row],[N° de Actividad
(Consecutivo por meta)]]&amp;Soportes[[#This Row],[N° de tarea]]</f>
        <v>#VALUE!</v>
      </c>
    </row>
    <row r="87" spans="1:3" x14ac:dyDescent="0.3">
      <c r="A87" s="228" t="e">
        <f>Soportes[[#This Row],[Código proyecto]]&amp;Soportes[[#This Row],[No Meta proyecto]]</f>
        <v>#VALUE!</v>
      </c>
      <c r="B87" s="228" t="e">
        <f>Soportes[[#This Row],[Código proyecto]]&amp;Soportes[[#This Row],[No Meta proyecto]]&amp;Soportes[[#This Row],[N° de Actividad
(Consecutivo por meta)]]</f>
        <v>#VALUE!</v>
      </c>
      <c r="C87" s="228" t="e">
        <f>Soportes[[#This Row],[Código proyecto]]&amp;Soportes[[#This Row],[No Meta proyecto]]&amp;Soportes[[#This Row],[N° de Actividad
(Consecutivo por meta)]]&amp;Soportes[[#This Row],[N° de tarea]]</f>
        <v>#VALUE!</v>
      </c>
    </row>
    <row r="88" spans="1:3" x14ac:dyDescent="0.3">
      <c r="A88" s="228" t="e">
        <f>Soportes[[#This Row],[Código proyecto]]&amp;Soportes[[#This Row],[No Meta proyecto]]</f>
        <v>#VALUE!</v>
      </c>
      <c r="B88" s="228" t="e">
        <f>Soportes[[#This Row],[Código proyecto]]&amp;Soportes[[#This Row],[No Meta proyecto]]&amp;Soportes[[#This Row],[N° de Actividad
(Consecutivo por meta)]]</f>
        <v>#VALUE!</v>
      </c>
      <c r="C88" s="228" t="e">
        <f>Soportes[[#This Row],[Código proyecto]]&amp;Soportes[[#This Row],[No Meta proyecto]]&amp;Soportes[[#This Row],[N° de Actividad
(Consecutivo por meta)]]&amp;Soportes[[#This Row],[N° de tarea]]</f>
        <v>#VALUE!</v>
      </c>
    </row>
    <row r="89" spans="1:3" x14ac:dyDescent="0.3">
      <c r="A89" s="228" t="e">
        <f>Soportes[[#This Row],[Código proyecto]]&amp;Soportes[[#This Row],[No Meta proyecto]]</f>
        <v>#VALUE!</v>
      </c>
      <c r="B89" s="228" t="e">
        <f>Soportes[[#This Row],[Código proyecto]]&amp;Soportes[[#This Row],[No Meta proyecto]]&amp;Soportes[[#This Row],[N° de Actividad
(Consecutivo por meta)]]</f>
        <v>#VALUE!</v>
      </c>
      <c r="C89" s="228" t="e">
        <f>Soportes[[#This Row],[Código proyecto]]&amp;Soportes[[#This Row],[No Meta proyecto]]&amp;Soportes[[#This Row],[N° de Actividad
(Consecutivo por meta)]]&amp;Soportes[[#This Row],[N° de tarea]]</f>
        <v>#VALUE!</v>
      </c>
    </row>
    <row r="90" spans="1:3" x14ac:dyDescent="0.3">
      <c r="A90" s="228" t="e">
        <f>Soportes[[#This Row],[Código proyecto]]&amp;Soportes[[#This Row],[No Meta proyecto]]</f>
        <v>#VALUE!</v>
      </c>
      <c r="B90" s="228" t="e">
        <f>Soportes[[#This Row],[Código proyecto]]&amp;Soportes[[#This Row],[No Meta proyecto]]&amp;Soportes[[#This Row],[N° de Actividad
(Consecutivo por meta)]]</f>
        <v>#VALUE!</v>
      </c>
      <c r="C90" s="228" t="e">
        <f>Soportes[[#This Row],[Código proyecto]]&amp;Soportes[[#This Row],[No Meta proyecto]]&amp;Soportes[[#This Row],[N° de Actividad
(Consecutivo por meta)]]&amp;Soportes[[#This Row],[N° de tarea]]</f>
        <v>#VALUE!</v>
      </c>
    </row>
    <row r="91" spans="1:3" x14ac:dyDescent="0.3">
      <c r="A91" s="228" t="e">
        <f>Soportes[[#This Row],[Código proyecto]]&amp;Soportes[[#This Row],[No Meta proyecto]]</f>
        <v>#VALUE!</v>
      </c>
      <c r="B91" s="228" t="e">
        <f>Soportes[[#This Row],[Código proyecto]]&amp;Soportes[[#This Row],[No Meta proyecto]]&amp;Soportes[[#This Row],[N° de Actividad
(Consecutivo por meta)]]</f>
        <v>#VALUE!</v>
      </c>
      <c r="C91" s="228" t="e">
        <f>Soportes[[#This Row],[Código proyecto]]&amp;Soportes[[#This Row],[No Meta proyecto]]&amp;Soportes[[#This Row],[N° de Actividad
(Consecutivo por meta)]]&amp;Soportes[[#This Row],[N° de tarea]]</f>
        <v>#VALUE!</v>
      </c>
    </row>
    <row r="92" spans="1:3" x14ac:dyDescent="0.3">
      <c r="A92" s="228" t="e">
        <f>Soportes[[#This Row],[Código proyecto]]&amp;Soportes[[#This Row],[No Meta proyecto]]</f>
        <v>#VALUE!</v>
      </c>
      <c r="B92" s="228" t="e">
        <f>Soportes[[#This Row],[Código proyecto]]&amp;Soportes[[#This Row],[No Meta proyecto]]&amp;Soportes[[#This Row],[N° de Actividad
(Consecutivo por meta)]]</f>
        <v>#VALUE!</v>
      </c>
      <c r="C92" s="228" t="e">
        <f>Soportes[[#This Row],[Código proyecto]]&amp;Soportes[[#This Row],[No Meta proyecto]]&amp;Soportes[[#This Row],[N° de Actividad
(Consecutivo por meta)]]&amp;Soportes[[#This Row],[N° de tarea]]</f>
        <v>#VALUE!</v>
      </c>
    </row>
    <row r="93" spans="1:3" x14ac:dyDescent="0.3">
      <c r="A93" s="228" t="e">
        <f>Soportes[[#This Row],[Código proyecto]]&amp;Soportes[[#This Row],[No Meta proyecto]]</f>
        <v>#VALUE!</v>
      </c>
      <c r="B93" s="228" t="e">
        <f>Soportes[[#This Row],[Código proyecto]]&amp;Soportes[[#This Row],[No Meta proyecto]]&amp;Soportes[[#This Row],[N° de Actividad
(Consecutivo por meta)]]</f>
        <v>#VALUE!</v>
      </c>
      <c r="C93" s="228" t="e">
        <f>Soportes[[#This Row],[Código proyecto]]&amp;Soportes[[#This Row],[No Meta proyecto]]&amp;Soportes[[#This Row],[N° de Actividad
(Consecutivo por meta)]]&amp;Soportes[[#This Row],[N° de tarea]]</f>
        <v>#VALUE!</v>
      </c>
    </row>
    <row r="94" spans="1:3" x14ac:dyDescent="0.3">
      <c r="A94" s="228" t="e">
        <f>Soportes[[#This Row],[Código proyecto]]&amp;Soportes[[#This Row],[No Meta proyecto]]</f>
        <v>#VALUE!</v>
      </c>
      <c r="B94" s="228" t="e">
        <f>Soportes[[#This Row],[Código proyecto]]&amp;Soportes[[#This Row],[No Meta proyecto]]&amp;Soportes[[#This Row],[N° de Actividad
(Consecutivo por meta)]]</f>
        <v>#VALUE!</v>
      </c>
      <c r="C94" s="228" t="e">
        <f>Soportes[[#This Row],[Código proyecto]]&amp;Soportes[[#This Row],[No Meta proyecto]]&amp;Soportes[[#This Row],[N° de Actividad
(Consecutivo por meta)]]&amp;Soportes[[#This Row],[N° de tarea]]</f>
        <v>#VALUE!</v>
      </c>
    </row>
    <row r="95" spans="1:3" x14ac:dyDescent="0.3">
      <c r="A95" s="228" t="e">
        <f>Soportes[[#This Row],[Código proyecto]]&amp;Soportes[[#This Row],[No Meta proyecto]]</f>
        <v>#VALUE!</v>
      </c>
      <c r="B95" s="228" t="e">
        <f>Soportes[[#This Row],[Código proyecto]]&amp;Soportes[[#This Row],[No Meta proyecto]]&amp;Soportes[[#This Row],[N° de Actividad
(Consecutivo por meta)]]</f>
        <v>#VALUE!</v>
      </c>
      <c r="C95" s="228" t="e">
        <f>Soportes[[#This Row],[Código proyecto]]&amp;Soportes[[#This Row],[No Meta proyecto]]&amp;Soportes[[#This Row],[N° de Actividad
(Consecutivo por meta)]]&amp;Soportes[[#This Row],[N° de tarea]]</f>
        <v>#VALUE!</v>
      </c>
    </row>
    <row r="96" spans="1:3" x14ac:dyDescent="0.3">
      <c r="A96" s="228" t="e">
        <f>Soportes[[#This Row],[Código proyecto]]&amp;Soportes[[#This Row],[No Meta proyecto]]</f>
        <v>#VALUE!</v>
      </c>
      <c r="B96" s="228" t="e">
        <f>Soportes[[#This Row],[Código proyecto]]&amp;Soportes[[#This Row],[No Meta proyecto]]&amp;Soportes[[#This Row],[N° de Actividad
(Consecutivo por meta)]]</f>
        <v>#VALUE!</v>
      </c>
      <c r="C96" s="228" t="e">
        <f>Soportes[[#This Row],[Código proyecto]]&amp;Soportes[[#This Row],[No Meta proyecto]]&amp;Soportes[[#This Row],[N° de Actividad
(Consecutivo por meta)]]&amp;Soportes[[#This Row],[N° de tarea]]</f>
        <v>#VALUE!</v>
      </c>
    </row>
    <row r="97" spans="1:3" x14ac:dyDescent="0.3">
      <c r="A97" s="228" t="e">
        <f>Soportes[[#This Row],[Código proyecto]]&amp;Soportes[[#This Row],[No Meta proyecto]]</f>
        <v>#VALUE!</v>
      </c>
      <c r="B97" s="228" t="e">
        <f>Soportes[[#This Row],[Código proyecto]]&amp;Soportes[[#This Row],[No Meta proyecto]]&amp;Soportes[[#This Row],[N° de Actividad
(Consecutivo por meta)]]</f>
        <v>#VALUE!</v>
      </c>
      <c r="C97" s="228" t="e">
        <f>Soportes[[#This Row],[Código proyecto]]&amp;Soportes[[#This Row],[No Meta proyecto]]&amp;Soportes[[#This Row],[N° de Actividad
(Consecutivo por meta)]]&amp;Soportes[[#This Row],[N° de tarea]]</f>
        <v>#VALUE!</v>
      </c>
    </row>
    <row r="98" spans="1:3" x14ac:dyDescent="0.3">
      <c r="A98" s="228" t="e">
        <f>Soportes[[#This Row],[Código proyecto]]&amp;Soportes[[#This Row],[No Meta proyecto]]</f>
        <v>#VALUE!</v>
      </c>
      <c r="B98" s="228" t="e">
        <f>Soportes[[#This Row],[Código proyecto]]&amp;Soportes[[#This Row],[No Meta proyecto]]&amp;Soportes[[#This Row],[N° de Actividad
(Consecutivo por meta)]]</f>
        <v>#VALUE!</v>
      </c>
      <c r="C98" s="228" t="e">
        <f>Soportes[[#This Row],[Código proyecto]]&amp;Soportes[[#This Row],[No Meta proyecto]]&amp;Soportes[[#This Row],[N° de Actividad
(Consecutivo por meta)]]&amp;Soportes[[#This Row],[N° de tarea]]</f>
        <v>#VALUE!</v>
      </c>
    </row>
    <row r="99" spans="1:3" x14ac:dyDescent="0.3">
      <c r="A99" s="228" t="e">
        <f>Soportes[[#This Row],[Código proyecto]]&amp;Soportes[[#This Row],[No Meta proyecto]]</f>
        <v>#VALUE!</v>
      </c>
      <c r="B99" s="228" t="e">
        <f>Soportes[[#This Row],[Código proyecto]]&amp;Soportes[[#This Row],[No Meta proyecto]]&amp;Soportes[[#This Row],[N° de Actividad
(Consecutivo por meta)]]</f>
        <v>#VALUE!</v>
      </c>
      <c r="C99" s="228" t="e">
        <f>Soportes[[#This Row],[Código proyecto]]&amp;Soportes[[#This Row],[No Meta proyecto]]&amp;Soportes[[#This Row],[N° de Actividad
(Consecutivo por meta)]]&amp;Soportes[[#This Row],[N° de tarea]]</f>
        <v>#VALUE!</v>
      </c>
    </row>
    <row r="100" spans="1:3" x14ac:dyDescent="0.3">
      <c r="A100" s="228" t="e">
        <f>Soportes[[#This Row],[Código proyecto]]&amp;Soportes[[#This Row],[No Meta proyecto]]</f>
        <v>#VALUE!</v>
      </c>
      <c r="B100" s="228" t="e">
        <f>Soportes[[#This Row],[Código proyecto]]&amp;Soportes[[#This Row],[No Meta proyecto]]&amp;Soportes[[#This Row],[N° de Actividad
(Consecutivo por meta)]]</f>
        <v>#VALUE!</v>
      </c>
      <c r="C100" s="228" t="e">
        <f>Soportes[[#This Row],[Código proyecto]]&amp;Soportes[[#This Row],[No Meta proyecto]]&amp;Soportes[[#This Row],[N° de Actividad
(Consecutivo por meta)]]&amp;Soportes[[#This Row],[N° de tarea]]</f>
        <v>#VALUE!</v>
      </c>
    </row>
    <row r="101" spans="1:3" x14ac:dyDescent="0.3">
      <c r="A101" s="228" t="e">
        <f>Soportes[[#This Row],[Código proyecto]]&amp;Soportes[[#This Row],[No Meta proyecto]]</f>
        <v>#VALUE!</v>
      </c>
      <c r="B101" s="228" t="e">
        <f>Soportes[[#This Row],[Código proyecto]]&amp;Soportes[[#This Row],[No Meta proyecto]]&amp;Soportes[[#This Row],[N° de Actividad
(Consecutivo por meta)]]</f>
        <v>#VALUE!</v>
      </c>
      <c r="C101" s="228" t="e">
        <f>Soportes[[#This Row],[Código proyecto]]&amp;Soportes[[#This Row],[No Meta proyecto]]&amp;Soportes[[#This Row],[N° de Actividad
(Consecutivo por meta)]]&amp;Soportes[[#This Row],[N° de tarea]]</f>
        <v>#VALUE!</v>
      </c>
    </row>
    <row r="102" spans="1:3" x14ac:dyDescent="0.3">
      <c r="A102" s="228" t="e">
        <f>Soportes[[#This Row],[Código proyecto]]&amp;Soportes[[#This Row],[No Meta proyecto]]</f>
        <v>#VALUE!</v>
      </c>
      <c r="B102" s="228" t="e">
        <f>Soportes[[#This Row],[Código proyecto]]&amp;Soportes[[#This Row],[No Meta proyecto]]&amp;Soportes[[#This Row],[N° de Actividad
(Consecutivo por meta)]]</f>
        <v>#VALUE!</v>
      </c>
      <c r="C102" s="228" t="e">
        <f>Soportes[[#This Row],[Código proyecto]]&amp;Soportes[[#This Row],[No Meta proyecto]]&amp;Soportes[[#This Row],[N° de Actividad
(Consecutivo por meta)]]&amp;Soportes[[#This Row],[N° de tarea]]</f>
        <v>#VALUE!</v>
      </c>
    </row>
    <row r="103" spans="1:3" x14ac:dyDescent="0.3">
      <c r="A103" s="228" t="e">
        <f>Soportes[[#This Row],[Código proyecto]]&amp;Soportes[[#This Row],[No Meta proyecto]]</f>
        <v>#VALUE!</v>
      </c>
      <c r="B103" s="228" t="e">
        <f>Soportes[[#This Row],[Código proyecto]]&amp;Soportes[[#This Row],[No Meta proyecto]]&amp;Soportes[[#This Row],[N° de Actividad
(Consecutivo por meta)]]</f>
        <v>#VALUE!</v>
      </c>
      <c r="C103" s="228" t="e">
        <f>Soportes[[#This Row],[Código proyecto]]&amp;Soportes[[#This Row],[No Meta proyecto]]&amp;Soportes[[#This Row],[N° de Actividad
(Consecutivo por meta)]]&amp;Soportes[[#This Row],[N° de tarea]]</f>
        <v>#VALUE!</v>
      </c>
    </row>
    <row r="104" spans="1:3" x14ac:dyDescent="0.3">
      <c r="A104" s="53" t="e">
        <f>Soportes[[#This Row],[Código proyecto]]&amp;Soportes[[#This Row],[No Meta proyecto]]</f>
        <v>#VALUE!</v>
      </c>
      <c r="B104" s="53" t="e">
        <f>Soportes[[#This Row],[Código proyecto]]&amp;Soportes[[#This Row],[No Meta proyecto]]&amp;Soportes[[#This Row],[N° de Actividad
(Consecutivo por meta)]]</f>
        <v>#VALUE!</v>
      </c>
      <c r="C104" s="53" t="e">
        <f>Soportes[[#This Row],[Código proyecto]]&amp;Soportes[[#This Row],[No Meta proyecto]]&amp;Soportes[[#This Row],[N° de Actividad
(Consecutivo por meta)]]&amp;Soportes[[#This Row],[N° de tarea]]</f>
        <v>#VALUE!</v>
      </c>
    </row>
    <row r="105" spans="1:3" x14ac:dyDescent="0.3">
      <c r="A105" s="53" t="e">
        <f>Soportes[[#This Row],[Código proyecto]]&amp;Soportes[[#This Row],[No Meta proyecto]]</f>
        <v>#VALUE!</v>
      </c>
      <c r="B105" s="53" t="e">
        <f>Soportes[[#This Row],[Código proyecto]]&amp;Soportes[[#This Row],[No Meta proyecto]]&amp;Soportes[[#This Row],[N° de Actividad
(Consecutivo por meta)]]</f>
        <v>#VALUE!</v>
      </c>
      <c r="C105" s="53" t="e">
        <f>Soportes[[#This Row],[Código proyecto]]&amp;Soportes[[#This Row],[No Meta proyecto]]&amp;Soportes[[#This Row],[N° de Actividad
(Consecutivo por meta)]]&amp;Soportes[[#This Row],[N° de tarea]]</f>
        <v>#VALUE!</v>
      </c>
    </row>
    <row r="106" spans="1:3" x14ac:dyDescent="0.3">
      <c r="A106" s="53" t="e">
        <f>Soportes[[#This Row],[Código proyecto]]&amp;Soportes[[#This Row],[No Meta proyecto]]</f>
        <v>#VALUE!</v>
      </c>
      <c r="B106" s="53" t="e">
        <f>Soportes[[#This Row],[Código proyecto]]&amp;Soportes[[#This Row],[No Meta proyecto]]&amp;Soportes[[#This Row],[N° de Actividad
(Consecutivo por meta)]]</f>
        <v>#VALUE!</v>
      </c>
      <c r="C106" s="53" t="e">
        <f>Soportes[[#This Row],[Código proyecto]]&amp;Soportes[[#This Row],[No Meta proyecto]]&amp;Soportes[[#This Row],[N° de Actividad
(Consecutivo por meta)]]&amp;Soportes[[#This Row],[N° de tarea]]</f>
        <v>#VALUE!</v>
      </c>
    </row>
    <row r="107" spans="1:3" x14ac:dyDescent="0.3">
      <c r="A107" s="53" t="e">
        <f>Soportes[[#This Row],[Código proyecto]]&amp;Soportes[[#This Row],[No Meta proyecto]]</f>
        <v>#VALUE!</v>
      </c>
      <c r="B107" s="53" t="e">
        <f>Soportes[[#This Row],[Código proyecto]]&amp;Soportes[[#This Row],[No Meta proyecto]]&amp;Soportes[[#This Row],[N° de Actividad
(Consecutivo por meta)]]</f>
        <v>#VALUE!</v>
      </c>
      <c r="C107" s="53" t="e">
        <f>Soportes[[#This Row],[Código proyecto]]&amp;Soportes[[#This Row],[No Meta proyecto]]&amp;Soportes[[#This Row],[N° de Actividad
(Consecutivo por meta)]]&amp;Soportes[[#This Row],[N° de tarea]]</f>
        <v>#VALUE!</v>
      </c>
    </row>
    <row r="108" spans="1:3" x14ac:dyDescent="0.3">
      <c r="A108" s="53" t="e">
        <f>Soportes[[#This Row],[Código proyecto]]&amp;Soportes[[#This Row],[No Meta proyecto]]</f>
        <v>#VALUE!</v>
      </c>
      <c r="B108" s="53" t="e">
        <f>Soportes[[#This Row],[Código proyecto]]&amp;Soportes[[#This Row],[No Meta proyecto]]&amp;Soportes[[#This Row],[N° de Actividad
(Consecutivo por meta)]]</f>
        <v>#VALUE!</v>
      </c>
      <c r="C108" s="53" t="e">
        <f>Soportes[[#This Row],[Código proyecto]]&amp;Soportes[[#This Row],[No Meta proyecto]]&amp;Soportes[[#This Row],[N° de Actividad
(Consecutivo por meta)]]&amp;Soportes[[#This Row],[N° de tarea]]</f>
        <v>#VALUE!</v>
      </c>
    </row>
    <row r="109" spans="1:3" x14ac:dyDescent="0.3">
      <c r="A109" s="53" t="e">
        <f>Soportes[[#This Row],[Código proyecto]]&amp;Soportes[[#This Row],[No Meta proyecto]]</f>
        <v>#VALUE!</v>
      </c>
      <c r="B109" s="53" t="e">
        <f>Soportes[[#This Row],[Código proyecto]]&amp;Soportes[[#This Row],[No Meta proyecto]]&amp;Soportes[[#This Row],[N° de Actividad
(Consecutivo por meta)]]</f>
        <v>#VALUE!</v>
      </c>
      <c r="C109" s="53" t="e">
        <f>Soportes[[#This Row],[Código proyecto]]&amp;Soportes[[#This Row],[No Meta proyecto]]&amp;Soportes[[#This Row],[N° de Actividad
(Consecutivo por meta)]]&amp;Soportes[[#This Row],[N° de tarea]]</f>
        <v>#VALUE!</v>
      </c>
    </row>
    <row r="110" spans="1:3" x14ac:dyDescent="0.3">
      <c r="A110" s="53" t="e">
        <f>Soportes[[#This Row],[Código proyecto]]&amp;Soportes[[#This Row],[No Meta proyecto]]</f>
        <v>#VALUE!</v>
      </c>
      <c r="B110" s="53" t="e">
        <f>Soportes[[#This Row],[Código proyecto]]&amp;Soportes[[#This Row],[No Meta proyecto]]&amp;Soportes[[#This Row],[N° de Actividad
(Consecutivo por meta)]]</f>
        <v>#VALUE!</v>
      </c>
      <c r="C110" s="53" t="e">
        <f>Soportes[[#This Row],[Código proyecto]]&amp;Soportes[[#This Row],[No Meta proyecto]]&amp;Soportes[[#This Row],[N° de Actividad
(Consecutivo por meta)]]&amp;Soportes[[#This Row],[N° de tarea]]</f>
        <v>#VALUE!</v>
      </c>
    </row>
    <row r="111" spans="1:3" x14ac:dyDescent="0.3">
      <c r="A111" s="53" t="e">
        <f>Soportes[[#This Row],[Código proyecto]]&amp;Soportes[[#This Row],[No Meta proyecto]]</f>
        <v>#VALUE!</v>
      </c>
      <c r="B111" s="53" t="e">
        <f>Soportes[[#This Row],[Código proyecto]]&amp;Soportes[[#This Row],[No Meta proyecto]]&amp;Soportes[[#This Row],[N° de Actividad
(Consecutivo por meta)]]</f>
        <v>#VALUE!</v>
      </c>
      <c r="C111" s="53" t="e">
        <f>Soportes[[#This Row],[Código proyecto]]&amp;Soportes[[#This Row],[No Meta proyecto]]&amp;Soportes[[#This Row],[N° de Actividad
(Consecutivo por meta)]]&amp;Soportes[[#This Row],[N° de tarea]]</f>
        <v>#VALUE!</v>
      </c>
    </row>
    <row r="112" spans="1:3" x14ac:dyDescent="0.3">
      <c r="A112" s="53" t="e">
        <f>Soportes[[#This Row],[Código proyecto]]&amp;Soportes[[#This Row],[No Meta proyecto]]</f>
        <v>#VALUE!</v>
      </c>
      <c r="B112" s="53" t="e">
        <f>Soportes[[#This Row],[Código proyecto]]&amp;Soportes[[#This Row],[No Meta proyecto]]&amp;Soportes[[#This Row],[N° de Actividad
(Consecutivo por meta)]]</f>
        <v>#VALUE!</v>
      </c>
      <c r="C112" s="53" t="e">
        <f>Soportes[[#This Row],[Código proyecto]]&amp;Soportes[[#This Row],[No Meta proyecto]]&amp;Soportes[[#This Row],[N° de Actividad
(Consecutivo por meta)]]&amp;Soportes[[#This Row],[N° de tarea]]</f>
        <v>#VALUE!</v>
      </c>
    </row>
    <row r="113" spans="1:3" x14ac:dyDescent="0.3">
      <c r="A113" s="53" t="e">
        <f>Soportes[[#This Row],[Código proyecto]]&amp;Soportes[[#This Row],[No Meta proyecto]]</f>
        <v>#VALUE!</v>
      </c>
      <c r="B113" s="53" t="e">
        <f>Soportes[[#This Row],[Código proyecto]]&amp;Soportes[[#This Row],[No Meta proyecto]]&amp;Soportes[[#This Row],[N° de Actividad
(Consecutivo por meta)]]</f>
        <v>#VALUE!</v>
      </c>
      <c r="C113" s="53" t="e">
        <f>Soportes[[#This Row],[Código proyecto]]&amp;Soportes[[#This Row],[No Meta proyecto]]&amp;Soportes[[#This Row],[N° de Actividad
(Consecutivo por meta)]]&amp;Soportes[[#This Row],[N° de tarea]]</f>
        <v>#VALUE!</v>
      </c>
    </row>
    <row r="114" spans="1:3" x14ac:dyDescent="0.3">
      <c r="A114" s="53" t="e">
        <f>Soportes[[#This Row],[Código proyecto]]&amp;Soportes[[#This Row],[No Meta proyecto]]</f>
        <v>#VALUE!</v>
      </c>
      <c r="B114" s="53" t="e">
        <f>Soportes[[#This Row],[Código proyecto]]&amp;Soportes[[#This Row],[No Meta proyecto]]&amp;Soportes[[#This Row],[N° de Actividad
(Consecutivo por meta)]]</f>
        <v>#VALUE!</v>
      </c>
      <c r="C114" s="53" t="e">
        <f>Soportes[[#This Row],[Código proyecto]]&amp;Soportes[[#This Row],[No Meta proyecto]]&amp;Soportes[[#This Row],[N° de Actividad
(Consecutivo por meta)]]&amp;Soportes[[#This Row],[N° de tarea]]</f>
        <v>#VALUE!</v>
      </c>
    </row>
    <row r="115" spans="1:3" x14ac:dyDescent="0.3">
      <c r="A115" s="53" t="e">
        <f>Soportes[[#This Row],[Código proyecto]]&amp;Soportes[[#This Row],[No Meta proyecto]]</f>
        <v>#VALUE!</v>
      </c>
      <c r="B115" s="53" t="e">
        <f>Soportes[[#This Row],[Código proyecto]]&amp;Soportes[[#This Row],[No Meta proyecto]]&amp;Soportes[[#This Row],[N° de Actividad
(Consecutivo por meta)]]</f>
        <v>#VALUE!</v>
      </c>
      <c r="C115" s="53" t="e">
        <f>Soportes[[#This Row],[Código proyecto]]&amp;Soportes[[#This Row],[No Meta proyecto]]&amp;Soportes[[#This Row],[N° de Actividad
(Consecutivo por meta)]]&amp;Soportes[[#This Row],[N° de tarea]]</f>
        <v>#VALUE!</v>
      </c>
    </row>
    <row r="116" spans="1:3" x14ac:dyDescent="0.3">
      <c r="A116" s="53" t="e">
        <f>Soportes[[#This Row],[Código proyecto]]&amp;Soportes[[#This Row],[No Meta proyecto]]</f>
        <v>#VALUE!</v>
      </c>
      <c r="B116" s="53" t="e">
        <f>Soportes[[#This Row],[Código proyecto]]&amp;Soportes[[#This Row],[No Meta proyecto]]&amp;Soportes[[#This Row],[N° de Actividad
(Consecutivo por meta)]]</f>
        <v>#VALUE!</v>
      </c>
      <c r="C116" s="53" t="e">
        <f>Soportes[[#This Row],[Código proyecto]]&amp;Soportes[[#This Row],[No Meta proyecto]]&amp;Soportes[[#This Row],[N° de Actividad
(Consecutivo por meta)]]&amp;Soportes[[#This Row],[N° de tarea]]</f>
        <v>#VALUE!</v>
      </c>
    </row>
    <row r="117" spans="1:3" x14ac:dyDescent="0.3">
      <c r="A117" s="53" t="e">
        <f>Soportes[[#This Row],[Código proyecto]]&amp;Soportes[[#This Row],[No Meta proyecto]]</f>
        <v>#VALUE!</v>
      </c>
      <c r="B117" s="53" t="e">
        <f>Soportes[[#This Row],[Código proyecto]]&amp;Soportes[[#This Row],[No Meta proyecto]]&amp;Soportes[[#This Row],[N° de Actividad
(Consecutivo por meta)]]</f>
        <v>#VALUE!</v>
      </c>
      <c r="C117" s="53" t="e">
        <f>Soportes[[#This Row],[Código proyecto]]&amp;Soportes[[#This Row],[No Meta proyecto]]&amp;Soportes[[#This Row],[N° de Actividad
(Consecutivo por meta)]]&amp;Soportes[[#This Row],[N° de tarea]]</f>
        <v>#VALUE!</v>
      </c>
    </row>
    <row r="118" spans="1:3" x14ac:dyDescent="0.3">
      <c r="A118" s="53" t="e">
        <f>Soportes[[#This Row],[Código proyecto]]&amp;Soportes[[#This Row],[No Meta proyecto]]</f>
        <v>#VALUE!</v>
      </c>
      <c r="B118" s="53" t="e">
        <f>Soportes[[#This Row],[Código proyecto]]&amp;Soportes[[#This Row],[No Meta proyecto]]&amp;Soportes[[#This Row],[N° de Actividad
(Consecutivo por meta)]]</f>
        <v>#VALUE!</v>
      </c>
      <c r="C118" s="53" t="e">
        <f>Soportes[[#This Row],[Código proyecto]]&amp;Soportes[[#This Row],[No Meta proyecto]]&amp;Soportes[[#This Row],[N° de Actividad
(Consecutivo por meta)]]&amp;Soportes[[#This Row],[N° de tarea]]</f>
        <v>#VALUE!</v>
      </c>
    </row>
    <row r="119" spans="1:3" x14ac:dyDescent="0.3">
      <c r="A119" s="53" t="e">
        <f>Soportes[[#This Row],[Código proyecto]]&amp;Soportes[[#This Row],[No Meta proyecto]]</f>
        <v>#VALUE!</v>
      </c>
      <c r="B119" s="53" t="e">
        <f>Soportes[[#This Row],[Código proyecto]]&amp;Soportes[[#This Row],[No Meta proyecto]]&amp;Soportes[[#This Row],[N° de Actividad
(Consecutivo por meta)]]</f>
        <v>#VALUE!</v>
      </c>
      <c r="C119" s="53" t="e">
        <f>Soportes[[#This Row],[Código proyecto]]&amp;Soportes[[#This Row],[No Meta proyecto]]&amp;Soportes[[#This Row],[N° de Actividad
(Consecutivo por meta)]]&amp;Soportes[[#This Row],[N° de tarea]]</f>
        <v>#VALUE!</v>
      </c>
    </row>
    <row r="120" spans="1:3" x14ac:dyDescent="0.3">
      <c r="A120" s="53" t="e">
        <f>Soportes[[#This Row],[Código proyecto]]&amp;Soportes[[#This Row],[No Meta proyecto]]</f>
        <v>#VALUE!</v>
      </c>
      <c r="B120" s="53" t="e">
        <f>Soportes[[#This Row],[Código proyecto]]&amp;Soportes[[#This Row],[No Meta proyecto]]&amp;Soportes[[#This Row],[N° de Actividad
(Consecutivo por meta)]]</f>
        <v>#VALUE!</v>
      </c>
      <c r="C120" s="53" t="e">
        <f>Soportes[[#This Row],[Código proyecto]]&amp;Soportes[[#This Row],[No Meta proyecto]]&amp;Soportes[[#This Row],[N° de Actividad
(Consecutivo por meta)]]&amp;Soportes[[#This Row],[N° de tarea]]</f>
        <v>#VALUE!</v>
      </c>
    </row>
    <row r="121" spans="1:3" x14ac:dyDescent="0.3">
      <c r="A121" s="53" t="e">
        <f>Soportes[[#This Row],[Código proyecto]]&amp;Soportes[[#This Row],[No Meta proyecto]]</f>
        <v>#VALUE!</v>
      </c>
      <c r="B121" s="53" t="e">
        <f>Soportes[[#This Row],[Código proyecto]]&amp;Soportes[[#This Row],[No Meta proyecto]]&amp;Soportes[[#This Row],[N° de Actividad
(Consecutivo por meta)]]</f>
        <v>#VALUE!</v>
      </c>
      <c r="C121" s="53" t="e">
        <f>Soportes[[#This Row],[Código proyecto]]&amp;Soportes[[#This Row],[No Meta proyecto]]&amp;Soportes[[#This Row],[N° de Actividad
(Consecutivo por meta)]]&amp;Soportes[[#This Row],[N° de tarea]]</f>
        <v>#VALUE!</v>
      </c>
    </row>
    <row r="122" spans="1:3" x14ac:dyDescent="0.3">
      <c r="A122" s="53" t="e">
        <f>Soportes[[#This Row],[Código proyecto]]&amp;Soportes[[#This Row],[No Meta proyecto]]</f>
        <v>#VALUE!</v>
      </c>
      <c r="B122" s="53" t="e">
        <f>Soportes[[#This Row],[Código proyecto]]&amp;Soportes[[#This Row],[No Meta proyecto]]&amp;Soportes[[#This Row],[N° de Actividad
(Consecutivo por meta)]]</f>
        <v>#VALUE!</v>
      </c>
      <c r="C122" s="53" t="e">
        <f>Soportes[[#This Row],[Código proyecto]]&amp;Soportes[[#This Row],[No Meta proyecto]]&amp;Soportes[[#This Row],[N° de Actividad
(Consecutivo por meta)]]&amp;Soportes[[#This Row],[N° de tarea]]</f>
        <v>#VALUE!</v>
      </c>
    </row>
    <row r="123" spans="1:3" x14ac:dyDescent="0.3">
      <c r="A123" s="53" t="e">
        <f>Soportes[[#This Row],[Código proyecto]]&amp;Soportes[[#This Row],[No Meta proyecto]]</f>
        <v>#VALUE!</v>
      </c>
      <c r="B123" s="53" t="e">
        <f>Soportes[[#This Row],[Código proyecto]]&amp;Soportes[[#This Row],[No Meta proyecto]]&amp;Soportes[[#This Row],[N° de Actividad
(Consecutivo por meta)]]</f>
        <v>#VALUE!</v>
      </c>
      <c r="C123" s="53" t="e">
        <f>Soportes[[#This Row],[Código proyecto]]&amp;Soportes[[#This Row],[No Meta proyecto]]&amp;Soportes[[#This Row],[N° de Actividad
(Consecutivo por meta)]]&amp;Soportes[[#This Row],[N° de tarea]]</f>
        <v>#VALUE!</v>
      </c>
    </row>
    <row r="124" spans="1:3" x14ac:dyDescent="0.3">
      <c r="A124" s="53" t="e">
        <f>Soportes[[#This Row],[Código proyecto]]&amp;Soportes[[#This Row],[No Meta proyecto]]</f>
        <v>#VALUE!</v>
      </c>
      <c r="B124" s="53" t="e">
        <f>Soportes[[#This Row],[Código proyecto]]&amp;Soportes[[#This Row],[No Meta proyecto]]&amp;Soportes[[#This Row],[N° de Actividad
(Consecutivo por meta)]]</f>
        <v>#VALUE!</v>
      </c>
      <c r="C124" s="53" t="e">
        <f>Soportes[[#This Row],[Código proyecto]]&amp;Soportes[[#This Row],[No Meta proyecto]]&amp;Soportes[[#This Row],[N° de Actividad
(Consecutivo por meta)]]&amp;Soportes[[#This Row],[N° de tarea]]</f>
        <v>#VALUE!</v>
      </c>
    </row>
    <row r="125" spans="1:3" x14ac:dyDescent="0.3">
      <c r="A125" s="53" t="e">
        <f>Soportes[[#This Row],[Código proyecto]]&amp;Soportes[[#This Row],[No Meta proyecto]]</f>
        <v>#VALUE!</v>
      </c>
      <c r="B125" s="53" t="e">
        <f>Soportes[[#This Row],[Código proyecto]]&amp;Soportes[[#This Row],[No Meta proyecto]]&amp;Soportes[[#This Row],[N° de Actividad
(Consecutivo por meta)]]</f>
        <v>#VALUE!</v>
      </c>
      <c r="C125" s="53" t="e">
        <f>Soportes[[#This Row],[Código proyecto]]&amp;Soportes[[#This Row],[No Meta proyecto]]&amp;Soportes[[#This Row],[N° de Actividad
(Consecutivo por meta)]]&amp;Soportes[[#This Row],[N° de tarea]]</f>
        <v>#VALUE!</v>
      </c>
    </row>
    <row r="126" spans="1:3" x14ac:dyDescent="0.3">
      <c r="A126" s="53" t="e">
        <f>Soportes[[#This Row],[Código proyecto]]&amp;Soportes[[#This Row],[No Meta proyecto]]</f>
        <v>#VALUE!</v>
      </c>
      <c r="B126" s="53" t="e">
        <f>Soportes[[#This Row],[Código proyecto]]&amp;Soportes[[#This Row],[No Meta proyecto]]&amp;Soportes[[#This Row],[N° de Actividad
(Consecutivo por meta)]]</f>
        <v>#VALUE!</v>
      </c>
      <c r="C126" s="53" t="e">
        <f>Soportes[[#This Row],[Código proyecto]]&amp;Soportes[[#This Row],[No Meta proyecto]]&amp;Soportes[[#This Row],[N° de Actividad
(Consecutivo por meta)]]&amp;Soportes[[#This Row],[N° de tarea]]</f>
        <v>#VALUE!</v>
      </c>
    </row>
    <row r="127" spans="1:3" x14ac:dyDescent="0.3">
      <c r="A127" s="53" t="e">
        <f>Soportes[[#This Row],[Código proyecto]]&amp;Soportes[[#This Row],[No Meta proyecto]]</f>
        <v>#VALUE!</v>
      </c>
      <c r="B127" s="53" t="e">
        <f>Soportes[[#This Row],[Código proyecto]]&amp;Soportes[[#This Row],[No Meta proyecto]]&amp;Soportes[[#This Row],[N° de Actividad
(Consecutivo por meta)]]</f>
        <v>#VALUE!</v>
      </c>
      <c r="C127" s="53" t="e">
        <f>Soportes[[#This Row],[Código proyecto]]&amp;Soportes[[#This Row],[No Meta proyecto]]&amp;Soportes[[#This Row],[N° de Actividad
(Consecutivo por meta)]]&amp;Soportes[[#This Row],[N° de tarea]]</f>
        <v>#VALUE!</v>
      </c>
    </row>
    <row r="128" spans="1:3" x14ac:dyDescent="0.3">
      <c r="A128" s="53" t="e">
        <f>Soportes[[#This Row],[Código proyecto]]&amp;Soportes[[#This Row],[No Meta proyecto]]</f>
        <v>#VALUE!</v>
      </c>
      <c r="B128" s="53" t="e">
        <f>Soportes[[#This Row],[Código proyecto]]&amp;Soportes[[#This Row],[No Meta proyecto]]&amp;Soportes[[#This Row],[N° de Actividad
(Consecutivo por meta)]]</f>
        <v>#VALUE!</v>
      </c>
      <c r="C128" s="53" t="e">
        <f>Soportes[[#This Row],[Código proyecto]]&amp;Soportes[[#This Row],[No Meta proyecto]]&amp;Soportes[[#This Row],[N° de Actividad
(Consecutivo por meta)]]&amp;Soportes[[#This Row],[N° de tarea]]</f>
        <v>#VALUE!</v>
      </c>
    </row>
    <row r="129" spans="1:3" x14ac:dyDescent="0.3">
      <c r="A129" s="53" t="e">
        <f>Soportes[[#This Row],[Código proyecto]]&amp;Soportes[[#This Row],[No Meta proyecto]]</f>
        <v>#VALUE!</v>
      </c>
      <c r="B129" s="53" t="e">
        <f>Soportes[[#This Row],[Código proyecto]]&amp;Soportes[[#This Row],[No Meta proyecto]]&amp;Soportes[[#This Row],[N° de Actividad
(Consecutivo por meta)]]</f>
        <v>#VALUE!</v>
      </c>
      <c r="C129" s="53" t="e">
        <f>Soportes[[#This Row],[Código proyecto]]&amp;Soportes[[#This Row],[No Meta proyecto]]&amp;Soportes[[#This Row],[N° de Actividad
(Consecutivo por meta)]]&amp;Soportes[[#This Row],[N° de tarea]]</f>
        <v>#VALUE!</v>
      </c>
    </row>
    <row r="130" spans="1:3" x14ac:dyDescent="0.3">
      <c r="A130" s="53" t="e">
        <f>Soportes[[#This Row],[Código proyecto]]&amp;Soportes[[#This Row],[No Meta proyecto]]</f>
        <v>#VALUE!</v>
      </c>
      <c r="B130" s="53" t="e">
        <f>Soportes[[#This Row],[Código proyecto]]&amp;Soportes[[#This Row],[No Meta proyecto]]&amp;Soportes[[#This Row],[N° de Actividad
(Consecutivo por meta)]]</f>
        <v>#VALUE!</v>
      </c>
      <c r="C130" s="53" t="e">
        <f>Soportes[[#This Row],[Código proyecto]]&amp;Soportes[[#This Row],[No Meta proyecto]]&amp;Soportes[[#This Row],[N° de Actividad
(Consecutivo por meta)]]&amp;Soportes[[#This Row],[N° de tarea]]</f>
        <v>#VALUE!</v>
      </c>
    </row>
    <row r="131" spans="1:3" x14ac:dyDescent="0.3">
      <c r="A131" s="53" t="e">
        <f>Soportes[[#This Row],[Código proyecto]]&amp;Soportes[[#This Row],[No Meta proyecto]]</f>
        <v>#VALUE!</v>
      </c>
      <c r="B131" s="53" t="e">
        <f>Soportes[[#This Row],[Código proyecto]]&amp;Soportes[[#This Row],[No Meta proyecto]]&amp;Soportes[[#This Row],[N° de Actividad
(Consecutivo por meta)]]</f>
        <v>#VALUE!</v>
      </c>
      <c r="C131" s="53" t="e">
        <f>Soportes[[#This Row],[Código proyecto]]&amp;Soportes[[#This Row],[No Meta proyecto]]&amp;Soportes[[#This Row],[N° de Actividad
(Consecutivo por meta)]]&amp;Soportes[[#This Row],[N° de tarea]]</f>
        <v>#VALUE!</v>
      </c>
    </row>
    <row r="132" spans="1:3" x14ac:dyDescent="0.3">
      <c r="A132" s="53" t="e">
        <f>Soportes[[#This Row],[Código proyecto]]&amp;Soportes[[#This Row],[No Meta proyecto]]</f>
        <v>#VALUE!</v>
      </c>
      <c r="B132" s="53" t="e">
        <f>Soportes[[#This Row],[Código proyecto]]&amp;Soportes[[#This Row],[No Meta proyecto]]&amp;Soportes[[#This Row],[N° de Actividad
(Consecutivo por meta)]]</f>
        <v>#VALUE!</v>
      </c>
      <c r="C132" s="53" t="e">
        <f>Soportes[[#This Row],[Código proyecto]]&amp;Soportes[[#This Row],[No Meta proyecto]]&amp;Soportes[[#This Row],[N° de Actividad
(Consecutivo por meta)]]&amp;Soportes[[#This Row],[N° de tarea]]</f>
        <v>#VALUE!</v>
      </c>
    </row>
    <row r="133" spans="1:3" x14ac:dyDescent="0.3">
      <c r="A133" s="53" t="e">
        <f>Soportes[[#This Row],[Código proyecto]]&amp;Soportes[[#This Row],[No Meta proyecto]]</f>
        <v>#VALUE!</v>
      </c>
      <c r="B133" s="53" t="e">
        <f>Soportes[[#This Row],[Código proyecto]]&amp;Soportes[[#This Row],[No Meta proyecto]]&amp;Soportes[[#This Row],[N° de Actividad
(Consecutivo por meta)]]</f>
        <v>#VALUE!</v>
      </c>
      <c r="C133" s="53" t="e">
        <f>Soportes[[#This Row],[Código proyecto]]&amp;Soportes[[#This Row],[No Meta proyecto]]&amp;Soportes[[#This Row],[N° de Actividad
(Consecutivo por meta)]]&amp;Soportes[[#This Row],[N° de tarea]]</f>
        <v>#VALUE!</v>
      </c>
    </row>
    <row r="134" spans="1:3" x14ac:dyDescent="0.3">
      <c r="A134" s="53" t="e">
        <f>Soportes[[#This Row],[Código proyecto]]&amp;Soportes[[#This Row],[No Meta proyecto]]</f>
        <v>#VALUE!</v>
      </c>
      <c r="B134" s="53" t="e">
        <f>Soportes[[#This Row],[Código proyecto]]&amp;Soportes[[#This Row],[No Meta proyecto]]&amp;Soportes[[#This Row],[N° de Actividad
(Consecutivo por meta)]]</f>
        <v>#VALUE!</v>
      </c>
    </row>
    <row r="135" spans="1:3" x14ac:dyDescent="0.3">
      <c r="A135" s="53" t="e">
        <f>Soportes[[#This Row],[Código proyecto]]&amp;Soportes[[#This Row],[No Meta proyecto]]</f>
        <v>#VALUE!</v>
      </c>
      <c r="B135" s="53" t="e">
        <f>Soportes[[#This Row],[Código proyecto]]&amp;Soportes[[#This Row],[No Meta proyecto]]&amp;Soportes[[#This Row],[N° de Actividad
(Consecutivo por meta)]]</f>
        <v>#VALUE!</v>
      </c>
    </row>
    <row r="136" spans="1:3" x14ac:dyDescent="0.3">
      <c r="A136" s="53" t="e">
        <f>Soportes[[#This Row],[Código proyecto]]&amp;Soportes[[#This Row],[No Meta proyecto]]</f>
        <v>#VALUE!</v>
      </c>
    </row>
    <row r="137" spans="1:3" x14ac:dyDescent="0.3">
      <c r="A137" s="53" t="e">
        <f>Soportes[[#This Row],[Código proyecto]]&amp;Soportes[[#This Row],[No Meta proyecto]]</f>
        <v>#VALUE!</v>
      </c>
    </row>
    <row r="138" spans="1:3" x14ac:dyDescent="0.3">
      <c r="A138" s="53" t="e">
        <f>Soportes[[#This Row],[Código proyecto]]&amp;Soportes[[#This Row],[No Meta proyecto]]</f>
        <v>#VALUE!</v>
      </c>
    </row>
    <row r="139" spans="1:3" x14ac:dyDescent="0.3">
      <c r="A139" s="53" t="e">
        <f>Soportes[[#This Row],[Código proyecto]]&amp;Soportes[[#This Row],[No Meta proyecto]]</f>
        <v>#VALUE!</v>
      </c>
    </row>
    <row r="140" spans="1:3" x14ac:dyDescent="0.3">
      <c r="A140" s="53" t="e">
        <f>Soportes[[#This Row],[Código proyecto]]&amp;Soportes[[#This Row],[No Meta proyecto]]</f>
        <v>#VALUE!</v>
      </c>
    </row>
    <row r="141" spans="1:3" x14ac:dyDescent="0.3">
      <c r="A141" s="53" t="e">
        <f>Soportes[[#This Row],[Código proyecto]]&amp;Soportes[[#This Row],[No Meta proyecto]]</f>
        <v>#VALUE!</v>
      </c>
    </row>
  </sheetData>
  <sheetProtection formatCells="0" formatColumns="0" formatRows="0" insertRows="0" sort="0" autoFilter="0" pivotTables="0"/>
  <mergeCells count="9">
    <mergeCell ref="T16:AG16"/>
    <mergeCell ref="AH16:AT16"/>
    <mergeCell ref="A13:AU13"/>
    <mergeCell ref="D2:E5"/>
    <mergeCell ref="F2:I5"/>
    <mergeCell ref="J2:K2"/>
    <mergeCell ref="J3:K3"/>
    <mergeCell ref="J4:K4"/>
    <mergeCell ref="J5:K5"/>
  </mergeCells>
  <phoneticPr fontId="14" type="noConversion"/>
  <dataValidations xWindow="798" yWindow="508" count="15">
    <dataValidation allowBlank="1" showInputMessage="1" showErrorMessage="1" promptTitle="Producto" prompt="Tipo de campo: Selección mutiple del catalogo_x000a_Producto (bien o servicio) que dará cuenta del logro de la meta y con la cual se cuantificará y realizará seguimiento a la misma" sqref="H17" xr:uid="{00000000-0002-0000-0D00-000000000000}"/>
    <dataValidation type="decimal" errorStyle="warning" allowBlank="1" showInputMessage="1" showErrorMessage="1" prompt="Relacione el % de programación de los soportes para la tarea. Recuerde que la suma de las ponderaciones de los soportes para vigencia debe ser igual a la ponderación del soporte para la tarea." sqref="X33:X34 Y25:AE60 T18:AE23 U33:W33 T25:X32 T33:T48 U35:X48 T49:X60" xr:uid="{00000000-0002-0000-0D00-000001000000}">
      <formula1>0</formula1>
      <formula2>1</formula2>
    </dataValidation>
    <dataValidation type="decimal" errorStyle="warning" allowBlank="1" showInputMessage="1" showErrorMessage="1" prompt="Relacione la ponderación para el soporte de la tarea. Recuerde que la suma de los % debe dar el 100% de la tarea." sqref="S18:S60" xr:uid="{00000000-0002-0000-0D00-000002000000}">
      <formula1>0</formula1>
      <formula2>1</formula2>
    </dataValidation>
    <dataValidation allowBlank="1" showInputMessage="1" showErrorMessage="1" prompt="Relacione la información que contiene el soporte." sqref="R18:R60" xr:uid="{00000000-0002-0000-0D00-000003000000}"/>
    <dataValidation errorStyle="warning" allowBlank="1" showInputMessage="1" showErrorMessage="1" prompt="Relacione el nombre del soporte que evidencie el cumplimiento de la tarea." sqref="P18:P60" xr:uid="{00000000-0002-0000-0D00-000004000000}"/>
    <dataValidation type="list" errorStyle="warning" allowBlank="1" showInputMessage="1" showErrorMessage="1" sqref="Q18:Q60" xr:uid="{00000000-0002-0000-0D00-000005000000}">
      <formula1>"SI, NO"</formula1>
    </dataValidation>
    <dataValidation type="whole" errorStyle="warning" allowBlank="1" showInputMessage="1" showErrorMessage="1" prompt="Enumere los soportes que darán cumplimiento a las tareas." sqref="O51:O60 O18:O48" xr:uid="{00000000-0002-0000-0D00-000006000000}">
      <formula1>1</formula1>
      <formula2>100</formula2>
    </dataValidation>
    <dataValidation type="whole" errorStyle="warning" allowBlank="1" showInputMessage="1" showErrorMessage="1" sqref="K51:K60 M51:M60 M18:M48 K18:K48" xr:uid="{00000000-0002-0000-0D00-000007000000}">
      <formula1>1</formula1>
      <formula2>50</formula2>
    </dataValidation>
    <dataValidation errorStyle="warning" allowBlank="1" showInputMessage="1" showErrorMessage="1" prompt="Relacione la descripción de la meta del proyecto de inversión." sqref="J18:J60" xr:uid="{00000000-0002-0000-0D00-000008000000}"/>
    <dataValidation errorStyle="warning" allowBlank="1" showInputMessage="1" showErrorMessage="1" prompt="Relacione la información de los productos MGA que seleccionó el proyecto de inversión en la etapa de formulación." sqref="H18:H60" xr:uid="{00000000-0002-0000-0D00-000009000000}"/>
    <dataValidation type="decimal" errorStyle="warning" allowBlank="1" showInputMessage="1" showErrorMessage="1" prompt="Relacione el % de ejecución de los soportes para la tarea." sqref="AH18:AS60" xr:uid="{00000000-0002-0000-0D00-00000A000000}">
      <formula1>0</formula1>
      <formula2>1</formula2>
    </dataValidation>
    <dataValidation type="whole" errorStyle="warning" allowBlank="1" showInputMessage="1" showErrorMessage="1" prompt="Relacione la información de los productos MGA que seleccionó el proyecto de inversión en la etapa de formulación." sqref="G18:G60" xr:uid="{00000000-0002-0000-0D00-00000B000000}">
      <formula1>0</formula1>
      <formula2>100000000</formula2>
    </dataValidation>
    <dataValidation type="list" errorStyle="warning" allowBlank="1" showInputMessage="1" showErrorMessage="1" prompt="Relacione el número de la meta del proyecto de inversión." sqref="I18:I42" xr:uid="{00000000-0002-0000-0D00-00000C000000}">
      <formula1>codmet</formula1>
    </dataValidation>
    <dataValidation errorStyle="warning" allowBlank="1" showInputMessage="1" showErrorMessage="1" sqref="L18:L60 N18:N60" xr:uid="{00000000-0002-0000-0D00-00000D000000}"/>
    <dataValidation type="whole" errorStyle="warning" allowBlank="1" showInputMessage="1" showErrorMessage="1" prompt="Relacione el número de la meta del proyecto de inversión." sqref="I43:I48 I51:I60" xr:uid="{00000000-0002-0000-0D00-00000E000000}">
      <formula1>1</formula1>
      <formula2>50</formula2>
    </dataValidation>
  </dataValidations>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7"/>
  <dimension ref="A2:BQ83"/>
  <sheetViews>
    <sheetView showGridLines="0" topLeftCell="X18" zoomScale="94" zoomScaleNormal="120" workbookViewId="0">
      <selection activeCell="AA75" sqref="AA75"/>
    </sheetView>
  </sheetViews>
  <sheetFormatPr baseColWidth="10" defaultColWidth="11.54296875" defaultRowHeight="13.8" x14ac:dyDescent="0.3"/>
  <cols>
    <col min="1" max="1" width="8.81640625" style="22" customWidth="1"/>
    <col min="2" max="2" width="14.453125" style="22" customWidth="1"/>
    <col min="3" max="3" width="11.81640625" style="22" customWidth="1"/>
    <col min="4" max="4" width="17.1796875" style="22" customWidth="1"/>
    <col min="5" max="5" width="10.81640625" style="22" customWidth="1"/>
    <col min="6" max="6" width="28" style="22" customWidth="1"/>
    <col min="7" max="7" width="9.1796875" style="22" customWidth="1"/>
    <col min="8" max="8" width="12.54296875" style="22" customWidth="1"/>
    <col min="9" max="9" width="9.54296875" style="22" hidden="1" customWidth="1"/>
    <col min="10" max="10" width="9.453125" style="22" hidden="1" customWidth="1"/>
    <col min="11" max="11" width="11.54296875" style="22" hidden="1" customWidth="1"/>
    <col min="12" max="12" width="39.36328125" style="22" hidden="1" customWidth="1"/>
    <col min="13" max="13" width="10.453125" style="22" hidden="1" customWidth="1"/>
    <col min="14" max="14" width="10.1796875" style="22" customWidth="1"/>
    <col min="15" max="15" width="12.81640625" style="22" customWidth="1"/>
    <col min="16" max="16" width="10.81640625" style="22" customWidth="1"/>
    <col min="17" max="17" width="17.81640625" style="22" customWidth="1"/>
    <col min="18" max="18" width="16.453125" style="22" customWidth="1"/>
    <col min="19" max="19" width="11.81640625" style="22" customWidth="1"/>
    <col min="20" max="20" width="11.54296875" style="22" customWidth="1"/>
    <col min="21" max="21" width="12.36328125" style="22" customWidth="1"/>
    <col min="22" max="45" width="7.81640625" style="22" customWidth="1"/>
    <col min="46" max="46" width="6.08984375" style="22" customWidth="1"/>
    <col min="47" max="47" width="6.1796875" style="22" customWidth="1"/>
    <col min="48" max="48" width="7.54296875" style="22" customWidth="1"/>
    <col min="49" max="49" width="6.81640625" style="22" customWidth="1"/>
    <col min="50" max="50" width="7.1796875" style="22" customWidth="1"/>
    <col min="51" max="51" width="9.1796875" style="22" customWidth="1"/>
    <col min="52" max="66" width="7.81640625" style="22" customWidth="1"/>
    <col min="67" max="68" width="11.54296875" style="22" customWidth="1"/>
    <col min="69" max="69" width="12.453125" style="22" customWidth="1"/>
    <col min="70" max="16384" width="11.54296875" style="22"/>
  </cols>
  <sheetData>
    <row r="2" spans="1:69" s="39" customFormat="1" ht="24" customHeight="1" x14ac:dyDescent="0.35">
      <c r="B2" s="540"/>
      <c r="C2" s="541"/>
      <c r="D2" s="521" t="s">
        <v>683</v>
      </c>
      <c r="E2" s="521"/>
      <c r="F2" s="521"/>
      <c r="G2" s="522"/>
      <c r="H2" s="510" t="s">
        <v>684</v>
      </c>
      <c r="I2" s="510"/>
      <c r="K2"/>
      <c r="L2"/>
      <c r="M2"/>
      <c r="N2"/>
      <c r="O2"/>
    </row>
    <row r="3" spans="1:69" s="39" customFormat="1" ht="20.399999999999999" x14ac:dyDescent="0.35">
      <c r="B3" s="542"/>
      <c r="C3" s="543"/>
      <c r="D3" s="523"/>
      <c r="E3" s="523"/>
      <c r="F3" s="523"/>
      <c r="G3" s="524"/>
      <c r="H3" s="510" t="s">
        <v>685</v>
      </c>
      <c r="I3" s="510"/>
      <c r="K3"/>
      <c r="L3"/>
      <c r="M3"/>
      <c r="N3"/>
      <c r="O3"/>
    </row>
    <row r="4" spans="1:69" s="39" customFormat="1" ht="20.399999999999999" customHeight="1" x14ac:dyDescent="0.35">
      <c r="B4" s="542"/>
      <c r="C4" s="543"/>
      <c r="D4" s="523"/>
      <c r="E4" s="523"/>
      <c r="F4" s="523"/>
      <c r="G4" s="524"/>
      <c r="H4" s="511" t="s">
        <v>686</v>
      </c>
      <c r="I4" s="511"/>
      <c r="K4"/>
      <c r="L4"/>
      <c r="M4"/>
      <c r="N4"/>
      <c r="O4"/>
    </row>
    <row r="5" spans="1:69" s="39" customFormat="1" ht="20.399999999999999" x14ac:dyDescent="0.35">
      <c r="B5" s="544"/>
      <c r="C5" s="545"/>
      <c r="D5" s="525"/>
      <c r="E5" s="525"/>
      <c r="F5" s="525"/>
      <c r="G5" s="526"/>
      <c r="H5" s="510" t="s">
        <v>1130</v>
      </c>
      <c r="I5" s="510"/>
      <c r="K5"/>
      <c r="L5"/>
      <c r="M5"/>
      <c r="N5"/>
      <c r="O5"/>
    </row>
    <row r="12" spans="1:69" ht="14.4" thickBot="1" x14ac:dyDescent="0.35">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row>
    <row r="13" spans="1:69" s="14" customFormat="1" ht="25.8" thickBot="1" x14ac:dyDescent="0.5">
      <c r="A13" s="527" t="s">
        <v>1131</v>
      </c>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8"/>
      <c r="AY13" s="528"/>
      <c r="AZ13" s="528"/>
      <c r="BA13" s="528"/>
      <c r="BB13" s="528"/>
      <c r="BC13" s="528"/>
      <c r="BD13" s="528"/>
      <c r="BE13" s="528"/>
      <c r="BF13" s="528"/>
      <c r="BG13" s="528"/>
      <c r="BH13" s="528"/>
      <c r="BI13" s="528"/>
      <c r="BJ13" s="528"/>
      <c r="BK13" s="528"/>
      <c r="BL13" s="528"/>
      <c r="BM13" s="528"/>
      <c r="BN13" s="528"/>
      <c r="BO13" s="528"/>
      <c r="BP13" s="528"/>
      <c r="BQ13" s="532"/>
    </row>
    <row r="16" spans="1:69" s="26" customFormat="1" ht="14.25" customHeight="1" x14ac:dyDescent="0.35">
      <c r="V16" s="514" t="s">
        <v>1132</v>
      </c>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53"/>
      <c r="AT16" s="549" t="s">
        <v>1133</v>
      </c>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1"/>
    </row>
    <row r="17" spans="1:69" s="26" customFormat="1" ht="39" customHeight="1" x14ac:dyDescent="0.35">
      <c r="P17" s="546" t="s">
        <v>720</v>
      </c>
      <c r="Q17" s="546"/>
      <c r="R17" s="546"/>
      <c r="S17" s="548" t="s">
        <v>1134</v>
      </c>
      <c r="T17" s="548"/>
      <c r="U17" s="548"/>
      <c r="V17" s="546" t="s">
        <v>1135</v>
      </c>
      <c r="W17" s="546"/>
      <c r="X17" s="546"/>
      <c r="Y17" s="546" t="s">
        <v>1136</v>
      </c>
      <c r="Z17" s="546"/>
      <c r="AA17" s="546"/>
      <c r="AB17" s="546" t="s">
        <v>1137</v>
      </c>
      <c r="AC17" s="546"/>
      <c r="AD17" s="546"/>
      <c r="AE17" s="546" t="s">
        <v>1138</v>
      </c>
      <c r="AF17" s="546"/>
      <c r="AG17" s="546"/>
      <c r="AH17" s="546" t="s">
        <v>1139</v>
      </c>
      <c r="AI17" s="546"/>
      <c r="AJ17" s="546"/>
      <c r="AK17" s="546" t="s">
        <v>1140</v>
      </c>
      <c r="AL17" s="546"/>
      <c r="AM17" s="546"/>
      <c r="AN17" s="546" t="s">
        <v>1141</v>
      </c>
      <c r="AO17" s="546"/>
      <c r="AP17" s="546"/>
      <c r="AQ17" s="547" t="s">
        <v>1142</v>
      </c>
      <c r="AR17" s="547"/>
      <c r="AS17" s="547"/>
      <c r="AT17" s="548" t="s">
        <v>1135</v>
      </c>
      <c r="AU17" s="548"/>
      <c r="AV17" s="548"/>
      <c r="AW17" s="548" t="s">
        <v>1136</v>
      </c>
      <c r="AX17" s="548"/>
      <c r="AY17" s="548"/>
      <c r="AZ17" s="548" t="s">
        <v>1137</v>
      </c>
      <c r="BA17" s="548"/>
      <c r="BB17" s="548"/>
      <c r="BC17" s="548" t="s">
        <v>1138</v>
      </c>
      <c r="BD17" s="548"/>
      <c r="BE17" s="548"/>
      <c r="BF17" s="548" t="s">
        <v>1139</v>
      </c>
      <c r="BG17" s="548"/>
      <c r="BH17" s="548"/>
      <c r="BI17" s="548" t="s">
        <v>1140</v>
      </c>
      <c r="BJ17" s="548"/>
      <c r="BK17" s="548"/>
      <c r="BL17" s="548" t="s">
        <v>1141</v>
      </c>
      <c r="BM17" s="548"/>
      <c r="BN17" s="548"/>
      <c r="BO17" s="552" t="s">
        <v>1142</v>
      </c>
      <c r="BP17" s="552"/>
      <c r="BQ17" s="552"/>
    </row>
    <row r="18" spans="1:69" s="25" customFormat="1" ht="55.2" x14ac:dyDescent="0.3">
      <c r="A18" s="55"/>
      <c r="B18" s="23" t="s">
        <v>1143</v>
      </c>
      <c r="C18" s="23" t="s">
        <v>788</v>
      </c>
      <c r="D18" s="10" t="s">
        <v>21</v>
      </c>
      <c r="E18" s="23" t="s">
        <v>30</v>
      </c>
      <c r="F18" s="23" t="s">
        <v>31</v>
      </c>
      <c r="G18" s="23" t="s">
        <v>460</v>
      </c>
      <c r="H18" s="23" t="s">
        <v>461</v>
      </c>
      <c r="I18" s="23" t="s">
        <v>462</v>
      </c>
      <c r="J18" s="23" t="s">
        <v>1144</v>
      </c>
      <c r="K18" s="23" t="s">
        <v>1145</v>
      </c>
      <c r="L18" s="23" t="s">
        <v>1146</v>
      </c>
      <c r="M18" s="23" t="s">
        <v>1147</v>
      </c>
      <c r="N18" s="23" t="s">
        <v>1148</v>
      </c>
      <c r="O18" s="23" t="s">
        <v>1149</v>
      </c>
      <c r="P18" s="23" t="s">
        <v>1150</v>
      </c>
      <c r="Q18" s="23" t="s">
        <v>1151</v>
      </c>
      <c r="R18" s="23" t="s">
        <v>1152</v>
      </c>
      <c r="S18" s="23" t="s">
        <v>1153</v>
      </c>
      <c r="T18" s="23" t="s">
        <v>1154</v>
      </c>
      <c r="U18" s="23" t="s">
        <v>1155</v>
      </c>
      <c r="V18" s="23" t="s">
        <v>1156</v>
      </c>
      <c r="W18" s="23" t="s">
        <v>1157</v>
      </c>
      <c r="X18" s="23" t="s">
        <v>1158</v>
      </c>
      <c r="Y18" s="23" t="s">
        <v>1159</v>
      </c>
      <c r="Z18" s="23" t="s">
        <v>1160</v>
      </c>
      <c r="AA18" s="23" t="s">
        <v>1161</v>
      </c>
      <c r="AB18" s="23" t="s">
        <v>1162</v>
      </c>
      <c r="AC18" s="23" t="s">
        <v>1163</v>
      </c>
      <c r="AD18" s="23" t="s">
        <v>1164</v>
      </c>
      <c r="AE18" s="23" t="s">
        <v>1165</v>
      </c>
      <c r="AF18" s="23" t="s">
        <v>1166</v>
      </c>
      <c r="AG18" s="23" t="s">
        <v>1167</v>
      </c>
      <c r="AH18" s="23" t="s">
        <v>1168</v>
      </c>
      <c r="AI18" s="23" t="s">
        <v>1169</v>
      </c>
      <c r="AJ18" s="23" t="s">
        <v>1170</v>
      </c>
      <c r="AK18" s="23" t="s">
        <v>1171</v>
      </c>
      <c r="AL18" s="23" t="s">
        <v>1172</v>
      </c>
      <c r="AM18" s="23" t="s">
        <v>1173</v>
      </c>
      <c r="AN18" s="23" t="s">
        <v>1174</v>
      </c>
      <c r="AO18" s="23" t="s">
        <v>1175</v>
      </c>
      <c r="AP18" s="23" t="s">
        <v>1176</v>
      </c>
      <c r="AQ18" s="24" t="s">
        <v>1177</v>
      </c>
      <c r="AR18" s="24" t="s">
        <v>1178</v>
      </c>
      <c r="AS18" s="24" t="s">
        <v>1179</v>
      </c>
      <c r="AT18" s="24" t="s">
        <v>1180</v>
      </c>
      <c r="AU18" s="24" t="s">
        <v>1181</v>
      </c>
      <c r="AV18" s="24" t="s">
        <v>1182</v>
      </c>
      <c r="AW18" s="24" t="s">
        <v>1183</v>
      </c>
      <c r="AX18" s="24" t="s">
        <v>1184</v>
      </c>
      <c r="AY18" s="24" t="s">
        <v>1185</v>
      </c>
      <c r="AZ18" s="24" t="s">
        <v>1186</v>
      </c>
      <c r="BA18" s="24" t="s">
        <v>1187</v>
      </c>
      <c r="BB18" s="24" t="s">
        <v>1188</v>
      </c>
      <c r="BC18" s="24" t="s">
        <v>1189</v>
      </c>
      <c r="BD18" s="24" t="s">
        <v>1190</v>
      </c>
      <c r="BE18" s="24" t="s">
        <v>1191</v>
      </c>
      <c r="BF18" s="24" t="s">
        <v>1192</v>
      </c>
      <c r="BG18" s="24" t="s">
        <v>1193</v>
      </c>
      <c r="BH18" s="24" t="s">
        <v>1194</v>
      </c>
      <c r="BI18" s="24" t="s">
        <v>1195</v>
      </c>
      <c r="BJ18" s="24" t="s">
        <v>1196</v>
      </c>
      <c r="BK18" s="24" t="s">
        <v>1197</v>
      </c>
      <c r="BL18" s="24" t="s">
        <v>1198</v>
      </c>
      <c r="BM18" s="24" t="s">
        <v>1199</v>
      </c>
      <c r="BN18" s="24" t="s">
        <v>1200</v>
      </c>
      <c r="BO18" s="24" t="s">
        <v>1201</v>
      </c>
      <c r="BP18" s="24" t="s">
        <v>1202</v>
      </c>
      <c r="BQ18" s="24" t="s">
        <v>1203</v>
      </c>
    </row>
    <row r="19" spans="1:69" hidden="1" x14ac:dyDescent="0.3">
      <c r="A19" s="260" t="str">
        <f>Territorialización[[#This Row],[Código proyecto]]&amp;Territorialización[[#This Row],[No Meta proyecto]]</f>
        <v>77441</v>
      </c>
      <c r="B19" s="229" t="str">
        <f>C19&amp;E19&amp;"-"&amp;G19</f>
        <v>77441-77</v>
      </c>
      <c r="C19" s="229">
        <f>Proyecto!$B$19</f>
        <v>7744</v>
      </c>
      <c r="D19" s="261" t="str">
        <f>Proyecto!$D$19</f>
        <v>Generación de Oportunidades para el Desarrollo Integral de la Niñez y la Adolescencia de Bogotá</v>
      </c>
      <c r="E19" s="248">
        <v>1</v>
      </c>
      <c r="F19" s="261" t="str">
        <f>VLOOKUP(A19,ESTRATÉGICO!$C$3:$AA$110,14,0)</f>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v>
      </c>
      <c r="G19" s="249">
        <v>77</v>
      </c>
      <c r="H19" s="243" t="str">
        <f>VLOOKUP(Territorialización[[#This Row],[No. Localidad]],LISTAS!$F$1:$G$22,2,0)</f>
        <v xml:space="preserve">Distrital </v>
      </c>
      <c r="I19" s="229" t="str">
        <f>IFERROR(VLOOKUP([2]!Territorialización[[#This Row],[No. Localidad]],[2]Listas!$F$96:$H$117,3,0),"...")</f>
        <v>...</v>
      </c>
      <c r="J19" s="258">
        <v>77</v>
      </c>
      <c r="K19" s="259">
        <v>19999999</v>
      </c>
      <c r="L19" s="262" t="s">
        <v>1204</v>
      </c>
      <c r="M19" s="259">
        <v>19999999</v>
      </c>
      <c r="N19" s="263" t="s">
        <v>1205</v>
      </c>
      <c r="O19" s="263" t="s">
        <v>1205</v>
      </c>
      <c r="P19" s="269">
        <f>+EJECUCIÓN!D32</f>
        <v>1</v>
      </c>
      <c r="Q19" s="266">
        <f>+EJECUCIÓN!D13</f>
        <v>2019908000</v>
      </c>
      <c r="R19" s="266">
        <v>0</v>
      </c>
      <c r="S19" s="267"/>
      <c r="T19" s="266"/>
      <c r="U19" s="266"/>
      <c r="V19" s="308"/>
      <c r="W19" s="308"/>
      <c r="X19" s="308"/>
      <c r="Y19" s="308"/>
      <c r="Z19" s="308"/>
      <c r="AA19" s="308"/>
      <c r="AB19" s="308"/>
      <c r="AC19" s="308"/>
      <c r="AD19" s="308"/>
      <c r="AE19" s="308"/>
      <c r="AF19" s="308"/>
      <c r="AG19" s="308"/>
      <c r="AH19" s="308"/>
      <c r="AI19" s="308"/>
      <c r="AJ19" s="308"/>
      <c r="AK19" s="308"/>
      <c r="AL19" s="308"/>
      <c r="AM19" s="308"/>
      <c r="AN19" s="250"/>
      <c r="AO19" s="250"/>
      <c r="AP19" s="250"/>
      <c r="AQ19"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0</v>
      </c>
      <c r="AR19"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0</v>
      </c>
      <c r="AS19"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19"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19"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20" spans="1:69" hidden="1" x14ac:dyDescent="0.3">
      <c r="A20" s="260" t="str">
        <f>Territorialización[[#This Row],[Código proyecto]]&amp;Territorialización[[#This Row],[No Meta proyecto]]</f>
        <v>77443</v>
      </c>
      <c r="B20" s="229" t="str">
        <f>C20&amp;E20&amp;"-"&amp;G20</f>
        <v>77443-77</v>
      </c>
      <c r="C20" s="229">
        <f>Proyecto!$B$19</f>
        <v>7744</v>
      </c>
      <c r="D20" s="261" t="str">
        <f>Proyecto!$D$19</f>
        <v>Generación de Oportunidades para el Desarrollo Integral de la Niñez y la Adolescencia de Bogotá</v>
      </c>
      <c r="E20" s="248">
        <v>3</v>
      </c>
      <c r="F20" s="261" t="str">
        <f>VLOOKUP(A20,ESTRATÉGICO!$C$3:$AA$110,14,0)</f>
        <v xml:space="preserve">Atender a 20700 niñas niños y adolescentes con discapacidad, alteraciones en el desarrollo, restricciones médicas, pertenecientes a grupos étnicos y víctimas por el conflicto armado con enfoque diferencial y de género </v>
      </c>
      <c r="G20" s="249">
        <v>77</v>
      </c>
      <c r="H20" s="243" t="str">
        <f>VLOOKUP(Territorialización[[#This Row],[No. Localidad]],LISTAS!$F$1:$G$22,2,0)</f>
        <v xml:space="preserve">Distrital </v>
      </c>
      <c r="I20" s="229" t="str">
        <f>IFERROR(VLOOKUP([2]!Territorialización[[#This Row],[No. Localidad]],[2]Listas!$F$96:$H$117,3,0),"...")</f>
        <v>...</v>
      </c>
      <c r="J20" s="258">
        <v>77</v>
      </c>
      <c r="K20" s="259">
        <v>19999999</v>
      </c>
      <c r="L20" s="262" t="s">
        <v>1204</v>
      </c>
      <c r="M20" s="259">
        <v>19999999</v>
      </c>
      <c r="N20" s="263" t="s">
        <v>1206</v>
      </c>
      <c r="O20" s="263" t="s">
        <v>1207</v>
      </c>
      <c r="P20" s="269">
        <f>+EJECUCIÓN!D34</f>
        <v>20700</v>
      </c>
      <c r="Q20" s="266">
        <v>12305233000</v>
      </c>
      <c r="R20" s="266">
        <v>0</v>
      </c>
      <c r="S20" s="267"/>
      <c r="T20" s="275"/>
      <c r="U20" s="266"/>
      <c r="V20" s="308">
        <v>7700</v>
      </c>
      <c r="W20" s="308">
        <v>6000</v>
      </c>
      <c r="X20" s="308">
        <v>1</v>
      </c>
      <c r="Y20" s="308">
        <v>1500</v>
      </c>
      <c r="Z20" s="308">
        <v>1340</v>
      </c>
      <c r="AA20" s="308">
        <v>0</v>
      </c>
      <c r="AB20" s="308">
        <v>1021</v>
      </c>
      <c r="AC20" s="308">
        <v>1000</v>
      </c>
      <c r="AD20" s="308">
        <v>2</v>
      </c>
      <c r="AE20" s="308">
        <v>50</v>
      </c>
      <c r="AF20" s="308">
        <v>1077</v>
      </c>
      <c r="AG20" s="308">
        <v>1</v>
      </c>
      <c r="AH20" s="308">
        <v>8</v>
      </c>
      <c r="AI20" s="308">
        <v>1000</v>
      </c>
      <c r="AJ20" s="308"/>
      <c r="AK20" s="308"/>
      <c r="AL20" s="308"/>
      <c r="AM20" s="308"/>
      <c r="AN20" s="251"/>
      <c r="AO20" s="251"/>
      <c r="AP20" s="251"/>
      <c r="AQ20"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10279</v>
      </c>
      <c r="AR20"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10417</v>
      </c>
      <c r="AS20"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4</v>
      </c>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20"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20"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21" spans="1:69" hidden="1" x14ac:dyDescent="0.3">
      <c r="A21" s="260" t="str">
        <f>Territorialización[[#This Row],[Código proyecto]]&amp;Territorialización[[#This Row],[No Meta proyecto]]</f>
        <v>77444</v>
      </c>
      <c r="B21" s="229" t="str">
        <f>C21&amp;E21&amp;"-"&amp;G21</f>
        <v>77444-77</v>
      </c>
      <c r="C21" s="229">
        <f>Proyecto!$B$19</f>
        <v>7744</v>
      </c>
      <c r="D21" s="261" t="str">
        <f>Proyecto!$D$19</f>
        <v>Generación de Oportunidades para el Desarrollo Integral de la Niñez y la Adolescencia de Bogotá</v>
      </c>
      <c r="E21" s="248">
        <v>4</v>
      </c>
      <c r="F21" s="261" t="str">
        <f>VLOOKUP(A21,ESTRATÉGICO!$C$3:$AA$110,14,0)</f>
        <v>Consolidar 1 herramienta de medición de la atención integral a niñas, niños y adolescentes que permita la trazabilidad de la Ruta Integral de Atenciones desde la Gestación hasta la Adolescencia -RIAGA-</v>
      </c>
      <c r="G21" s="249">
        <v>77</v>
      </c>
      <c r="H21" s="243" t="str">
        <f>VLOOKUP(Territorialización[[#This Row],[No. Localidad]],LISTAS!$F$1:$G$22,2,0)</f>
        <v xml:space="preserve">Distrital </v>
      </c>
      <c r="I21" s="229" t="str">
        <f>IFERROR(VLOOKUP([2]!Territorialización[[#This Row],[No. Localidad]],[2]Listas!$F$96:$H$117,3,0),"...")</f>
        <v>...</v>
      </c>
      <c r="J21" s="258">
        <v>77</v>
      </c>
      <c r="K21" s="259">
        <v>19999999</v>
      </c>
      <c r="L21" s="262" t="s">
        <v>1204</v>
      </c>
      <c r="M21" s="259">
        <v>19999999</v>
      </c>
      <c r="N21" s="263" t="s">
        <v>1208</v>
      </c>
      <c r="O21" s="263" t="s">
        <v>1208</v>
      </c>
      <c r="P21" s="264">
        <v>0.8</v>
      </c>
      <c r="Q21" s="276">
        <v>383559000</v>
      </c>
      <c r="R21" s="266">
        <v>0</v>
      </c>
      <c r="S21" s="267"/>
      <c r="T21" s="268"/>
      <c r="U21" s="266"/>
      <c r="V21" s="308"/>
      <c r="W21" s="308"/>
      <c r="X21" s="308"/>
      <c r="Y21" s="308"/>
      <c r="Z21" s="308"/>
      <c r="AA21" s="308"/>
      <c r="AB21" s="308"/>
      <c r="AC21" s="308"/>
      <c r="AD21" s="308"/>
      <c r="AE21" s="308"/>
      <c r="AF21" s="308"/>
      <c r="AG21" s="308"/>
      <c r="AH21" s="308"/>
      <c r="AI21" s="308"/>
      <c r="AJ21" s="308"/>
      <c r="AK21" s="308"/>
      <c r="AL21" s="308"/>
      <c r="AM21" s="308"/>
      <c r="AN21" s="252"/>
      <c r="AO21" s="252"/>
      <c r="AP21" s="252"/>
      <c r="AQ21"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0</v>
      </c>
      <c r="AR21"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0</v>
      </c>
      <c r="AS21"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21"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21"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22" spans="1:69" x14ac:dyDescent="0.3">
      <c r="A22" s="260" t="str">
        <f>Territorialización[[#This Row],[Código proyecto]]&amp;Territorialización[[#This Row],[No Meta proyecto]]</f>
        <v>77446</v>
      </c>
      <c r="B22" s="229" t="str">
        <f>C22&amp;E22&amp;"-"&amp;G22</f>
        <v>77446-77</v>
      </c>
      <c r="C22" s="229">
        <f>Proyecto!$B$19</f>
        <v>7744</v>
      </c>
      <c r="D22" s="261" t="str">
        <f>Proyecto!$D$19</f>
        <v>Generación de Oportunidades para el Desarrollo Integral de la Niñez y la Adolescencia de Bogotá</v>
      </c>
      <c r="E22" s="248">
        <v>6</v>
      </c>
      <c r="F22" s="261" t="str">
        <f>VLOOKUP(A22,ESTRATÉGICO!$C$3:$AA$110,14,0)</f>
        <v>Atender a 8300 niñas niños y adolescentes  víctimas y afectados por el conflicto armado en el marco del acuerdo de paz, la memoria, la convivencia y la reconciliación con enfoque diferencial y de género</v>
      </c>
      <c r="G22" s="249">
        <v>77</v>
      </c>
      <c r="H22" s="243" t="str">
        <f>VLOOKUP(Territorialización[[#This Row],[No. Localidad]],LISTAS!$F$1:$G$22,2,0)</f>
        <v xml:space="preserve">Distrital </v>
      </c>
      <c r="I22" s="229" t="str">
        <f>IFERROR(VLOOKUP([2]!Territorialización[[#This Row],[No. Localidad]],[2]Listas!$F$96:$H$117,3,0),"...")</f>
        <v>...</v>
      </c>
      <c r="J22" s="258">
        <v>77</v>
      </c>
      <c r="K22" s="259">
        <v>19999999</v>
      </c>
      <c r="L22" s="262" t="s">
        <v>1204</v>
      </c>
      <c r="M22" s="259">
        <v>19999999</v>
      </c>
      <c r="N22" s="263" t="s">
        <v>1209</v>
      </c>
      <c r="O22" s="263" t="s">
        <v>1210</v>
      </c>
      <c r="P22" s="264">
        <v>8300</v>
      </c>
      <c r="Q22" s="265">
        <v>2761025000</v>
      </c>
      <c r="R22" s="266"/>
      <c r="S22" s="267"/>
      <c r="T22" s="268"/>
      <c r="U22" s="266"/>
      <c r="V22" s="308">
        <v>1758</v>
      </c>
      <c r="W22" s="308">
        <v>943</v>
      </c>
      <c r="X22" s="308">
        <v>0</v>
      </c>
      <c r="Y22" s="308">
        <v>1407</v>
      </c>
      <c r="Z22" s="308">
        <v>889</v>
      </c>
      <c r="AA22" s="308">
        <v>0</v>
      </c>
      <c r="AB22" s="308">
        <v>777</v>
      </c>
      <c r="AC22" s="308">
        <v>841</v>
      </c>
      <c r="AD22" s="308">
        <v>0</v>
      </c>
      <c r="AE22" s="308">
        <v>821</v>
      </c>
      <c r="AF22" s="308">
        <v>864</v>
      </c>
      <c r="AG22" s="308">
        <v>0</v>
      </c>
      <c r="AH22" s="308">
        <v>0</v>
      </c>
      <c r="AI22" s="308">
        <v>0</v>
      </c>
      <c r="AJ22" s="308"/>
      <c r="AK22" s="308"/>
      <c r="AL22" s="308"/>
      <c r="AM22" s="308"/>
      <c r="AN22" s="252"/>
      <c r="AO22" s="252"/>
      <c r="AP22" s="252"/>
      <c r="AQ22"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4763</v>
      </c>
      <c r="AR22"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3537</v>
      </c>
      <c r="AS22"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22"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22"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23" spans="1:69" hidden="1" x14ac:dyDescent="0.3">
      <c r="A23" s="260" t="str">
        <f>Territorialización[[#This Row],[Código proyecto]]&amp;Territorialización[[#This Row],[No Meta proyecto]]</f>
        <v>77442</v>
      </c>
      <c r="B23" s="229" t="str">
        <f t="shared" ref="B23:B44" si="0">C23&amp;E23&amp;"-"&amp;G23</f>
        <v>77442-1</v>
      </c>
      <c r="C23" s="229">
        <f>Proyecto!$B$19</f>
        <v>7744</v>
      </c>
      <c r="D23" s="261" t="str">
        <f>Proyecto!$D$19</f>
        <v>Generación de Oportunidades para el Desarrollo Integral de la Niñez y la Adolescencia de Bogotá</v>
      </c>
      <c r="E23" s="248">
        <v>2</v>
      </c>
      <c r="F23" s="261" t="str">
        <f>VLOOKUP(A23,ESTRATÉGICO!$C$3:$AA$110,14,0)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23" s="249">
        <v>1</v>
      </c>
      <c r="H23" s="243" t="str">
        <f>VLOOKUP(Territorialización[[#This Row],[No. Localidad]],LISTAS!$F$1:$G$22,2,0)</f>
        <v>Usaquén</v>
      </c>
      <c r="I23" s="229" t="str">
        <f>IFERROR(VLOOKUP([2]!Territorialización[[#This Row],[No. Localidad]],[2]Listas!$F$96:$H$117,3,0),"...")</f>
        <v>...</v>
      </c>
      <c r="J23" s="258">
        <v>11059</v>
      </c>
      <c r="K23" s="259">
        <v>13333301</v>
      </c>
      <c r="L23" s="262" t="s">
        <v>1211</v>
      </c>
      <c r="M23" s="259">
        <v>13333301</v>
      </c>
      <c r="N23" s="263" t="s">
        <v>1212</v>
      </c>
      <c r="O23" s="263" t="s">
        <v>1213</v>
      </c>
      <c r="P23" s="314">
        <v>2932</v>
      </c>
      <c r="Q23" s="265">
        <v>3675349000</v>
      </c>
      <c r="R23" s="266">
        <v>0</v>
      </c>
      <c r="S23" s="267"/>
      <c r="T23" s="268"/>
      <c r="U23" s="266"/>
      <c r="V23" s="308">
        <v>1307</v>
      </c>
      <c r="W23" s="308">
        <v>1286</v>
      </c>
      <c r="X23" s="308">
        <v>0</v>
      </c>
      <c r="Y23" s="308">
        <v>0</v>
      </c>
      <c r="Z23" s="308">
        <v>0</v>
      </c>
      <c r="AA23" s="308">
        <v>0</v>
      </c>
      <c r="AB23" s="308">
        <v>0</v>
      </c>
      <c r="AC23" s="308">
        <v>15</v>
      </c>
      <c r="AD23" s="308">
        <v>0</v>
      </c>
      <c r="AE23" s="308">
        <v>0</v>
      </c>
      <c r="AF23" s="308">
        <v>158</v>
      </c>
      <c r="AG23" s="308">
        <v>0</v>
      </c>
      <c r="AH23" s="308">
        <v>0</v>
      </c>
      <c r="AI23" s="308">
        <v>166</v>
      </c>
      <c r="AJ23" s="308">
        <v>0</v>
      </c>
      <c r="AK23" s="308">
        <v>0</v>
      </c>
      <c r="AL23" s="308">
        <v>0</v>
      </c>
      <c r="AM23" s="308">
        <v>0</v>
      </c>
      <c r="AN23" s="253"/>
      <c r="AO23" s="253"/>
      <c r="AP23" s="253"/>
      <c r="AQ23"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1307</v>
      </c>
      <c r="AR23"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1625</v>
      </c>
      <c r="AS23"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23" s="269"/>
      <c r="AU23" s="269"/>
      <c r="AV23" s="269"/>
      <c r="AW23" s="269"/>
      <c r="AX23" s="269"/>
      <c r="AY23" s="269"/>
      <c r="AZ23" s="269"/>
      <c r="BA23" s="269"/>
      <c r="BB23" s="269"/>
      <c r="BC23" s="269"/>
      <c r="BD23" s="269"/>
      <c r="BE23" s="269"/>
      <c r="BF23" s="269"/>
      <c r="BG23" s="269"/>
      <c r="BH23" s="269"/>
      <c r="BI23" s="269"/>
      <c r="BJ23" s="269"/>
      <c r="BK23" s="264"/>
      <c r="BL23" s="270"/>
      <c r="BM23" s="270"/>
      <c r="BN23" s="270"/>
      <c r="BO23"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23"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23"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24" spans="1:69" hidden="1" x14ac:dyDescent="0.3">
      <c r="A24" s="260" t="str">
        <f>Territorialización[[#This Row],[Código proyecto]]&amp;Territorialización[[#This Row],[No Meta proyecto]]</f>
        <v>77442</v>
      </c>
      <c r="B24" s="229" t="str">
        <f t="shared" si="0"/>
        <v>77442-2</v>
      </c>
      <c r="C24" s="229">
        <f>Proyecto!$B$19</f>
        <v>7744</v>
      </c>
      <c r="D24" s="261" t="str">
        <f>Proyecto!$D$19</f>
        <v>Generación de Oportunidades para el Desarrollo Integral de la Niñez y la Adolescencia de Bogotá</v>
      </c>
      <c r="E24" s="248">
        <v>2</v>
      </c>
      <c r="F24" s="261" t="str">
        <f>VLOOKUP(A24,ESTRATÉGICO!$C$3:$AA$110,14,0)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24" s="249">
        <v>2</v>
      </c>
      <c r="H24" s="243" t="str">
        <f>VLOOKUP(Territorialización[[#This Row],[No. Localidad]],LISTAS!$F$1:$G$22,2,0)</f>
        <v>Chapinero</v>
      </c>
      <c r="I24" s="229" t="str">
        <f>IFERROR(VLOOKUP([2]!Territorialización[[#This Row],[No. Localidad]],[2]Listas!$F$96:$H$117,3,0),"...")</f>
        <v>...</v>
      </c>
      <c r="J24" s="258">
        <v>11060</v>
      </c>
      <c r="K24" s="259">
        <v>13333302</v>
      </c>
      <c r="L24" s="262" t="s">
        <v>1214</v>
      </c>
      <c r="M24" s="259">
        <v>13333302</v>
      </c>
      <c r="N24" s="263" t="s">
        <v>1212</v>
      </c>
      <c r="O24" s="263" t="s">
        <v>1213</v>
      </c>
      <c r="P24" s="314">
        <v>1271</v>
      </c>
      <c r="Q24" s="265">
        <v>1641531000</v>
      </c>
      <c r="R24" s="266">
        <v>0</v>
      </c>
      <c r="S24" s="267"/>
      <c r="T24" s="268"/>
      <c r="U24" s="266"/>
      <c r="V24" s="308">
        <v>439</v>
      </c>
      <c r="W24" s="308">
        <v>462</v>
      </c>
      <c r="X24" s="308">
        <v>0</v>
      </c>
      <c r="Y24" s="308">
        <v>0</v>
      </c>
      <c r="Z24" s="308">
        <v>0</v>
      </c>
      <c r="AA24" s="308">
        <v>0</v>
      </c>
      <c r="AB24" s="308">
        <v>0</v>
      </c>
      <c r="AC24" s="308">
        <v>33</v>
      </c>
      <c r="AD24" s="308">
        <v>0</v>
      </c>
      <c r="AE24" s="308">
        <v>0</v>
      </c>
      <c r="AF24" s="308">
        <v>175</v>
      </c>
      <c r="AG24" s="308">
        <v>0</v>
      </c>
      <c r="AH24" s="308">
        <v>33</v>
      </c>
      <c r="AI24" s="308">
        <v>129</v>
      </c>
      <c r="AJ24" s="308">
        <v>0</v>
      </c>
      <c r="AK24" s="308">
        <v>0</v>
      </c>
      <c r="AL24" s="308">
        <v>0</v>
      </c>
      <c r="AM24" s="308">
        <v>0</v>
      </c>
      <c r="AN24" s="254"/>
      <c r="AO24" s="254"/>
      <c r="AP24" s="254"/>
      <c r="AQ24"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472</v>
      </c>
      <c r="AR24"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799</v>
      </c>
      <c r="AS24"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24" s="269"/>
      <c r="AU24" s="269"/>
      <c r="AV24" s="269"/>
      <c r="AW24" s="269"/>
      <c r="AX24" s="269"/>
      <c r="AY24" s="269"/>
      <c r="AZ24" s="269"/>
      <c r="BA24" s="269"/>
      <c r="BB24" s="269"/>
      <c r="BC24" s="269"/>
      <c r="BD24" s="269"/>
      <c r="BE24" s="269"/>
      <c r="BF24" s="269"/>
      <c r="BG24" s="269"/>
      <c r="BH24" s="269"/>
      <c r="BI24" s="269"/>
      <c r="BJ24" s="269"/>
      <c r="BK24" s="264"/>
      <c r="BL24" s="264"/>
      <c r="BM24" s="264"/>
      <c r="BN24" s="264"/>
      <c r="BO24"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24"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24"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25" spans="1:69" hidden="1" x14ac:dyDescent="0.3">
      <c r="A25" s="260" t="str">
        <f>Territorialización[[#This Row],[Código proyecto]]&amp;Territorialización[[#This Row],[No Meta proyecto]]</f>
        <v>77442</v>
      </c>
      <c r="B25" s="229" t="str">
        <f t="shared" si="0"/>
        <v>77442-3</v>
      </c>
      <c r="C25" s="229">
        <f>Proyecto!$B$19</f>
        <v>7744</v>
      </c>
      <c r="D25" s="261" t="str">
        <f>Proyecto!$D$19</f>
        <v>Generación de Oportunidades para el Desarrollo Integral de la Niñez y la Adolescencia de Bogotá</v>
      </c>
      <c r="E25" s="248">
        <v>2</v>
      </c>
      <c r="F25" s="261" t="str">
        <f>VLOOKUP(A25,ESTRATÉGICO!$C$3:$AA$110,14,0)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25" s="249">
        <v>3</v>
      </c>
      <c r="H25" s="243" t="str">
        <f>VLOOKUP(Territorialización[[#This Row],[No. Localidad]],LISTAS!$F$1:$G$22,2,0)</f>
        <v>Santa fe</v>
      </c>
      <c r="I25" s="229" t="str">
        <f>IFERROR(VLOOKUP([2]!Territorialización[[#This Row],[No. Localidad]],[2]Listas!$F$96:$H$117,3,0),"...")</f>
        <v>...</v>
      </c>
      <c r="J25" s="258">
        <v>11061</v>
      </c>
      <c r="K25" s="259">
        <v>13333303</v>
      </c>
      <c r="L25" s="262" t="s">
        <v>1215</v>
      </c>
      <c r="M25" s="259">
        <v>13333303</v>
      </c>
      <c r="N25" s="263" t="s">
        <v>1212</v>
      </c>
      <c r="O25" s="263" t="s">
        <v>1213</v>
      </c>
      <c r="P25" s="314">
        <v>2170</v>
      </c>
      <c r="Q25" s="265">
        <v>2682525000</v>
      </c>
      <c r="R25" s="266">
        <v>0</v>
      </c>
      <c r="S25" s="267"/>
      <c r="T25" s="268"/>
      <c r="U25" s="266"/>
      <c r="V25" s="308">
        <v>938</v>
      </c>
      <c r="W25" s="308">
        <v>832</v>
      </c>
      <c r="X25" s="308">
        <v>0</v>
      </c>
      <c r="Y25" s="308">
        <v>0</v>
      </c>
      <c r="Z25" s="308">
        <v>0</v>
      </c>
      <c r="AA25" s="308">
        <v>0</v>
      </c>
      <c r="AB25" s="308">
        <v>0</v>
      </c>
      <c r="AC25" s="308">
        <v>58</v>
      </c>
      <c r="AD25" s="308">
        <v>0</v>
      </c>
      <c r="AE25" s="308">
        <v>0</v>
      </c>
      <c r="AF25" s="308">
        <v>177</v>
      </c>
      <c r="AG25" s="308">
        <v>0</v>
      </c>
      <c r="AH25" s="308">
        <v>11</v>
      </c>
      <c r="AI25" s="308">
        <v>153</v>
      </c>
      <c r="AJ25" s="308">
        <v>0</v>
      </c>
      <c r="AK25" s="308">
        <v>0</v>
      </c>
      <c r="AL25" s="308">
        <v>1</v>
      </c>
      <c r="AM25" s="308">
        <v>0</v>
      </c>
      <c r="AN25" s="255"/>
      <c r="AO25" s="255"/>
      <c r="AP25" s="255"/>
      <c r="AQ25"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949</v>
      </c>
      <c r="AR25"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1221</v>
      </c>
      <c r="AS25"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25" s="269"/>
      <c r="AU25" s="269"/>
      <c r="AV25" s="269"/>
      <c r="AW25" s="269"/>
      <c r="AX25" s="269"/>
      <c r="AY25" s="269"/>
      <c r="AZ25" s="269"/>
      <c r="BA25" s="269"/>
      <c r="BB25" s="269"/>
      <c r="BC25" s="269"/>
      <c r="BD25" s="269"/>
      <c r="BE25" s="269"/>
      <c r="BF25" s="269"/>
      <c r="BG25" s="269"/>
      <c r="BH25" s="269"/>
      <c r="BI25" s="269"/>
      <c r="BJ25" s="269"/>
      <c r="BK25" s="264"/>
      <c r="BL25" s="264"/>
      <c r="BM25" s="264"/>
      <c r="BN25" s="264"/>
      <c r="BO25"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25"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25"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26" spans="1:69" hidden="1" x14ac:dyDescent="0.3">
      <c r="A26" s="260" t="str">
        <f>Territorialización[[#This Row],[Código proyecto]]&amp;Territorialización[[#This Row],[No Meta proyecto]]</f>
        <v>77442</v>
      </c>
      <c r="B26" s="229" t="str">
        <f t="shared" si="0"/>
        <v>77442-4</v>
      </c>
      <c r="C26" s="229">
        <f>Proyecto!$B$19</f>
        <v>7744</v>
      </c>
      <c r="D26" s="261" t="str">
        <f>Proyecto!$D$19</f>
        <v>Generación de Oportunidades para el Desarrollo Integral de la Niñez y la Adolescencia de Bogotá</v>
      </c>
      <c r="E26" s="248">
        <v>2</v>
      </c>
      <c r="F26" s="261" t="str">
        <f>VLOOKUP(A26,ESTRATÉGICO!$C$3:$AA$110,14,0)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26" s="249">
        <v>4</v>
      </c>
      <c r="H26" s="243" t="str">
        <f>VLOOKUP(Territorialización[[#This Row],[No. Localidad]],LISTAS!$F$1:$G$22,2,0)</f>
        <v>San Cristobal</v>
      </c>
      <c r="I26" s="229" t="str">
        <f>IFERROR(VLOOKUP([2]!Territorialización[[#This Row],[No. Localidad]],[2]Listas!$F$96:$H$117,3,0),"...")</f>
        <v>...</v>
      </c>
      <c r="J26" s="258">
        <v>11062</v>
      </c>
      <c r="K26" s="259">
        <v>13333304</v>
      </c>
      <c r="L26" s="262" t="s">
        <v>1216</v>
      </c>
      <c r="M26" s="259">
        <v>13333304</v>
      </c>
      <c r="N26" s="263" t="s">
        <v>1212</v>
      </c>
      <c r="O26" s="263" t="s">
        <v>1213</v>
      </c>
      <c r="P26" s="314">
        <v>4155</v>
      </c>
      <c r="Q26" s="265">
        <v>8169055000</v>
      </c>
      <c r="R26" s="266">
        <v>0</v>
      </c>
      <c r="S26" s="267"/>
      <c r="T26" s="268"/>
      <c r="U26" s="266"/>
      <c r="V26" s="308">
        <v>1951</v>
      </c>
      <c r="W26" s="308">
        <v>1900</v>
      </c>
      <c r="X26" s="308">
        <v>2</v>
      </c>
      <c r="Y26" s="308">
        <v>0</v>
      </c>
      <c r="Z26" s="308">
        <v>0</v>
      </c>
      <c r="AA26" s="308">
        <v>0</v>
      </c>
      <c r="AB26" s="308">
        <v>0</v>
      </c>
      <c r="AC26" s="308">
        <v>48</v>
      </c>
      <c r="AD26" s="308">
        <v>0</v>
      </c>
      <c r="AE26" s="308">
        <v>1</v>
      </c>
      <c r="AF26" s="308">
        <v>142</v>
      </c>
      <c r="AG26" s="308">
        <v>0</v>
      </c>
      <c r="AH26" s="308">
        <v>0</v>
      </c>
      <c r="AI26" s="308">
        <v>111</v>
      </c>
      <c r="AJ26" s="308">
        <v>0</v>
      </c>
      <c r="AK26" s="308">
        <v>0</v>
      </c>
      <c r="AL26" s="308">
        <v>0</v>
      </c>
      <c r="AM26" s="308">
        <v>0</v>
      </c>
      <c r="AN26" s="255"/>
      <c r="AO26" s="255"/>
      <c r="AP26" s="255"/>
      <c r="AQ26"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1952</v>
      </c>
      <c r="AR26"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2201</v>
      </c>
      <c r="AS26"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2</v>
      </c>
      <c r="AT26" s="269"/>
      <c r="AU26" s="269"/>
      <c r="AV26" s="269"/>
      <c r="AW26" s="269"/>
      <c r="AX26" s="269"/>
      <c r="AY26" s="269"/>
      <c r="AZ26" s="269"/>
      <c r="BA26" s="269"/>
      <c r="BB26" s="269"/>
      <c r="BC26" s="269"/>
      <c r="BD26" s="269"/>
      <c r="BE26" s="269"/>
      <c r="BF26" s="269"/>
      <c r="BG26" s="269"/>
      <c r="BH26" s="269"/>
      <c r="BI26" s="269"/>
      <c r="BJ26" s="269"/>
      <c r="BK26" s="264"/>
      <c r="BL26" s="264"/>
      <c r="BM26" s="264"/>
      <c r="BN26" s="264"/>
      <c r="BO26"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26"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26"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27" spans="1:69" hidden="1" x14ac:dyDescent="0.3">
      <c r="A27" s="260" t="str">
        <f>Territorialización[[#This Row],[Código proyecto]]&amp;Territorialización[[#This Row],[No Meta proyecto]]</f>
        <v>77442</v>
      </c>
      <c r="B27" s="229" t="str">
        <f t="shared" si="0"/>
        <v>77442-5</v>
      </c>
      <c r="C27" s="229">
        <f>Proyecto!$B$19</f>
        <v>7744</v>
      </c>
      <c r="D27" s="261" t="str">
        <f>Proyecto!$D$19</f>
        <v>Generación de Oportunidades para el Desarrollo Integral de la Niñez y la Adolescencia de Bogotá</v>
      </c>
      <c r="E27" s="248">
        <v>2</v>
      </c>
      <c r="F27" s="261" t="str">
        <f>VLOOKUP(A27,ESTRATÉGICO!$C$3:$AA$110,14,0)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27" s="249">
        <v>5</v>
      </c>
      <c r="H27" s="243" t="str">
        <f>VLOOKUP(Territorialización[[#This Row],[No. Localidad]],LISTAS!$F$1:$G$22,2,0)</f>
        <v>Usme</v>
      </c>
      <c r="I27" s="229" t="str">
        <f>IFERROR(VLOOKUP([2]!Territorialización[[#This Row],[No. Localidad]],[2]Listas!$F$96:$H$117,3,0),"...")</f>
        <v>...</v>
      </c>
      <c r="J27" s="258">
        <v>11063</v>
      </c>
      <c r="K27" s="259">
        <v>13333305</v>
      </c>
      <c r="L27" s="262" t="s">
        <v>1217</v>
      </c>
      <c r="M27" s="259">
        <v>13333305</v>
      </c>
      <c r="N27" s="263" t="s">
        <v>1212</v>
      </c>
      <c r="O27" s="263" t="s">
        <v>1213</v>
      </c>
      <c r="P27" s="314">
        <v>7160</v>
      </c>
      <c r="Q27" s="265">
        <v>8958626745</v>
      </c>
      <c r="R27" s="266">
        <v>0</v>
      </c>
      <c r="S27" s="267"/>
      <c r="T27" s="268"/>
      <c r="U27" s="266"/>
      <c r="V27" s="308">
        <v>3417</v>
      </c>
      <c r="W27" s="308">
        <v>3321</v>
      </c>
      <c r="X27" s="308">
        <v>2</v>
      </c>
      <c r="Y27" s="308">
        <v>0</v>
      </c>
      <c r="Z27" s="308">
        <v>0</v>
      </c>
      <c r="AA27" s="308">
        <v>0</v>
      </c>
      <c r="AB27" s="308">
        <v>0</v>
      </c>
      <c r="AC27" s="308">
        <v>19</v>
      </c>
      <c r="AD27" s="308">
        <v>0</v>
      </c>
      <c r="AE27" s="308">
        <v>1</v>
      </c>
      <c r="AF27" s="308">
        <v>204</v>
      </c>
      <c r="AG27" s="308">
        <v>1</v>
      </c>
      <c r="AH27" s="308">
        <v>0</v>
      </c>
      <c r="AI27" s="308">
        <v>195</v>
      </c>
      <c r="AJ27" s="308">
        <v>0</v>
      </c>
      <c r="AK27" s="308">
        <v>0</v>
      </c>
      <c r="AL27" s="308">
        <v>0</v>
      </c>
      <c r="AM27" s="308">
        <v>0</v>
      </c>
      <c r="AN27" s="255"/>
      <c r="AO27" s="255"/>
      <c r="AP27" s="255"/>
      <c r="AQ27"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3418</v>
      </c>
      <c r="AR27"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3739</v>
      </c>
      <c r="AS27"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3</v>
      </c>
      <c r="AT27" s="269"/>
      <c r="AU27" s="269"/>
      <c r="AV27" s="269"/>
      <c r="AW27" s="269"/>
      <c r="AX27" s="269"/>
      <c r="AY27" s="269"/>
      <c r="AZ27" s="269"/>
      <c r="BA27" s="269"/>
      <c r="BB27" s="269"/>
      <c r="BC27" s="269"/>
      <c r="BD27" s="269"/>
      <c r="BE27" s="269"/>
      <c r="BF27" s="269"/>
      <c r="BG27" s="269"/>
      <c r="BH27" s="269"/>
      <c r="BI27" s="269"/>
      <c r="BJ27" s="269"/>
      <c r="BK27" s="264"/>
      <c r="BL27" s="264"/>
      <c r="BM27" s="264"/>
      <c r="BN27" s="264"/>
      <c r="BO27"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27"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27"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28" spans="1:69" hidden="1" x14ac:dyDescent="0.3">
      <c r="A28" s="260" t="str">
        <f>Territorialización[[#This Row],[Código proyecto]]&amp;Territorialización[[#This Row],[No Meta proyecto]]</f>
        <v>77442</v>
      </c>
      <c r="B28" s="229" t="str">
        <f t="shared" si="0"/>
        <v>77442-6</v>
      </c>
      <c r="C28" s="229">
        <f>Proyecto!$B$19</f>
        <v>7744</v>
      </c>
      <c r="D28" s="261" t="str">
        <f>Proyecto!$D$19</f>
        <v>Generación de Oportunidades para el Desarrollo Integral de la Niñez y la Adolescencia de Bogotá</v>
      </c>
      <c r="E28" s="248">
        <v>2</v>
      </c>
      <c r="F28" s="261" t="str">
        <f>VLOOKUP(A28,ESTRATÉGICO!$C$3:$AA$110,14,0)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28" s="249">
        <v>6</v>
      </c>
      <c r="H28" s="243" t="str">
        <f>VLOOKUP(Territorialización[[#This Row],[No. Localidad]],LISTAS!$F$1:$G$22,2,0)</f>
        <v>Tunjuelito</v>
      </c>
      <c r="I28" s="229" t="str">
        <f>IFERROR(VLOOKUP([2]!Territorialización[[#This Row],[No. Localidad]],[2]Listas!$F$96:$H$117,3,0),"...")</f>
        <v>...</v>
      </c>
      <c r="J28" s="258">
        <v>11064</v>
      </c>
      <c r="K28" s="259">
        <v>13333306</v>
      </c>
      <c r="L28" s="262" t="s">
        <v>1218</v>
      </c>
      <c r="M28" s="259">
        <v>13333306</v>
      </c>
      <c r="N28" s="263" t="s">
        <v>1212</v>
      </c>
      <c r="O28" s="263" t="s">
        <v>1213</v>
      </c>
      <c r="P28" s="314">
        <v>2595</v>
      </c>
      <c r="Q28" s="265">
        <v>4965442000</v>
      </c>
      <c r="R28" s="266">
        <v>0</v>
      </c>
      <c r="S28" s="267"/>
      <c r="T28" s="268"/>
      <c r="U28" s="266"/>
      <c r="V28" s="308">
        <v>1161</v>
      </c>
      <c r="W28" s="308">
        <v>1057</v>
      </c>
      <c r="X28" s="308">
        <v>1</v>
      </c>
      <c r="Y28" s="308">
        <v>0</v>
      </c>
      <c r="Z28" s="308">
        <v>0</v>
      </c>
      <c r="AA28" s="308">
        <v>0</v>
      </c>
      <c r="AB28" s="308">
        <v>0</v>
      </c>
      <c r="AC28" s="308">
        <v>35</v>
      </c>
      <c r="AD28" s="308">
        <v>0</v>
      </c>
      <c r="AE28" s="308">
        <v>0</v>
      </c>
      <c r="AF28" s="308">
        <v>154</v>
      </c>
      <c r="AG28" s="308">
        <v>0</v>
      </c>
      <c r="AH28" s="308">
        <v>21</v>
      </c>
      <c r="AI28" s="308">
        <v>166</v>
      </c>
      <c r="AJ28" s="308">
        <v>0</v>
      </c>
      <c r="AK28" s="308">
        <v>0</v>
      </c>
      <c r="AL28" s="308">
        <v>0</v>
      </c>
      <c r="AM28" s="308">
        <v>0</v>
      </c>
      <c r="AN28" s="255"/>
      <c r="AO28" s="255"/>
      <c r="AP28" s="255"/>
      <c r="AQ28"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1182</v>
      </c>
      <c r="AR28"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1412</v>
      </c>
      <c r="AS28"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1</v>
      </c>
      <c r="AT28" s="269"/>
      <c r="AU28" s="269"/>
      <c r="AV28" s="269"/>
      <c r="AW28" s="269"/>
      <c r="AX28" s="269"/>
      <c r="AY28" s="269"/>
      <c r="AZ28" s="269"/>
      <c r="BA28" s="269"/>
      <c r="BB28" s="269"/>
      <c r="BC28" s="269"/>
      <c r="BD28" s="269"/>
      <c r="BE28" s="269"/>
      <c r="BF28" s="269"/>
      <c r="BG28" s="269"/>
      <c r="BH28" s="269"/>
      <c r="BI28" s="269"/>
      <c r="BJ28" s="269"/>
      <c r="BK28" s="264"/>
      <c r="BL28" s="264"/>
      <c r="BM28" s="264"/>
      <c r="BN28" s="264"/>
      <c r="BO28"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28"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28"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29" spans="1:69" hidden="1" x14ac:dyDescent="0.3">
      <c r="A29" s="260" t="str">
        <f>Territorialización[[#This Row],[Código proyecto]]&amp;Territorialización[[#This Row],[No Meta proyecto]]</f>
        <v>77442</v>
      </c>
      <c r="B29" s="229" t="str">
        <f t="shared" si="0"/>
        <v>77442-7</v>
      </c>
      <c r="C29" s="229">
        <f>Proyecto!$B$19</f>
        <v>7744</v>
      </c>
      <c r="D29" s="261" t="str">
        <f>Proyecto!$D$19</f>
        <v>Generación de Oportunidades para el Desarrollo Integral de la Niñez y la Adolescencia de Bogotá</v>
      </c>
      <c r="E29" s="248">
        <v>2</v>
      </c>
      <c r="F29" s="261" t="str">
        <f>VLOOKUP(A29,ESTRATÉGICO!$C$3:$AA$110,14,0)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29" s="249">
        <v>7</v>
      </c>
      <c r="H29" s="243" t="str">
        <f>VLOOKUP(Territorialización[[#This Row],[No. Localidad]],LISTAS!$F$1:$G$22,2,0)</f>
        <v>Bosa</v>
      </c>
      <c r="I29" s="229" t="str">
        <f>IFERROR(VLOOKUP([2]!Territorialización[[#This Row],[No. Localidad]],[2]Listas!$F$96:$H$117,3,0),"...")</f>
        <v>...</v>
      </c>
      <c r="J29" s="258">
        <v>11065</v>
      </c>
      <c r="K29" s="259">
        <v>13333307</v>
      </c>
      <c r="L29" s="262" t="s">
        <v>1219</v>
      </c>
      <c r="M29" s="259">
        <v>13333307</v>
      </c>
      <c r="N29" s="263" t="s">
        <v>1212</v>
      </c>
      <c r="O29" s="263" t="s">
        <v>1213</v>
      </c>
      <c r="P29" s="314">
        <v>10242</v>
      </c>
      <c r="Q29" s="265">
        <v>17457455000</v>
      </c>
      <c r="R29" s="266">
        <v>0</v>
      </c>
      <c r="S29" s="267"/>
      <c r="T29" s="268"/>
      <c r="U29" s="266"/>
      <c r="V29" s="308">
        <v>5081</v>
      </c>
      <c r="W29" s="308">
        <v>4773</v>
      </c>
      <c r="X29" s="308">
        <v>0</v>
      </c>
      <c r="Y29" s="308">
        <v>0</v>
      </c>
      <c r="Z29" s="308">
        <v>1</v>
      </c>
      <c r="AA29" s="308">
        <v>0</v>
      </c>
      <c r="AB29" s="308">
        <v>0</v>
      </c>
      <c r="AC29" s="308">
        <v>30</v>
      </c>
      <c r="AD29" s="308">
        <v>0</v>
      </c>
      <c r="AE29" s="308">
        <v>0</v>
      </c>
      <c r="AF29" s="308">
        <v>176</v>
      </c>
      <c r="AG29" s="308">
        <v>0</v>
      </c>
      <c r="AH29" s="308">
        <v>0</v>
      </c>
      <c r="AI29" s="308">
        <v>181</v>
      </c>
      <c r="AJ29" s="308">
        <v>0</v>
      </c>
      <c r="AK29" s="308">
        <v>0</v>
      </c>
      <c r="AL29" s="308">
        <v>0</v>
      </c>
      <c r="AM29" s="308">
        <v>0</v>
      </c>
      <c r="AN29" s="255"/>
      <c r="AO29" s="255"/>
      <c r="AP29" s="255"/>
      <c r="AQ29"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5081</v>
      </c>
      <c r="AR29"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5161</v>
      </c>
      <c r="AS29"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29" s="269"/>
      <c r="AU29" s="269"/>
      <c r="AV29" s="269"/>
      <c r="AW29" s="269"/>
      <c r="AX29" s="269"/>
      <c r="AY29" s="269"/>
      <c r="AZ29" s="269"/>
      <c r="BA29" s="269"/>
      <c r="BB29" s="269"/>
      <c r="BC29" s="269"/>
      <c r="BD29" s="269"/>
      <c r="BE29" s="269"/>
      <c r="BF29" s="269"/>
      <c r="BG29" s="269"/>
      <c r="BH29" s="269"/>
      <c r="BI29" s="269"/>
      <c r="BJ29" s="269"/>
      <c r="BK29" s="264"/>
      <c r="BL29" s="264"/>
      <c r="BM29" s="264"/>
      <c r="BN29" s="264"/>
      <c r="BO29"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29"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29"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30" spans="1:69" hidden="1" x14ac:dyDescent="0.3">
      <c r="A30" s="260" t="str">
        <f>Territorialización[[#This Row],[Código proyecto]]&amp;Territorialización[[#This Row],[No Meta proyecto]]</f>
        <v>77442</v>
      </c>
      <c r="B30" s="229" t="str">
        <f t="shared" si="0"/>
        <v>77442-8</v>
      </c>
      <c r="C30" s="229">
        <f>Proyecto!$B$19</f>
        <v>7744</v>
      </c>
      <c r="D30" s="261" t="str">
        <f>Proyecto!$D$19</f>
        <v>Generación de Oportunidades para el Desarrollo Integral de la Niñez y la Adolescencia de Bogotá</v>
      </c>
      <c r="E30" s="248">
        <v>2</v>
      </c>
      <c r="F30" s="261" t="str">
        <f>VLOOKUP(A30,ESTRATÉGICO!$C$3:$AA$110,14,0)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30" s="249">
        <v>8</v>
      </c>
      <c r="H30" s="243" t="str">
        <f>VLOOKUP(Territorialización[[#This Row],[No. Localidad]],LISTAS!$F$1:$G$22,2,0)</f>
        <v>Kennedy</v>
      </c>
      <c r="I30" s="229" t="str">
        <f>IFERROR(VLOOKUP([2]!Territorialización[[#This Row],[No. Localidad]],[2]Listas!$F$96:$H$117,3,0),"...")</f>
        <v>...</v>
      </c>
      <c r="J30" s="258">
        <v>11066</v>
      </c>
      <c r="K30" s="259">
        <v>13333308</v>
      </c>
      <c r="L30" s="262" t="s">
        <v>1220</v>
      </c>
      <c r="M30" s="259">
        <v>13333308</v>
      </c>
      <c r="N30" s="263" t="s">
        <v>1212</v>
      </c>
      <c r="O30" s="263" t="s">
        <v>1213</v>
      </c>
      <c r="P30" s="314">
        <v>7461</v>
      </c>
      <c r="Q30" s="265">
        <v>14553710000</v>
      </c>
      <c r="R30" s="266">
        <v>0</v>
      </c>
      <c r="S30" s="267"/>
      <c r="T30" s="268"/>
      <c r="U30" s="266"/>
      <c r="V30" s="308">
        <v>3724</v>
      </c>
      <c r="W30" s="308">
        <v>3425</v>
      </c>
      <c r="X30" s="308">
        <v>1</v>
      </c>
      <c r="Y30" s="308">
        <v>0</v>
      </c>
      <c r="Z30" s="308">
        <v>0</v>
      </c>
      <c r="AA30" s="308">
        <v>0</v>
      </c>
      <c r="AB30" s="308">
        <v>0</v>
      </c>
      <c r="AC30" s="308">
        <v>15</v>
      </c>
      <c r="AD30" s="308">
        <v>0</v>
      </c>
      <c r="AE30" s="308">
        <v>0</v>
      </c>
      <c r="AF30" s="308">
        <v>141</v>
      </c>
      <c r="AG30" s="308">
        <v>0</v>
      </c>
      <c r="AH30" s="308">
        <v>0</v>
      </c>
      <c r="AI30" s="308">
        <v>155</v>
      </c>
      <c r="AJ30" s="308">
        <v>0</v>
      </c>
      <c r="AK30" s="308">
        <v>0</v>
      </c>
      <c r="AL30" s="308">
        <v>0</v>
      </c>
      <c r="AM30" s="308">
        <v>0</v>
      </c>
      <c r="AN30" s="255"/>
      <c r="AO30" s="255"/>
      <c r="AP30" s="255"/>
      <c r="AQ30"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3724</v>
      </c>
      <c r="AR30"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3736</v>
      </c>
      <c r="AS30"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1</v>
      </c>
      <c r="AT30" s="269"/>
      <c r="AU30" s="269"/>
      <c r="AV30" s="269"/>
      <c r="AW30" s="269"/>
      <c r="AX30" s="269"/>
      <c r="AY30" s="269"/>
      <c r="AZ30" s="269"/>
      <c r="BA30" s="269"/>
      <c r="BB30" s="269"/>
      <c r="BC30" s="269"/>
      <c r="BD30" s="269"/>
      <c r="BE30" s="269"/>
      <c r="BF30" s="269"/>
      <c r="BG30" s="269"/>
      <c r="BH30" s="269"/>
      <c r="BI30" s="269"/>
      <c r="BJ30" s="269"/>
      <c r="BK30" s="264"/>
      <c r="BL30" s="264"/>
      <c r="BM30" s="264"/>
      <c r="BN30" s="264"/>
      <c r="BO30"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30"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30"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31" spans="1:69" hidden="1" x14ac:dyDescent="0.3">
      <c r="A31" s="260" t="str">
        <f>Territorialización[[#This Row],[Código proyecto]]&amp;Territorialización[[#This Row],[No Meta proyecto]]</f>
        <v>77442</v>
      </c>
      <c r="B31" s="229" t="str">
        <f t="shared" si="0"/>
        <v>77442-9</v>
      </c>
      <c r="C31" s="229">
        <f>Proyecto!$B$19</f>
        <v>7744</v>
      </c>
      <c r="D31" s="261" t="str">
        <f>Proyecto!$D$19</f>
        <v>Generación de Oportunidades para el Desarrollo Integral de la Niñez y la Adolescencia de Bogotá</v>
      </c>
      <c r="E31" s="248">
        <v>2</v>
      </c>
      <c r="F31" s="261" t="str">
        <f>VLOOKUP(A31,ESTRATÉGICO!$C$3:$AA$110,14,0)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31" s="249">
        <v>9</v>
      </c>
      <c r="H31" s="243" t="str">
        <f>VLOOKUP(Territorialización[[#This Row],[No. Localidad]],LISTAS!$F$1:$G$22,2,0)</f>
        <v>Fontibón</v>
      </c>
      <c r="I31" s="229" t="str">
        <f>IFERROR(VLOOKUP([2]!Territorialización[[#This Row],[No. Localidad]],[2]Listas!$F$96:$H$117,3,0),"...")</f>
        <v>...</v>
      </c>
      <c r="J31" s="258">
        <v>11067</v>
      </c>
      <c r="K31" s="259">
        <v>13333309</v>
      </c>
      <c r="L31" s="262" t="s">
        <v>1221</v>
      </c>
      <c r="M31" s="259">
        <v>13333309</v>
      </c>
      <c r="N31" s="263" t="s">
        <v>1212</v>
      </c>
      <c r="O31" s="263" t="s">
        <v>1213</v>
      </c>
      <c r="P31" s="314">
        <v>2482</v>
      </c>
      <c r="Q31" s="265">
        <v>6427092000</v>
      </c>
      <c r="R31" s="266">
        <v>0</v>
      </c>
      <c r="S31" s="267"/>
      <c r="T31" s="268"/>
      <c r="U31" s="266"/>
      <c r="V31" s="308">
        <v>1095</v>
      </c>
      <c r="W31" s="308">
        <v>1039</v>
      </c>
      <c r="X31" s="308">
        <v>0</v>
      </c>
      <c r="Y31" s="308">
        <v>1</v>
      </c>
      <c r="Z31" s="308">
        <v>0</v>
      </c>
      <c r="AA31" s="308">
        <v>0</v>
      </c>
      <c r="AB31" s="308">
        <v>0</v>
      </c>
      <c r="AC31" s="308">
        <v>25</v>
      </c>
      <c r="AD31" s="308">
        <v>0</v>
      </c>
      <c r="AE31" s="308">
        <v>1</v>
      </c>
      <c r="AF31" s="308">
        <v>139</v>
      </c>
      <c r="AG31" s="308">
        <v>0</v>
      </c>
      <c r="AH31" s="308">
        <v>32</v>
      </c>
      <c r="AI31" s="308">
        <v>150</v>
      </c>
      <c r="AJ31" s="308">
        <v>0</v>
      </c>
      <c r="AK31" s="308">
        <v>0</v>
      </c>
      <c r="AL31" s="308">
        <v>0</v>
      </c>
      <c r="AM31" s="308">
        <v>0</v>
      </c>
      <c r="AN31" s="255"/>
      <c r="AO31" s="255"/>
      <c r="AP31" s="255"/>
      <c r="AQ31"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1129</v>
      </c>
      <c r="AR31"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1353</v>
      </c>
      <c r="AS31"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31" s="269"/>
      <c r="AU31" s="269"/>
      <c r="AV31" s="269"/>
      <c r="AW31" s="269"/>
      <c r="AX31" s="269"/>
      <c r="AY31" s="269"/>
      <c r="AZ31" s="269"/>
      <c r="BA31" s="269"/>
      <c r="BB31" s="269"/>
      <c r="BC31" s="269"/>
      <c r="BD31" s="269"/>
      <c r="BE31" s="269"/>
      <c r="BF31" s="269"/>
      <c r="BG31" s="269"/>
      <c r="BH31" s="269"/>
      <c r="BI31" s="269"/>
      <c r="BJ31" s="269"/>
      <c r="BK31" s="264"/>
      <c r="BL31" s="264"/>
      <c r="BM31" s="264"/>
      <c r="BN31" s="264"/>
      <c r="BO31"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31"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31"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32" spans="1:69" hidden="1" x14ac:dyDescent="0.3">
      <c r="A32" s="260" t="str">
        <f>Territorialización[[#This Row],[Código proyecto]]&amp;Territorialización[[#This Row],[No Meta proyecto]]</f>
        <v>77442</v>
      </c>
      <c r="B32" s="229" t="str">
        <f t="shared" si="0"/>
        <v>77442-10</v>
      </c>
      <c r="C32" s="229">
        <f>Proyecto!$B$19</f>
        <v>7744</v>
      </c>
      <c r="D32" s="261" t="str">
        <f>Proyecto!$D$19</f>
        <v>Generación de Oportunidades para el Desarrollo Integral de la Niñez y la Adolescencia de Bogotá</v>
      </c>
      <c r="E32" s="248">
        <v>2</v>
      </c>
      <c r="F32" s="261" t="str">
        <f>VLOOKUP(A32,ESTRATÉGICO!$C$3:$AA$110,14,0)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32" s="249">
        <v>10</v>
      </c>
      <c r="H32" s="243" t="str">
        <f>VLOOKUP(Territorialización[[#This Row],[No. Localidad]],LISTAS!$F$1:$G$22,2,0)</f>
        <v>Engativá</v>
      </c>
      <c r="I32" s="229" t="str">
        <f>IFERROR(VLOOKUP([2]!Territorialización[[#This Row],[No. Localidad]],[2]Listas!$F$96:$H$117,3,0),"...")</f>
        <v>...</v>
      </c>
      <c r="J32" s="258">
        <v>11068</v>
      </c>
      <c r="K32" s="259">
        <v>13333310</v>
      </c>
      <c r="L32" s="262" t="s">
        <v>1222</v>
      </c>
      <c r="M32" s="259">
        <v>13333310</v>
      </c>
      <c r="N32" s="263" t="s">
        <v>1212</v>
      </c>
      <c r="O32" s="263" t="s">
        <v>1213</v>
      </c>
      <c r="P32" s="314">
        <v>3398</v>
      </c>
      <c r="Q32" s="265">
        <v>11421912000</v>
      </c>
      <c r="R32" s="266">
        <v>0</v>
      </c>
      <c r="S32" s="267"/>
      <c r="T32" s="268"/>
      <c r="U32" s="266"/>
      <c r="V32" s="308">
        <v>1508</v>
      </c>
      <c r="W32" s="308">
        <v>1567</v>
      </c>
      <c r="X32" s="308">
        <v>0</v>
      </c>
      <c r="Y32" s="308">
        <v>0</v>
      </c>
      <c r="Z32" s="308">
        <v>0</v>
      </c>
      <c r="AA32" s="308">
        <v>0</v>
      </c>
      <c r="AB32" s="308">
        <v>0</v>
      </c>
      <c r="AC32" s="308">
        <v>3</v>
      </c>
      <c r="AD32" s="308">
        <v>0</v>
      </c>
      <c r="AE32" s="308">
        <v>0</v>
      </c>
      <c r="AF32" s="308">
        <v>134</v>
      </c>
      <c r="AG32" s="308">
        <v>0</v>
      </c>
      <c r="AH32" s="308">
        <v>41</v>
      </c>
      <c r="AI32" s="308">
        <v>145</v>
      </c>
      <c r="AJ32" s="308">
        <v>0</v>
      </c>
      <c r="AK32" s="308">
        <v>0</v>
      </c>
      <c r="AL32" s="308">
        <v>0</v>
      </c>
      <c r="AM32" s="308">
        <v>0</v>
      </c>
      <c r="AN32" s="255"/>
      <c r="AO32" s="255"/>
      <c r="AP32" s="255"/>
      <c r="AQ32"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1549</v>
      </c>
      <c r="AR32"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1849</v>
      </c>
      <c r="AS32"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32" s="269"/>
      <c r="AU32" s="269"/>
      <c r="AV32" s="269"/>
      <c r="AW32" s="269"/>
      <c r="AX32" s="269"/>
      <c r="AY32" s="269"/>
      <c r="AZ32" s="269"/>
      <c r="BA32" s="269"/>
      <c r="BB32" s="269"/>
      <c r="BC32" s="269"/>
      <c r="BD32" s="269"/>
      <c r="BE32" s="269"/>
      <c r="BF32" s="269"/>
      <c r="BG32" s="269"/>
      <c r="BH32" s="269"/>
      <c r="BI32" s="269"/>
      <c r="BJ32" s="269"/>
      <c r="BK32" s="264"/>
      <c r="BL32" s="264"/>
      <c r="BM32" s="264"/>
      <c r="BN32" s="264"/>
      <c r="BO32"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32"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32"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33" spans="1:69" hidden="1" x14ac:dyDescent="0.3">
      <c r="A33" s="260" t="str">
        <f>Territorialización[[#This Row],[Código proyecto]]&amp;Territorialización[[#This Row],[No Meta proyecto]]</f>
        <v>77442</v>
      </c>
      <c r="B33" s="229" t="str">
        <f t="shared" si="0"/>
        <v>77442-11</v>
      </c>
      <c r="C33" s="229">
        <f>Proyecto!$B$19</f>
        <v>7744</v>
      </c>
      <c r="D33" s="261" t="str">
        <f>Proyecto!$D$19</f>
        <v>Generación de Oportunidades para el Desarrollo Integral de la Niñez y la Adolescencia de Bogotá</v>
      </c>
      <c r="E33" s="248">
        <v>2</v>
      </c>
      <c r="F33" s="261" t="str">
        <f>VLOOKUP(A33,ESTRATÉGICO!$C$3:$AA$110,14,0)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33" s="249">
        <v>11</v>
      </c>
      <c r="H33" s="243" t="str">
        <f>VLOOKUP(Territorialización[[#This Row],[No. Localidad]],LISTAS!$F$1:$G$22,2,0)</f>
        <v>Suba</v>
      </c>
      <c r="I33" s="229" t="str">
        <f>IFERROR(VLOOKUP([2]!Territorialización[[#This Row],[No. Localidad]],[2]Listas!$F$96:$H$117,3,0),"...")</f>
        <v>...</v>
      </c>
      <c r="J33" s="258">
        <v>11069</v>
      </c>
      <c r="K33" s="259">
        <v>13333311</v>
      </c>
      <c r="L33" s="262" t="s">
        <v>1223</v>
      </c>
      <c r="M33" s="259">
        <v>13333311</v>
      </c>
      <c r="N33" s="263" t="s">
        <v>1212</v>
      </c>
      <c r="O33" s="263" t="s">
        <v>1213</v>
      </c>
      <c r="P33" s="314">
        <v>6867</v>
      </c>
      <c r="Q33" s="265">
        <v>18024645000</v>
      </c>
      <c r="R33" s="266">
        <v>0</v>
      </c>
      <c r="S33" s="267"/>
      <c r="T33" s="268"/>
      <c r="U33" s="266"/>
      <c r="V33" s="308">
        <v>3397</v>
      </c>
      <c r="W33" s="308">
        <v>3198</v>
      </c>
      <c r="X33" s="308">
        <v>1</v>
      </c>
      <c r="Y33" s="308">
        <v>0</v>
      </c>
      <c r="Z33" s="308">
        <v>0</v>
      </c>
      <c r="AA33" s="308">
        <v>0</v>
      </c>
      <c r="AB33" s="308">
        <v>0</v>
      </c>
      <c r="AC33" s="308">
        <v>61</v>
      </c>
      <c r="AD33" s="308">
        <v>0</v>
      </c>
      <c r="AE33" s="308">
        <v>0</v>
      </c>
      <c r="AF33" s="308">
        <v>109</v>
      </c>
      <c r="AG33" s="308">
        <v>0</v>
      </c>
      <c r="AH33" s="308">
        <v>0</v>
      </c>
      <c r="AI33" s="308">
        <v>101</v>
      </c>
      <c r="AJ33" s="308">
        <v>0</v>
      </c>
      <c r="AK33" s="308">
        <v>0</v>
      </c>
      <c r="AL33" s="308">
        <v>0</v>
      </c>
      <c r="AM33" s="308">
        <v>0</v>
      </c>
      <c r="AN33" s="255"/>
      <c r="AO33" s="255"/>
      <c r="AP33" s="255"/>
      <c r="AQ33"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3397</v>
      </c>
      <c r="AR33"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3469</v>
      </c>
      <c r="AS33"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1</v>
      </c>
      <c r="AT33" s="269"/>
      <c r="AU33" s="269"/>
      <c r="AV33" s="269"/>
      <c r="AW33" s="269"/>
      <c r="AX33" s="269"/>
      <c r="AY33" s="269"/>
      <c r="AZ33" s="269"/>
      <c r="BA33" s="269"/>
      <c r="BB33" s="269"/>
      <c r="BC33" s="269"/>
      <c r="BD33" s="269"/>
      <c r="BE33" s="269"/>
      <c r="BF33" s="269"/>
      <c r="BG33" s="269"/>
      <c r="BH33" s="269"/>
      <c r="BI33" s="269"/>
      <c r="BJ33" s="269"/>
      <c r="BK33" s="264"/>
      <c r="BL33" s="264"/>
      <c r="BM33" s="264"/>
      <c r="BN33" s="264"/>
      <c r="BO33"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33"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33"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34" spans="1:69" hidden="1" x14ac:dyDescent="0.3">
      <c r="A34" s="260" t="str">
        <f>Territorialización[[#This Row],[Código proyecto]]&amp;Territorialización[[#This Row],[No Meta proyecto]]</f>
        <v>77442</v>
      </c>
      <c r="B34" s="229" t="str">
        <f t="shared" si="0"/>
        <v>77442-12</v>
      </c>
      <c r="C34" s="229">
        <f>Proyecto!$B$19</f>
        <v>7744</v>
      </c>
      <c r="D34" s="261" t="str">
        <f>Proyecto!$D$19</f>
        <v>Generación de Oportunidades para el Desarrollo Integral de la Niñez y la Adolescencia de Bogotá</v>
      </c>
      <c r="E34" s="248">
        <v>2</v>
      </c>
      <c r="F34" s="261" t="str">
        <f>VLOOKUP(A34,ESTRATÉGICO!$C$3:$AA$110,14,0)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34" s="249">
        <v>12</v>
      </c>
      <c r="H34" s="243" t="str">
        <f>VLOOKUP(Territorialización[[#This Row],[No. Localidad]],LISTAS!$F$1:$G$22,2,0)</f>
        <v>Barrios Unidos</v>
      </c>
      <c r="I34" s="229" t="str">
        <f>IFERROR(VLOOKUP([2]!Territorialización[[#This Row],[No. Localidad]],[2]Listas!$F$96:$H$117,3,0),"...")</f>
        <v>...</v>
      </c>
      <c r="J34" s="258">
        <v>11070</v>
      </c>
      <c r="K34" s="259">
        <v>13333312</v>
      </c>
      <c r="L34" s="262" t="s">
        <v>1224</v>
      </c>
      <c r="M34" s="259">
        <v>13333312</v>
      </c>
      <c r="N34" s="263" t="s">
        <v>1212</v>
      </c>
      <c r="O34" s="263" t="s">
        <v>1213</v>
      </c>
      <c r="P34" s="314">
        <v>996</v>
      </c>
      <c r="Q34" s="265">
        <v>1643197344</v>
      </c>
      <c r="R34" s="266">
        <v>0</v>
      </c>
      <c r="S34" s="267"/>
      <c r="T34" s="268"/>
      <c r="U34" s="266"/>
      <c r="V34" s="308">
        <v>400</v>
      </c>
      <c r="W34" s="308">
        <v>353</v>
      </c>
      <c r="X34" s="308">
        <v>0</v>
      </c>
      <c r="Y34" s="308">
        <v>0</v>
      </c>
      <c r="Z34" s="308">
        <v>0</v>
      </c>
      <c r="AA34" s="308">
        <v>0</v>
      </c>
      <c r="AB34" s="308">
        <v>0</v>
      </c>
      <c r="AC34" s="308">
        <v>0</v>
      </c>
      <c r="AD34" s="308">
        <v>0</v>
      </c>
      <c r="AE34" s="308">
        <v>0</v>
      </c>
      <c r="AF34" s="308">
        <v>116</v>
      </c>
      <c r="AG34" s="308">
        <v>0</v>
      </c>
      <c r="AH34" s="308">
        <v>0</v>
      </c>
      <c r="AI34" s="308">
        <v>127</v>
      </c>
      <c r="AJ34" s="308">
        <v>0</v>
      </c>
      <c r="AK34" s="308">
        <v>0</v>
      </c>
      <c r="AL34" s="308">
        <v>0</v>
      </c>
      <c r="AM34" s="308">
        <v>0</v>
      </c>
      <c r="AN34" s="255"/>
      <c r="AO34" s="255"/>
      <c r="AP34" s="255"/>
      <c r="AQ34"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400</v>
      </c>
      <c r="AR34"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596</v>
      </c>
      <c r="AS34"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34" s="269"/>
      <c r="AU34" s="269"/>
      <c r="AV34" s="269"/>
      <c r="AW34" s="269"/>
      <c r="AX34" s="269"/>
      <c r="AY34" s="269"/>
      <c r="AZ34" s="269"/>
      <c r="BA34" s="269"/>
      <c r="BB34" s="269"/>
      <c r="BC34" s="269"/>
      <c r="BD34" s="269"/>
      <c r="BE34" s="269"/>
      <c r="BF34" s="269"/>
      <c r="BG34" s="269"/>
      <c r="BH34" s="269"/>
      <c r="BI34" s="269"/>
      <c r="BJ34" s="269"/>
      <c r="BK34" s="264"/>
      <c r="BL34" s="264"/>
      <c r="BM34" s="264"/>
      <c r="BN34" s="264"/>
      <c r="BO34"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34"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34"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35" spans="1:69" hidden="1" x14ac:dyDescent="0.3">
      <c r="A35" s="260" t="str">
        <f>Territorialización[[#This Row],[Código proyecto]]&amp;Territorialización[[#This Row],[No Meta proyecto]]</f>
        <v>77442</v>
      </c>
      <c r="B35" s="229" t="str">
        <f t="shared" si="0"/>
        <v>77442-13</v>
      </c>
      <c r="C35" s="229">
        <f>Proyecto!$B$19</f>
        <v>7744</v>
      </c>
      <c r="D35" s="261" t="str">
        <f>Proyecto!$D$19</f>
        <v>Generación de Oportunidades para el Desarrollo Integral de la Niñez y la Adolescencia de Bogotá</v>
      </c>
      <c r="E35" s="248">
        <v>2</v>
      </c>
      <c r="F35" s="261" t="str">
        <f>VLOOKUP(A35,ESTRATÉGICO!$C$3:$AA$110,14,0)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35" s="249">
        <v>13</v>
      </c>
      <c r="H35" s="243" t="str">
        <f>VLOOKUP(Territorialización[[#This Row],[No. Localidad]],LISTAS!$F$1:$G$22,2,0)</f>
        <v>Teusaquillo</v>
      </c>
      <c r="I35" s="229" t="str">
        <f>IFERROR(VLOOKUP([2]!Territorialización[[#This Row],[No. Localidad]],[2]Listas!$F$96:$H$117,3,0),"...")</f>
        <v>...</v>
      </c>
      <c r="J35" s="258">
        <v>11071</v>
      </c>
      <c r="K35" s="259">
        <v>13333313</v>
      </c>
      <c r="L35" s="262" t="s">
        <v>1225</v>
      </c>
      <c r="M35" s="259">
        <v>13333313</v>
      </c>
      <c r="N35" s="263" t="s">
        <v>1212</v>
      </c>
      <c r="O35" s="263" t="s">
        <v>1213</v>
      </c>
      <c r="P35" s="314">
        <v>906</v>
      </c>
      <c r="Q35" s="265">
        <v>1494715656</v>
      </c>
      <c r="R35" s="266">
        <v>0</v>
      </c>
      <c r="S35" s="267"/>
      <c r="T35" s="268"/>
      <c r="U35" s="266"/>
      <c r="V35" s="308">
        <v>551</v>
      </c>
      <c r="W35" s="308">
        <v>131</v>
      </c>
      <c r="X35" s="308">
        <v>0</v>
      </c>
      <c r="Y35" s="308">
        <v>0</v>
      </c>
      <c r="Z35" s="308">
        <v>0</v>
      </c>
      <c r="AA35" s="308">
        <v>0</v>
      </c>
      <c r="AB35" s="308">
        <v>0</v>
      </c>
      <c r="AC35" s="308">
        <v>0</v>
      </c>
      <c r="AD35" s="308">
        <v>0</v>
      </c>
      <c r="AE35" s="308">
        <v>0</v>
      </c>
      <c r="AF35" s="308">
        <v>112</v>
      </c>
      <c r="AG35" s="308">
        <v>0</v>
      </c>
      <c r="AH35" s="308">
        <v>0</v>
      </c>
      <c r="AI35" s="308">
        <v>112</v>
      </c>
      <c r="AJ35" s="308">
        <v>0</v>
      </c>
      <c r="AK35" s="308">
        <v>0</v>
      </c>
      <c r="AL35" s="308">
        <v>0</v>
      </c>
      <c r="AM35" s="308">
        <v>0</v>
      </c>
      <c r="AN35" s="255"/>
      <c r="AO35" s="255"/>
      <c r="AP35" s="255"/>
      <c r="AQ35"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551</v>
      </c>
      <c r="AR35"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355</v>
      </c>
      <c r="AS35"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35" s="269"/>
      <c r="AU35" s="269"/>
      <c r="AV35" s="269"/>
      <c r="AW35" s="269"/>
      <c r="AX35" s="269"/>
      <c r="AY35" s="269"/>
      <c r="AZ35" s="269"/>
      <c r="BA35" s="269"/>
      <c r="BB35" s="269"/>
      <c r="BC35" s="269"/>
      <c r="BD35" s="269"/>
      <c r="BE35" s="269"/>
      <c r="BF35" s="269"/>
      <c r="BG35" s="269"/>
      <c r="BH35" s="269"/>
      <c r="BI35" s="269"/>
      <c r="BJ35" s="269"/>
      <c r="BK35" s="264"/>
      <c r="BL35" s="264"/>
      <c r="BM35" s="264"/>
      <c r="BN35" s="264"/>
      <c r="BO35"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35"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35"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36" spans="1:69" hidden="1" x14ac:dyDescent="0.3">
      <c r="A36" s="260" t="str">
        <f>Territorialización[[#This Row],[Código proyecto]]&amp;Territorialización[[#This Row],[No Meta proyecto]]</f>
        <v>77442</v>
      </c>
      <c r="B36" s="229" t="str">
        <f t="shared" si="0"/>
        <v>77442-14</v>
      </c>
      <c r="C36" s="229">
        <f>Proyecto!$B$19</f>
        <v>7744</v>
      </c>
      <c r="D36" s="261" t="str">
        <f>Proyecto!$D$19</f>
        <v>Generación de Oportunidades para el Desarrollo Integral de la Niñez y la Adolescencia de Bogotá</v>
      </c>
      <c r="E36" s="248">
        <v>2</v>
      </c>
      <c r="F36" s="261" t="str">
        <f>VLOOKUP(A36,ESTRATÉGICO!$C$3:$AA$110,14,0)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36" s="249">
        <v>14</v>
      </c>
      <c r="H36" s="243" t="str">
        <f>VLOOKUP(Territorialización[[#This Row],[No. Localidad]],LISTAS!$F$1:$G$22,2,0)</f>
        <v>Los Mártires</v>
      </c>
      <c r="I36" s="229" t="str">
        <f>IFERROR(VLOOKUP([2]!Territorialización[[#This Row],[No. Localidad]],[2]Listas!$F$96:$H$117,3,0),"...")</f>
        <v>...</v>
      </c>
      <c r="J36" s="258">
        <v>11072</v>
      </c>
      <c r="K36" s="259">
        <v>13333314</v>
      </c>
      <c r="L36" s="262" t="s">
        <v>1226</v>
      </c>
      <c r="M36" s="259">
        <v>13333314</v>
      </c>
      <c r="N36" s="263" t="s">
        <v>1212</v>
      </c>
      <c r="O36" s="263" t="s">
        <v>1213</v>
      </c>
      <c r="P36" s="314">
        <v>1247</v>
      </c>
      <c r="Q36" s="265">
        <v>3676486000</v>
      </c>
      <c r="R36" s="266">
        <v>0</v>
      </c>
      <c r="S36" s="267"/>
      <c r="T36" s="268"/>
      <c r="U36" s="266"/>
      <c r="V36" s="308">
        <v>569</v>
      </c>
      <c r="W36" s="308">
        <v>524</v>
      </c>
      <c r="X36" s="308">
        <v>0</v>
      </c>
      <c r="Y36" s="308">
        <v>1</v>
      </c>
      <c r="Z36" s="308">
        <v>0</v>
      </c>
      <c r="AA36" s="308">
        <v>0</v>
      </c>
      <c r="AB36" s="308">
        <v>1</v>
      </c>
      <c r="AC36" s="308">
        <v>0</v>
      </c>
      <c r="AD36" s="308">
        <v>0</v>
      </c>
      <c r="AE36" s="308">
        <v>0</v>
      </c>
      <c r="AF36" s="308">
        <v>81</v>
      </c>
      <c r="AG36" s="308">
        <v>0</v>
      </c>
      <c r="AH36" s="308">
        <v>0</v>
      </c>
      <c r="AI36" s="308">
        <v>71</v>
      </c>
      <c r="AJ36" s="308">
        <v>0</v>
      </c>
      <c r="AK36" s="308">
        <v>0</v>
      </c>
      <c r="AL36" s="308">
        <v>0</v>
      </c>
      <c r="AM36" s="308">
        <v>0</v>
      </c>
      <c r="AN36" s="255"/>
      <c r="AO36" s="255"/>
      <c r="AP36" s="255"/>
      <c r="AQ36"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571</v>
      </c>
      <c r="AR36"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676</v>
      </c>
      <c r="AS36"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36" s="269"/>
      <c r="AU36" s="269"/>
      <c r="AV36" s="269"/>
      <c r="AW36" s="269"/>
      <c r="AX36" s="269"/>
      <c r="AY36" s="269"/>
      <c r="AZ36" s="269"/>
      <c r="BA36" s="269"/>
      <c r="BB36" s="269"/>
      <c r="BC36" s="269"/>
      <c r="BD36" s="269"/>
      <c r="BE36" s="269"/>
      <c r="BF36" s="269"/>
      <c r="BG36" s="269"/>
      <c r="BH36" s="269"/>
      <c r="BI36" s="269"/>
      <c r="BJ36" s="269"/>
      <c r="BK36" s="264"/>
      <c r="BL36" s="264"/>
      <c r="BM36" s="264"/>
      <c r="BN36" s="264"/>
      <c r="BO36"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36"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36"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37" spans="1:69" hidden="1" x14ac:dyDescent="0.3">
      <c r="A37" s="260" t="str">
        <f>Territorialización[[#This Row],[Código proyecto]]&amp;Territorialización[[#This Row],[No Meta proyecto]]</f>
        <v>77442</v>
      </c>
      <c r="B37" s="229" t="str">
        <f t="shared" si="0"/>
        <v>77442-15</v>
      </c>
      <c r="C37" s="229">
        <f>Proyecto!$B$19</f>
        <v>7744</v>
      </c>
      <c r="D37" s="261" t="str">
        <f>Proyecto!$D$19</f>
        <v>Generación de Oportunidades para el Desarrollo Integral de la Niñez y la Adolescencia de Bogotá</v>
      </c>
      <c r="E37" s="248">
        <v>2</v>
      </c>
      <c r="F37" s="261" t="str">
        <f>VLOOKUP(A37,ESTRATÉGICO!$C$3:$AA$110,14,0)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37" s="249">
        <v>15</v>
      </c>
      <c r="H37" s="243" t="str">
        <f>VLOOKUP(Territorialización[[#This Row],[No. Localidad]],LISTAS!$F$1:$G$22,2,0)</f>
        <v>Antonio Nariño</v>
      </c>
      <c r="I37" s="229" t="str">
        <f>IFERROR(VLOOKUP([2]!Territorialización[[#This Row],[No. Localidad]],[2]Listas!$F$96:$H$117,3,0),"...")</f>
        <v>...</v>
      </c>
      <c r="J37" s="258">
        <v>11073</v>
      </c>
      <c r="K37" s="259">
        <v>13333316</v>
      </c>
      <c r="L37" s="262" t="s">
        <v>1227</v>
      </c>
      <c r="M37" s="259">
        <v>13333316</v>
      </c>
      <c r="N37" s="263" t="s">
        <v>1212</v>
      </c>
      <c r="O37" s="263" t="s">
        <v>1213</v>
      </c>
      <c r="P37" s="314">
        <v>715</v>
      </c>
      <c r="Q37" s="265">
        <v>1772995900</v>
      </c>
      <c r="R37" s="266">
        <v>0</v>
      </c>
      <c r="S37" s="267"/>
      <c r="T37" s="268"/>
      <c r="U37" s="266"/>
      <c r="V37" s="308">
        <v>276</v>
      </c>
      <c r="W37" s="308">
        <v>284</v>
      </c>
      <c r="X37" s="308">
        <v>0</v>
      </c>
      <c r="Y37" s="308">
        <v>0</v>
      </c>
      <c r="Z37" s="308">
        <v>0</v>
      </c>
      <c r="AA37" s="308">
        <v>0</v>
      </c>
      <c r="AB37" s="308">
        <v>0</v>
      </c>
      <c r="AC37" s="308">
        <v>12</v>
      </c>
      <c r="AD37" s="308">
        <v>0</v>
      </c>
      <c r="AE37" s="308">
        <v>0</v>
      </c>
      <c r="AF37" s="308">
        <v>108</v>
      </c>
      <c r="AG37" s="308">
        <v>0</v>
      </c>
      <c r="AH37" s="308">
        <v>0</v>
      </c>
      <c r="AI37" s="308">
        <v>35</v>
      </c>
      <c r="AJ37" s="308">
        <v>0</v>
      </c>
      <c r="AK37" s="308">
        <v>0</v>
      </c>
      <c r="AL37" s="308">
        <v>0</v>
      </c>
      <c r="AM37" s="308">
        <v>0</v>
      </c>
      <c r="AN37" s="255"/>
      <c r="AO37" s="255"/>
      <c r="AP37" s="255"/>
      <c r="AQ37"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276</v>
      </c>
      <c r="AR37"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439</v>
      </c>
      <c r="AS37"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37" s="269"/>
      <c r="AU37" s="269"/>
      <c r="AV37" s="269"/>
      <c r="AW37" s="269"/>
      <c r="AX37" s="269"/>
      <c r="AY37" s="269"/>
      <c r="AZ37" s="269"/>
      <c r="BA37" s="269"/>
      <c r="BB37" s="269"/>
      <c r="BC37" s="269"/>
      <c r="BD37" s="269"/>
      <c r="BE37" s="269"/>
      <c r="BF37" s="269"/>
      <c r="BG37" s="269"/>
      <c r="BH37" s="269"/>
      <c r="BI37" s="269"/>
      <c r="BJ37" s="269"/>
      <c r="BK37" s="264"/>
      <c r="BL37" s="264"/>
      <c r="BM37" s="264"/>
      <c r="BN37" s="264"/>
      <c r="BO37"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37"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37"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38" spans="1:69" hidden="1" x14ac:dyDescent="0.3">
      <c r="A38" s="260" t="str">
        <f>Territorialización[[#This Row],[Código proyecto]]&amp;Territorialización[[#This Row],[No Meta proyecto]]</f>
        <v>77442</v>
      </c>
      <c r="B38" s="229" t="str">
        <f t="shared" si="0"/>
        <v>77442-16</v>
      </c>
      <c r="C38" s="229">
        <f>Proyecto!$B$19</f>
        <v>7744</v>
      </c>
      <c r="D38" s="261" t="str">
        <f>Proyecto!$D$19</f>
        <v>Generación de Oportunidades para el Desarrollo Integral de la Niñez y la Adolescencia de Bogotá</v>
      </c>
      <c r="E38" s="248">
        <v>2</v>
      </c>
      <c r="F38" s="261" t="str">
        <f>VLOOKUP(A38,ESTRATÉGICO!$C$3:$AA$110,14,0)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38" s="249">
        <v>16</v>
      </c>
      <c r="H38" s="243" t="str">
        <f>VLOOKUP(Territorialización[[#This Row],[No. Localidad]],LISTAS!$F$1:$G$22,2,0)</f>
        <v>Puente Aranda</v>
      </c>
      <c r="I38" s="229" t="str">
        <f>IFERROR(VLOOKUP([2]!Territorialización[[#This Row],[No. Localidad]],[2]Listas!$F$96:$H$117,3,0),"...")</f>
        <v>...</v>
      </c>
      <c r="J38" s="258">
        <v>11074</v>
      </c>
      <c r="K38" s="259">
        <v>13333313</v>
      </c>
      <c r="L38" s="262" t="s">
        <v>1228</v>
      </c>
      <c r="M38" s="259">
        <v>13333313</v>
      </c>
      <c r="N38" s="263" t="s">
        <v>1212</v>
      </c>
      <c r="O38" s="263" t="s">
        <v>1213</v>
      </c>
      <c r="P38" s="314">
        <v>1485</v>
      </c>
      <c r="Q38" s="265">
        <v>3682376100.0000005</v>
      </c>
      <c r="R38" s="266">
        <v>0</v>
      </c>
      <c r="S38" s="267"/>
      <c r="T38" s="268"/>
      <c r="U38" s="266"/>
      <c r="V38" s="308">
        <v>656</v>
      </c>
      <c r="W38" s="308">
        <v>567</v>
      </c>
      <c r="X38" s="308">
        <v>0</v>
      </c>
      <c r="Y38" s="308">
        <v>0</v>
      </c>
      <c r="Z38" s="308">
        <v>0</v>
      </c>
      <c r="AA38" s="308">
        <v>0</v>
      </c>
      <c r="AB38" s="308">
        <v>0</v>
      </c>
      <c r="AC38" s="308">
        <v>11</v>
      </c>
      <c r="AD38" s="308">
        <v>0</v>
      </c>
      <c r="AE38" s="308">
        <v>0</v>
      </c>
      <c r="AF38" s="308">
        <v>188</v>
      </c>
      <c r="AG38" s="308">
        <v>0</v>
      </c>
      <c r="AH38" s="308">
        <v>0</v>
      </c>
      <c r="AI38" s="308">
        <v>62</v>
      </c>
      <c r="AJ38" s="308">
        <v>0</v>
      </c>
      <c r="AK38" s="308">
        <v>0</v>
      </c>
      <c r="AL38" s="308">
        <v>1</v>
      </c>
      <c r="AM38" s="308">
        <v>0</v>
      </c>
      <c r="AN38" s="255"/>
      <c r="AO38" s="255"/>
      <c r="AP38" s="255"/>
      <c r="AQ38"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656</v>
      </c>
      <c r="AR38"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829</v>
      </c>
      <c r="AS38"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38" s="269"/>
      <c r="AU38" s="269"/>
      <c r="AV38" s="269"/>
      <c r="AW38" s="269"/>
      <c r="AX38" s="269"/>
      <c r="AY38" s="269"/>
      <c r="AZ38" s="269"/>
      <c r="BA38" s="269"/>
      <c r="BB38" s="269"/>
      <c r="BC38" s="269"/>
      <c r="BD38" s="269"/>
      <c r="BE38" s="269"/>
      <c r="BF38" s="269"/>
      <c r="BG38" s="269"/>
      <c r="BH38" s="269"/>
      <c r="BI38" s="269"/>
      <c r="BJ38" s="269"/>
      <c r="BK38" s="264"/>
      <c r="BL38" s="264"/>
      <c r="BM38" s="264"/>
      <c r="BN38" s="264"/>
      <c r="BO38"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38"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38"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39" spans="1:69" hidden="1" x14ac:dyDescent="0.3">
      <c r="A39" s="260" t="str">
        <f>Territorialización[[#This Row],[Código proyecto]]&amp;Territorialización[[#This Row],[No Meta proyecto]]</f>
        <v>77442</v>
      </c>
      <c r="B39" s="229" t="str">
        <f t="shared" si="0"/>
        <v>77442-17</v>
      </c>
      <c r="C39" s="229">
        <f>Proyecto!$B$19</f>
        <v>7744</v>
      </c>
      <c r="D39" s="261" t="str">
        <f>Proyecto!$D$19</f>
        <v>Generación de Oportunidades para el Desarrollo Integral de la Niñez y la Adolescencia de Bogotá</v>
      </c>
      <c r="E39" s="248">
        <v>2</v>
      </c>
      <c r="F39" s="261" t="str">
        <f>VLOOKUP(A39,ESTRATÉGICO!$C$3:$AA$110,14,0)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39" s="249">
        <v>17</v>
      </c>
      <c r="H39" s="243" t="str">
        <f>VLOOKUP(Territorialización[[#This Row],[No. Localidad]],LISTAS!$F$1:$G$22,2,0)</f>
        <v>La Candelaria</v>
      </c>
      <c r="I39" s="229" t="str">
        <f>IFERROR(VLOOKUP([2]!Territorialización[[#This Row],[No. Localidad]],[2]Listas!$F$96:$H$117,3,0),"...")</f>
        <v>...</v>
      </c>
      <c r="J39" s="258">
        <v>11075</v>
      </c>
      <c r="K39" s="259">
        <v>13333317</v>
      </c>
      <c r="L39" s="262" t="s">
        <v>1229</v>
      </c>
      <c r="M39" s="259">
        <v>13333317</v>
      </c>
      <c r="N39" s="263" t="s">
        <v>1212</v>
      </c>
      <c r="O39" s="263" t="s">
        <v>1213</v>
      </c>
      <c r="P39" s="314">
        <v>0</v>
      </c>
      <c r="Q39" s="265">
        <v>0</v>
      </c>
      <c r="R39" s="266">
        <v>0</v>
      </c>
      <c r="S39" s="272"/>
      <c r="T39" s="266"/>
      <c r="U39" s="266"/>
      <c r="V39" s="308">
        <v>0</v>
      </c>
      <c r="W39" s="308">
        <v>0</v>
      </c>
      <c r="X39" s="308">
        <v>0</v>
      </c>
      <c r="Y39" s="308">
        <v>0</v>
      </c>
      <c r="Z39" s="308">
        <v>0</v>
      </c>
      <c r="AA39" s="308">
        <v>0</v>
      </c>
      <c r="AB39" s="308">
        <v>0</v>
      </c>
      <c r="AC39" s="308">
        <v>0</v>
      </c>
      <c r="AD39" s="308">
        <v>0</v>
      </c>
      <c r="AE39" s="308">
        <v>0</v>
      </c>
      <c r="AF39" s="308">
        <v>0</v>
      </c>
      <c r="AG39" s="308">
        <v>0</v>
      </c>
      <c r="AH39" s="308">
        <v>0</v>
      </c>
      <c r="AI39" s="308">
        <v>0</v>
      </c>
      <c r="AJ39" s="308">
        <v>0</v>
      </c>
      <c r="AK39" s="308">
        <v>0</v>
      </c>
      <c r="AL39" s="308">
        <v>0</v>
      </c>
      <c r="AM39" s="308">
        <v>0</v>
      </c>
      <c r="AN39" s="255"/>
      <c r="AO39" s="255"/>
      <c r="AP39" s="255"/>
      <c r="AQ39"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0</v>
      </c>
      <c r="AR39"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0</v>
      </c>
      <c r="AS39"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39"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39"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40" spans="1:69" hidden="1" x14ac:dyDescent="0.3">
      <c r="A40" s="260" t="str">
        <f>Territorialización[[#This Row],[Código proyecto]]&amp;Territorialización[[#This Row],[No Meta proyecto]]</f>
        <v>77442</v>
      </c>
      <c r="B40" s="229" t="str">
        <f t="shared" si="0"/>
        <v>77442-18</v>
      </c>
      <c r="C40" s="229">
        <f>Proyecto!$B$19</f>
        <v>7744</v>
      </c>
      <c r="D40" s="261" t="str">
        <f>Proyecto!$D$19</f>
        <v>Generación de Oportunidades para el Desarrollo Integral de la Niñez y la Adolescencia de Bogotá</v>
      </c>
      <c r="E40" s="248">
        <v>2</v>
      </c>
      <c r="F40" s="261" t="str">
        <f>VLOOKUP(A40,ESTRATÉGICO!$C$3:$AA$110,14,0)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40" s="249">
        <v>18</v>
      </c>
      <c r="H40" s="243" t="str">
        <f>VLOOKUP(Territorialización[[#This Row],[No. Localidad]],LISTAS!$F$1:$G$22,2,0)</f>
        <v>Rafael Uribe</v>
      </c>
      <c r="I40" s="229" t="str">
        <f>IFERROR(VLOOKUP([2]!Territorialización[[#This Row],[No. Localidad]],[2]Listas!$F$96:$H$117,3,0),"...")</f>
        <v>...</v>
      </c>
      <c r="J40" s="258">
        <v>11076</v>
      </c>
      <c r="K40" s="259">
        <v>13333318</v>
      </c>
      <c r="L40" s="262" t="s">
        <v>1230</v>
      </c>
      <c r="M40" s="259">
        <v>13333318</v>
      </c>
      <c r="N40" s="263" t="s">
        <v>1212</v>
      </c>
      <c r="O40" s="263" t="s">
        <v>1213</v>
      </c>
      <c r="P40" s="314">
        <v>4085</v>
      </c>
      <c r="Q40" s="265">
        <v>7837675000</v>
      </c>
      <c r="R40" s="266">
        <v>0</v>
      </c>
      <c r="S40" s="273"/>
      <c r="T40" s="266"/>
      <c r="U40" s="266"/>
      <c r="V40" s="308">
        <v>1934</v>
      </c>
      <c r="W40" s="308">
        <v>1920</v>
      </c>
      <c r="X40" s="308">
        <v>1</v>
      </c>
      <c r="Y40" s="308">
        <v>0</v>
      </c>
      <c r="Z40" s="308">
        <v>0</v>
      </c>
      <c r="AA40" s="308">
        <v>0</v>
      </c>
      <c r="AB40" s="308">
        <v>0</v>
      </c>
      <c r="AC40" s="308">
        <v>14</v>
      </c>
      <c r="AD40" s="308">
        <v>0</v>
      </c>
      <c r="AE40" s="308">
        <v>0</v>
      </c>
      <c r="AF40" s="308">
        <v>172</v>
      </c>
      <c r="AG40" s="308">
        <v>0</v>
      </c>
      <c r="AH40" s="308">
        <v>0</v>
      </c>
      <c r="AI40" s="308">
        <v>44</v>
      </c>
      <c r="AJ40" s="308">
        <v>0</v>
      </c>
      <c r="AK40" s="308">
        <v>0</v>
      </c>
      <c r="AL40" s="308">
        <v>0</v>
      </c>
      <c r="AM40" s="308">
        <v>0</v>
      </c>
      <c r="AN40" s="255"/>
      <c r="AO40" s="255"/>
      <c r="AP40" s="255"/>
      <c r="AQ40"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1934</v>
      </c>
      <c r="AR40"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2150</v>
      </c>
      <c r="AS40"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1</v>
      </c>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40"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40"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41" spans="1:69" hidden="1" x14ac:dyDescent="0.3">
      <c r="A41" s="260" t="str">
        <f>Territorialización[[#This Row],[Código proyecto]]&amp;Territorialización[[#This Row],[No Meta proyecto]]</f>
        <v>77442</v>
      </c>
      <c r="B41" s="229" t="str">
        <f t="shared" si="0"/>
        <v>77442-19</v>
      </c>
      <c r="C41" s="229">
        <f>Proyecto!$B$19</f>
        <v>7744</v>
      </c>
      <c r="D41" s="261" t="str">
        <f>Proyecto!$D$19</f>
        <v>Generación de Oportunidades para el Desarrollo Integral de la Niñez y la Adolescencia de Bogotá</v>
      </c>
      <c r="E41" s="248">
        <v>2</v>
      </c>
      <c r="F41" s="261" t="str">
        <f>VLOOKUP(A41,ESTRATÉGICO!$C$3:$AA$110,14,0)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41" s="249">
        <v>19</v>
      </c>
      <c r="H41" s="243" t="str">
        <f>VLOOKUP(Territorialización[[#This Row],[No. Localidad]],LISTAS!$F$1:$G$22,2,0)</f>
        <v>Ciudad Bolivar</v>
      </c>
      <c r="I41" s="229" t="str">
        <f>IFERROR(VLOOKUP([2]!Territorialización[[#This Row],[No. Localidad]],[2]Listas!$F$96:$H$117,3,0),"...")</f>
        <v>...</v>
      </c>
      <c r="J41" s="258">
        <v>11077</v>
      </c>
      <c r="K41" s="259">
        <v>13333319</v>
      </c>
      <c r="L41" s="262" t="s">
        <v>1231</v>
      </c>
      <c r="M41" s="259">
        <v>13333319</v>
      </c>
      <c r="N41" s="263" t="s">
        <v>1212</v>
      </c>
      <c r="O41" s="263" t="s">
        <v>1213</v>
      </c>
      <c r="P41" s="314">
        <v>8967</v>
      </c>
      <c r="Q41" s="265">
        <v>22196441000</v>
      </c>
      <c r="R41" s="266">
        <v>0</v>
      </c>
      <c r="S41" s="274"/>
      <c r="T41" s="266"/>
      <c r="U41" s="266"/>
      <c r="V41" s="308">
        <v>3981</v>
      </c>
      <c r="W41" s="308">
        <v>3620</v>
      </c>
      <c r="X41" s="308">
        <v>1</v>
      </c>
      <c r="Y41" s="308">
        <v>0</v>
      </c>
      <c r="Z41" s="308">
        <v>0</v>
      </c>
      <c r="AA41" s="308">
        <v>0</v>
      </c>
      <c r="AB41" s="308">
        <v>0</v>
      </c>
      <c r="AC41" s="308">
        <v>32</v>
      </c>
      <c r="AD41" s="308">
        <v>0</v>
      </c>
      <c r="AE41" s="308">
        <v>17</v>
      </c>
      <c r="AF41" s="308">
        <v>492</v>
      </c>
      <c r="AG41" s="308">
        <v>0</v>
      </c>
      <c r="AH41" s="308">
        <v>177</v>
      </c>
      <c r="AI41" s="308">
        <v>644</v>
      </c>
      <c r="AJ41" s="308">
        <v>0</v>
      </c>
      <c r="AK41" s="308">
        <v>2</v>
      </c>
      <c r="AL41" s="308">
        <v>1</v>
      </c>
      <c r="AM41" s="308">
        <v>0</v>
      </c>
      <c r="AN41" s="255"/>
      <c r="AO41" s="255"/>
      <c r="AP41" s="255"/>
      <c r="AQ41"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4177</v>
      </c>
      <c r="AR41"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4789</v>
      </c>
      <c r="AS41"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1</v>
      </c>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41"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41"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42" spans="1:69" hidden="1" x14ac:dyDescent="0.3">
      <c r="A42" s="260" t="str">
        <f>Territorialización[[#This Row],[Código proyecto]]&amp;Territorialización[[#This Row],[No Meta proyecto]]</f>
        <v>77442</v>
      </c>
      <c r="B42" s="229" t="str">
        <f t="shared" si="0"/>
        <v>77442-20</v>
      </c>
      <c r="C42" s="229">
        <f>Proyecto!$B$19</f>
        <v>7744</v>
      </c>
      <c r="D42" s="261" t="str">
        <f>Proyecto!$D$19</f>
        <v>Generación de Oportunidades para el Desarrollo Integral de la Niñez y la Adolescencia de Bogotá</v>
      </c>
      <c r="E42" s="248">
        <v>2</v>
      </c>
      <c r="F42" s="261" t="str">
        <f>VLOOKUP(A42,ESTRATÉGICO!$C$3:$AA$110,14,0)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42" s="249">
        <v>20</v>
      </c>
      <c r="H42" s="243" t="str">
        <f>VLOOKUP(Territorialización[[#This Row],[No. Localidad]],LISTAS!$F$1:$G$22,2,0)</f>
        <v>Sumapaz</v>
      </c>
      <c r="I42" s="229" t="str">
        <f>IFERROR(VLOOKUP([2]!Territorialización[[#This Row],[No. Localidad]],[2]Listas!$F$96:$H$117,3,0),"...")</f>
        <v>...</v>
      </c>
      <c r="J42" s="258">
        <v>11198</v>
      </c>
      <c r="K42" s="259">
        <v>13333320</v>
      </c>
      <c r="L42" s="262" t="s">
        <v>1232</v>
      </c>
      <c r="M42" s="259">
        <v>13333320</v>
      </c>
      <c r="N42" s="263" t="s">
        <v>1212</v>
      </c>
      <c r="O42" s="263" t="s">
        <v>1213</v>
      </c>
      <c r="P42" s="314">
        <v>1866</v>
      </c>
      <c r="Q42" s="265">
        <v>2334748255</v>
      </c>
      <c r="R42" s="266">
        <v>0</v>
      </c>
      <c r="S42" s="272"/>
      <c r="T42" s="266"/>
      <c r="U42" s="266"/>
      <c r="V42" s="308">
        <v>885</v>
      </c>
      <c r="W42" s="308">
        <v>860</v>
      </c>
      <c r="X42" s="308">
        <v>0</v>
      </c>
      <c r="Y42" s="308">
        <v>0</v>
      </c>
      <c r="Z42" s="308">
        <v>1</v>
      </c>
      <c r="AA42" s="308">
        <v>0</v>
      </c>
      <c r="AB42" s="308">
        <v>0</v>
      </c>
      <c r="AC42" s="308">
        <v>12</v>
      </c>
      <c r="AD42" s="308">
        <v>0</v>
      </c>
      <c r="AE42" s="308">
        <v>0</v>
      </c>
      <c r="AF42" s="308">
        <v>97</v>
      </c>
      <c r="AG42" s="308">
        <v>0</v>
      </c>
      <c r="AH42" s="308">
        <v>0</v>
      </c>
      <c r="AI42" s="308">
        <v>11</v>
      </c>
      <c r="AJ42" s="308">
        <v>0</v>
      </c>
      <c r="AK42" s="308">
        <v>0</v>
      </c>
      <c r="AL42" s="308">
        <v>0</v>
      </c>
      <c r="AM42" s="308">
        <v>0</v>
      </c>
      <c r="AN42" s="255"/>
      <c r="AO42" s="255"/>
      <c r="AP42" s="255"/>
      <c r="AQ42"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885</v>
      </c>
      <c r="AR42"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981</v>
      </c>
      <c r="AS42"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42"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42"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43" spans="1:69" hidden="1" x14ac:dyDescent="0.3">
      <c r="A43" s="260" t="str">
        <f>Territorialización[[#This Row],[Código proyecto]]&amp;Territorialización[[#This Row],[No Meta proyecto]]</f>
        <v>77442</v>
      </c>
      <c r="B43" s="229" t="str">
        <f t="shared" si="0"/>
        <v>77442-77</v>
      </c>
      <c r="C43" s="229">
        <f>Proyecto!$B$19</f>
        <v>7744</v>
      </c>
      <c r="D43" s="261" t="str">
        <f>Proyecto!$D$19</f>
        <v>Generación de Oportunidades para el Desarrollo Integral de la Niñez y la Adolescencia de Bogotá</v>
      </c>
      <c r="E43" s="248">
        <v>2</v>
      </c>
      <c r="F43" s="261" t="str">
        <f>VLOOKUP(A43,ESTRATÉGICO!$C$3:$AA$110,14,0)</f>
        <v>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v>
      </c>
      <c r="G43" s="249">
        <v>77</v>
      </c>
      <c r="H43" s="243" t="str">
        <f>VLOOKUP(Territorialización[[#This Row],[No. Localidad]],LISTAS!$F$1:$G$22,2,0)</f>
        <v xml:space="preserve">Distrital </v>
      </c>
      <c r="I43" s="229" t="str">
        <f>IFERROR(VLOOKUP([2]!Territorialización[[#This Row],[No. Localidad]],[2]Listas!$F$96:$H$117,3,0),"...")</f>
        <v>...</v>
      </c>
      <c r="J43" s="258">
        <v>1</v>
      </c>
      <c r="K43" s="259">
        <v>19999999</v>
      </c>
      <c r="L43" s="262" t="s">
        <v>1204</v>
      </c>
      <c r="M43" s="259">
        <v>19999999</v>
      </c>
      <c r="N43" s="263" t="s">
        <v>1212</v>
      </c>
      <c r="O43" s="263" t="s">
        <v>1213</v>
      </c>
      <c r="P43" s="314">
        <v>0</v>
      </c>
      <c r="Q43" s="265">
        <v>64556110000</v>
      </c>
      <c r="R43" s="266">
        <v>0</v>
      </c>
      <c r="S43" s="272"/>
      <c r="T43" s="266"/>
      <c r="U43" s="266"/>
      <c r="V43" s="308">
        <v>0</v>
      </c>
      <c r="W43" s="308">
        <v>0</v>
      </c>
      <c r="X43" s="308">
        <v>0</v>
      </c>
      <c r="Y43" s="308">
        <v>0</v>
      </c>
      <c r="Z43" s="308">
        <v>0</v>
      </c>
      <c r="AA43" s="308">
        <v>0</v>
      </c>
      <c r="AB43" s="308">
        <v>0</v>
      </c>
      <c r="AC43" s="308">
        <v>0</v>
      </c>
      <c r="AD43" s="308">
        <v>0</v>
      </c>
      <c r="AE43" s="308">
        <v>0</v>
      </c>
      <c r="AF43" s="308">
        <v>0</v>
      </c>
      <c r="AG43" s="308">
        <v>0</v>
      </c>
      <c r="AH43" s="308">
        <v>0</v>
      </c>
      <c r="AI43" s="308">
        <v>0</v>
      </c>
      <c r="AJ43" s="308">
        <v>0</v>
      </c>
      <c r="AK43" s="308">
        <v>0</v>
      </c>
      <c r="AL43" s="308">
        <v>0</v>
      </c>
      <c r="AM43" s="308">
        <v>0</v>
      </c>
      <c r="AN43" s="255"/>
      <c r="AO43" s="255"/>
      <c r="AP43" s="255"/>
      <c r="AQ43"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0</v>
      </c>
      <c r="AR43"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0</v>
      </c>
      <c r="AS43"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43"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43"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44" spans="1:69" hidden="1" x14ac:dyDescent="0.3">
      <c r="A44" s="260" t="str">
        <f>Territorialización[[#This Row],[Código proyecto]]&amp;Territorialización[[#This Row],[No Meta proyecto]]</f>
        <v>77445</v>
      </c>
      <c r="B44" s="229" t="str">
        <f t="shared" si="0"/>
        <v>77445-1</v>
      </c>
      <c r="C44" s="229">
        <f>Proyecto!$B$19</f>
        <v>7744</v>
      </c>
      <c r="D44" s="261" t="str">
        <f>Proyecto!$D$19</f>
        <v>Generación de Oportunidades para el Desarrollo Integral de la Niñez y la Adolescencia de Bogotá</v>
      </c>
      <c r="E44" s="248">
        <v>5</v>
      </c>
      <c r="F44" s="261" t="str">
        <f>VLOOKUP(A44,ESTRATÉGICO!$C$3:$AA$110,14,0)</f>
        <v>Atender a 21200 niñas, niños y adolescentes del distrito en riesgo de trabajo infantil y violencias sexuales; y migrantes en riesgo de vulneración de sus derechos de manera flexible con enfoque diferencial y de género  </v>
      </c>
      <c r="G44" s="249">
        <v>1</v>
      </c>
      <c r="H44" s="243" t="str">
        <f>VLOOKUP(Territorialización[[#This Row],[No. Localidad]],LISTAS!$F$1:$G$22,2,0)</f>
        <v>Usaquén</v>
      </c>
      <c r="I44" s="229" t="str">
        <f>IFERROR(VLOOKUP([2]!Territorialización[[#This Row],[No. Localidad]],[2]Listas!$F$96:$H$117,3,0),"...")</f>
        <v>...</v>
      </c>
      <c r="J44" s="258">
        <v>11059</v>
      </c>
      <c r="K44" s="259">
        <v>13333301</v>
      </c>
      <c r="L44" s="262" t="s">
        <v>1211</v>
      </c>
      <c r="M44" s="259">
        <v>13333301</v>
      </c>
      <c r="N44" s="263" t="s">
        <v>1233</v>
      </c>
      <c r="O44" s="263" t="s">
        <v>1234</v>
      </c>
      <c r="P44" s="314">
        <v>1246</v>
      </c>
      <c r="Q44" s="266">
        <v>335830686</v>
      </c>
      <c r="R44" s="266">
        <v>0</v>
      </c>
      <c r="S44" s="272"/>
      <c r="T44" s="266"/>
      <c r="U44" s="266"/>
      <c r="V44" s="308">
        <v>209</v>
      </c>
      <c r="W44" s="308">
        <v>223</v>
      </c>
      <c r="X44" s="308">
        <v>0</v>
      </c>
      <c r="Y44" s="308">
        <v>274</v>
      </c>
      <c r="Z44" s="308">
        <v>264</v>
      </c>
      <c r="AA44" s="308">
        <v>0</v>
      </c>
      <c r="AB44" s="308">
        <v>108</v>
      </c>
      <c r="AC44" s="308">
        <v>90</v>
      </c>
      <c r="AD44" s="308">
        <v>0</v>
      </c>
      <c r="AE44" s="308">
        <v>0</v>
      </c>
      <c r="AF44" s="308">
        <v>0</v>
      </c>
      <c r="AG44" s="308"/>
      <c r="AH44" s="308"/>
      <c r="AI44" s="308"/>
      <c r="AJ44" s="308"/>
      <c r="AK44" s="308"/>
      <c r="AL44" s="308"/>
      <c r="AM44" s="308"/>
      <c r="AN44" s="255"/>
      <c r="AO44" s="255"/>
      <c r="AP44" s="255"/>
      <c r="AQ44"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591</v>
      </c>
      <c r="AR44"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577</v>
      </c>
      <c r="AS44"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44"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44"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45" spans="1:69" hidden="1" x14ac:dyDescent="0.3">
      <c r="A45" s="260" t="str">
        <f>Territorialización[[#This Row],[Código proyecto]]&amp;Territorialización[[#This Row],[No Meta proyecto]]</f>
        <v>77445</v>
      </c>
      <c r="B45" s="229" t="str">
        <f>C45&amp;E45&amp;"-"&amp;G45</f>
        <v>77445-2</v>
      </c>
      <c r="C45" s="229">
        <f>Proyecto!$B$19</f>
        <v>7744</v>
      </c>
      <c r="D45" s="261" t="str">
        <f>Proyecto!$D$19</f>
        <v>Generación de Oportunidades para el Desarrollo Integral de la Niñez y la Adolescencia de Bogotá</v>
      </c>
      <c r="E45" s="248">
        <v>5</v>
      </c>
      <c r="F45" s="261" t="str">
        <f>VLOOKUP(A45,ESTRATÉGICO!$C$3:$AA$110,14,0)</f>
        <v>Atender a 21200 niñas, niños y adolescentes del distrito en riesgo de trabajo infantil y violencias sexuales; y migrantes en riesgo de vulneración de sus derechos de manera flexible con enfoque diferencial y de género  </v>
      </c>
      <c r="G45" s="249">
        <v>2</v>
      </c>
      <c r="H45" s="243" t="str">
        <f>VLOOKUP(Territorialización[[#This Row],[No. Localidad]],LISTAS!$F$1:$G$22,2,0)</f>
        <v>Chapinero</v>
      </c>
      <c r="I45" s="229" t="str">
        <f>IFERROR(VLOOKUP([2]!Territorialización[[#This Row],[No. Localidad]],[2]Listas!$F$96:$H$117,3,0),"...")</f>
        <v>...</v>
      </c>
      <c r="J45" s="258">
        <v>11060</v>
      </c>
      <c r="K45" s="259">
        <v>13333302</v>
      </c>
      <c r="L45" s="262" t="s">
        <v>1214</v>
      </c>
      <c r="M45" s="259">
        <v>13333302</v>
      </c>
      <c r="N45" s="263" t="s">
        <v>1233</v>
      </c>
      <c r="O45" s="263" t="s">
        <v>1234</v>
      </c>
      <c r="P45" s="314">
        <v>1142</v>
      </c>
      <c r="Q45" s="266">
        <v>496210974</v>
      </c>
      <c r="R45" s="266">
        <v>0</v>
      </c>
      <c r="S45" s="273"/>
      <c r="T45" s="266"/>
      <c r="U45" s="266"/>
      <c r="V45" s="308">
        <v>131</v>
      </c>
      <c r="W45" s="308">
        <v>145</v>
      </c>
      <c r="X45" s="308">
        <v>0</v>
      </c>
      <c r="Y45" s="308">
        <v>335</v>
      </c>
      <c r="Z45" s="308">
        <v>319</v>
      </c>
      <c r="AA45" s="308">
        <v>0</v>
      </c>
      <c r="AB45" s="308">
        <v>73</v>
      </c>
      <c r="AC45" s="308">
        <v>110</v>
      </c>
      <c r="AD45" s="308">
        <v>0</v>
      </c>
      <c r="AE45" s="308">
        <v>0</v>
      </c>
      <c r="AF45" s="308">
        <v>0</v>
      </c>
      <c r="AG45" s="308"/>
      <c r="AH45" s="308"/>
      <c r="AI45" s="308"/>
      <c r="AJ45" s="308"/>
      <c r="AK45" s="308"/>
      <c r="AL45" s="308"/>
      <c r="AM45" s="308"/>
      <c r="AN45" s="255"/>
      <c r="AO45" s="255"/>
      <c r="AP45" s="255"/>
      <c r="AQ45" s="244">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539</v>
      </c>
      <c r="AR45" s="244">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574</v>
      </c>
      <c r="AS45" s="244">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45"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45"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46" spans="1:69" hidden="1" x14ac:dyDescent="0.3">
      <c r="A46" s="260" t="str">
        <f>Territorialización[[#This Row],[Código proyecto]]&amp;Territorialización[[#This Row],[No Meta proyecto]]</f>
        <v>77445</v>
      </c>
      <c r="B46" s="229" t="str">
        <f t="shared" ref="B46:B60" si="1">C46&amp;E46&amp;"-"&amp;G46</f>
        <v>77445-3</v>
      </c>
      <c r="C46" s="229">
        <f>Proyecto!$B$19</f>
        <v>7744</v>
      </c>
      <c r="D46" s="261" t="str">
        <f>Proyecto!$D$19</f>
        <v>Generación de Oportunidades para el Desarrollo Integral de la Niñez y la Adolescencia de Bogotá</v>
      </c>
      <c r="E46" s="248">
        <v>5</v>
      </c>
      <c r="F46" s="261" t="str">
        <f>VLOOKUP(A46,ESTRATÉGICO!$C$3:$AA$110,14,0)</f>
        <v>Atender a 21200 niñas, niños y adolescentes del distrito en riesgo de trabajo infantil y violencias sexuales; y migrantes en riesgo de vulneración de sus derechos de manera flexible con enfoque diferencial y de género  </v>
      </c>
      <c r="G46" s="249">
        <v>3</v>
      </c>
      <c r="H46" s="243" t="str">
        <f>VLOOKUP(Territorialización[[#This Row],[No. Localidad]],LISTAS!$F$1:$G$22,2,0)</f>
        <v>Santa fe</v>
      </c>
      <c r="I46" s="263" t="str">
        <f>IFERROR(VLOOKUP([2]!Territorialización[[#This Row],[No. Localidad]],[2]Listas!$F$96:$H$117,3,0),"...")</f>
        <v>...</v>
      </c>
      <c r="J46" s="263">
        <v>11061</v>
      </c>
      <c r="K46" s="264">
        <v>13333303</v>
      </c>
      <c r="L46" s="266" t="s">
        <v>1215</v>
      </c>
      <c r="M46" s="249">
        <v>13333303</v>
      </c>
      <c r="N46" s="263" t="s">
        <v>1233</v>
      </c>
      <c r="O46" s="263" t="s">
        <v>1234</v>
      </c>
      <c r="P46" s="314">
        <v>1560</v>
      </c>
      <c r="Q46" s="266">
        <v>446916921</v>
      </c>
      <c r="R46" s="266">
        <v>0</v>
      </c>
      <c r="S46" s="267"/>
      <c r="T46" s="309"/>
      <c r="U46" s="310"/>
      <c r="V46" s="308">
        <v>220</v>
      </c>
      <c r="W46" s="308">
        <v>234</v>
      </c>
      <c r="X46" s="308">
        <v>0</v>
      </c>
      <c r="Y46" s="308">
        <v>435</v>
      </c>
      <c r="Z46" s="308">
        <v>434</v>
      </c>
      <c r="AA46" s="308">
        <v>0</v>
      </c>
      <c r="AB46" s="308">
        <v>98</v>
      </c>
      <c r="AC46" s="308">
        <v>87</v>
      </c>
      <c r="AD46" s="308">
        <v>0</v>
      </c>
      <c r="AE46" s="308">
        <v>25</v>
      </c>
      <c r="AF46" s="308">
        <v>44</v>
      </c>
      <c r="AG46" s="308"/>
      <c r="AH46" s="308"/>
      <c r="AI46" s="308"/>
      <c r="AJ46" s="308"/>
      <c r="AK46" s="308"/>
      <c r="AL46" s="308"/>
      <c r="AM46" s="308"/>
      <c r="AN46" s="255"/>
      <c r="AO46" s="255"/>
      <c r="AP46" s="255"/>
      <c r="AQ46" s="311">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778</v>
      </c>
      <c r="AR46" s="311">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799</v>
      </c>
      <c r="AS46" s="311">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46" s="264"/>
      <c r="AU46" s="269"/>
      <c r="AV46" s="264"/>
      <c r="AW46" s="264"/>
      <c r="AX46" s="269"/>
      <c r="AY46" s="264"/>
      <c r="AZ46" s="264"/>
      <c r="BA46" s="269"/>
      <c r="BB46" s="264"/>
      <c r="BC46" s="264"/>
      <c r="BD46" s="264"/>
      <c r="BE46" s="264"/>
      <c r="BF46" s="264"/>
      <c r="BG46" s="264"/>
      <c r="BH46" s="269"/>
      <c r="BI46" s="269"/>
      <c r="BJ46" s="269"/>
      <c r="BK46" s="269"/>
      <c r="BL46" s="269"/>
      <c r="BM46" s="269"/>
      <c r="BN46" s="269"/>
      <c r="BO46"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46"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46"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47" spans="1:69" hidden="1" x14ac:dyDescent="0.3">
      <c r="A47" s="260" t="str">
        <f>Territorialización[[#This Row],[Código proyecto]]&amp;Territorialización[[#This Row],[No Meta proyecto]]</f>
        <v>77445</v>
      </c>
      <c r="B47" s="229" t="str">
        <f t="shared" si="1"/>
        <v>77445-4</v>
      </c>
      <c r="C47" s="229">
        <f>Proyecto!$B$19</f>
        <v>7744</v>
      </c>
      <c r="D47" s="261" t="str">
        <f>Proyecto!$D$19</f>
        <v>Generación de Oportunidades para el Desarrollo Integral de la Niñez y la Adolescencia de Bogotá</v>
      </c>
      <c r="E47" s="248">
        <v>5</v>
      </c>
      <c r="F47" s="261" t="str">
        <f>VLOOKUP(A47,ESTRATÉGICO!$C$3:$AA$110,14,0)</f>
        <v>Atender a 21200 niñas, niños y adolescentes del distrito en riesgo de trabajo infantil y violencias sexuales; y migrantes en riesgo de vulneración de sus derechos de manera flexible con enfoque diferencial y de género  </v>
      </c>
      <c r="G47" s="249">
        <v>4</v>
      </c>
      <c r="H47" s="243" t="str">
        <f>VLOOKUP(Territorialización[[#This Row],[No. Localidad]],LISTAS!$F$1:$G$22,2,0)</f>
        <v>San Cristobal</v>
      </c>
      <c r="I47" s="229" t="str">
        <f>IFERROR(VLOOKUP([2]!Territorialización[[#This Row],[No. Localidad]],[2]Listas!$F$96:$H$117,3,0),"...")</f>
        <v>...</v>
      </c>
      <c r="J47" s="258">
        <v>11062</v>
      </c>
      <c r="K47" s="259">
        <v>13333304</v>
      </c>
      <c r="L47" s="262" t="s">
        <v>1216</v>
      </c>
      <c r="M47" s="259">
        <v>13333304</v>
      </c>
      <c r="N47" s="263" t="s">
        <v>1233</v>
      </c>
      <c r="O47" s="263" t="s">
        <v>1234</v>
      </c>
      <c r="P47" s="314">
        <v>1327</v>
      </c>
      <c r="Q47" s="266">
        <v>388382520</v>
      </c>
      <c r="R47" s="266">
        <v>0</v>
      </c>
      <c r="S47" s="267"/>
      <c r="T47" s="309"/>
      <c r="U47" s="310"/>
      <c r="V47" s="308">
        <v>141</v>
      </c>
      <c r="W47" s="308">
        <v>155</v>
      </c>
      <c r="X47" s="308">
        <v>0</v>
      </c>
      <c r="Y47" s="308">
        <v>330</v>
      </c>
      <c r="Z47" s="308">
        <v>358</v>
      </c>
      <c r="AA47" s="308">
        <v>0</v>
      </c>
      <c r="AB47" s="308">
        <v>77</v>
      </c>
      <c r="AC47" s="308">
        <v>45</v>
      </c>
      <c r="AD47" s="308">
        <v>0</v>
      </c>
      <c r="AE47" s="308">
        <v>26</v>
      </c>
      <c r="AF47" s="308">
        <v>36</v>
      </c>
      <c r="AG47" s="308"/>
      <c r="AH47" s="308"/>
      <c r="AI47" s="308"/>
      <c r="AJ47" s="308"/>
      <c r="AK47" s="308"/>
      <c r="AL47" s="308"/>
      <c r="AM47" s="308"/>
      <c r="AN47" s="255"/>
      <c r="AO47" s="255"/>
      <c r="AP47" s="255"/>
      <c r="AQ47" s="311">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574</v>
      </c>
      <c r="AR47" s="311">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594</v>
      </c>
      <c r="AS47" s="311">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47" s="264"/>
      <c r="AU47" s="269"/>
      <c r="AV47" s="264"/>
      <c r="AW47" s="264"/>
      <c r="AX47" s="269"/>
      <c r="AY47" s="264"/>
      <c r="AZ47" s="264"/>
      <c r="BA47" s="269"/>
      <c r="BB47" s="264"/>
      <c r="BC47" s="264"/>
      <c r="BD47" s="264"/>
      <c r="BE47" s="264"/>
      <c r="BF47" s="264"/>
      <c r="BG47" s="264"/>
      <c r="BH47" s="269"/>
      <c r="BI47" s="269"/>
      <c r="BJ47" s="269"/>
      <c r="BK47" s="269"/>
      <c r="BL47" s="269"/>
      <c r="BM47" s="269"/>
      <c r="BN47" s="269"/>
      <c r="BO47"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47"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47"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48" spans="1:69" hidden="1" x14ac:dyDescent="0.3">
      <c r="A48" s="260" t="str">
        <f>Territorialización[[#This Row],[Código proyecto]]&amp;Territorialización[[#This Row],[No Meta proyecto]]</f>
        <v>77445</v>
      </c>
      <c r="B48" s="229" t="str">
        <f t="shared" si="1"/>
        <v>77445-5</v>
      </c>
      <c r="C48" s="229">
        <f>Proyecto!$B$19</f>
        <v>7744</v>
      </c>
      <c r="D48" s="261" t="str">
        <f>Proyecto!$D$19</f>
        <v>Generación de Oportunidades para el Desarrollo Integral de la Niñez y la Adolescencia de Bogotá</v>
      </c>
      <c r="E48" s="248">
        <v>5</v>
      </c>
      <c r="F48" s="261" t="str">
        <f>VLOOKUP(A48,ESTRATÉGICO!$C$3:$AA$110,14,0)</f>
        <v>Atender a 21200 niñas, niños y adolescentes del distrito en riesgo de trabajo infantil y violencias sexuales; y migrantes en riesgo de vulneración de sus derechos de manera flexible con enfoque diferencial y de género  </v>
      </c>
      <c r="G48" s="249">
        <v>5</v>
      </c>
      <c r="H48" s="243" t="str">
        <f>VLOOKUP(Territorialización[[#This Row],[No. Localidad]],LISTAS!$F$1:$G$22,2,0)</f>
        <v>Usme</v>
      </c>
      <c r="I48" s="229" t="str">
        <f>IFERROR(VLOOKUP([2]!Territorialización[[#This Row],[No. Localidad]],[2]Listas!$F$96:$H$117,3,0),"...")</f>
        <v>...</v>
      </c>
      <c r="J48" s="258">
        <v>11063</v>
      </c>
      <c r="K48" s="259">
        <v>13333305</v>
      </c>
      <c r="L48" s="262" t="s">
        <v>1217</v>
      </c>
      <c r="M48" s="259">
        <v>13333305</v>
      </c>
      <c r="N48" s="263" t="s">
        <v>1233</v>
      </c>
      <c r="O48" s="263" t="s">
        <v>1234</v>
      </c>
      <c r="P48" s="314">
        <v>1475</v>
      </c>
      <c r="Q48" s="266">
        <v>404668125</v>
      </c>
      <c r="R48" s="266">
        <v>0</v>
      </c>
      <c r="S48" s="267"/>
      <c r="T48" s="309"/>
      <c r="U48" s="310"/>
      <c r="V48" s="308">
        <v>195</v>
      </c>
      <c r="W48" s="308">
        <v>209</v>
      </c>
      <c r="X48" s="308">
        <v>0</v>
      </c>
      <c r="Y48" s="308">
        <v>337</v>
      </c>
      <c r="Z48" s="308">
        <v>363</v>
      </c>
      <c r="AA48" s="308">
        <v>1</v>
      </c>
      <c r="AB48" s="308">
        <v>134</v>
      </c>
      <c r="AC48" s="308">
        <v>143</v>
      </c>
      <c r="AD48" s="308">
        <v>0</v>
      </c>
      <c r="AE48" s="308">
        <v>0</v>
      </c>
      <c r="AF48" s="308">
        <v>33</v>
      </c>
      <c r="AG48" s="308"/>
      <c r="AH48" s="308"/>
      <c r="AI48" s="308"/>
      <c r="AJ48" s="308"/>
      <c r="AK48" s="308"/>
      <c r="AL48" s="308"/>
      <c r="AM48" s="308"/>
      <c r="AN48" s="255"/>
      <c r="AO48" s="255"/>
      <c r="AP48" s="255"/>
      <c r="AQ48" s="311">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666</v>
      </c>
      <c r="AR48" s="311">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748</v>
      </c>
      <c r="AS48" s="311">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1</v>
      </c>
      <c r="AT48" s="264"/>
      <c r="AU48" s="269"/>
      <c r="AV48" s="264"/>
      <c r="AW48" s="264"/>
      <c r="AX48" s="269"/>
      <c r="AY48" s="264"/>
      <c r="AZ48" s="264"/>
      <c r="BA48" s="269"/>
      <c r="BB48" s="264"/>
      <c r="BC48" s="264"/>
      <c r="BD48" s="264"/>
      <c r="BE48" s="264"/>
      <c r="BF48" s="264"/>
      <c r="BG48" s="264"/>
      <c r="BH48" s="269"/>
      <c r="BI48" s="269"/>
      <c r="BJ48" s="269"/>
      <c r="BK48" s="269"/>
      <c r="BL48" s="269"/>
      <c r="BM48" s="269"/>
      <c r="BN48" s="269"/>
      <c r="BO48"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48"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48"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49" spans="1:69" hidden="1" x14ac:dyDescent="0.3">
      <c r="A49" s="260" t="str">
        <f>Territorialización[[#This Row],[Código proyecto]]&amp;Territorialización[[#This Row],[No Meta proyecto]]</f>
        <v>77445</v>
      </c>
      <c r="B49" s="229" t="str">
        <f t="shared" si="1"/>
        <v>77445-6</v>
      </c>
      <c r="C49" s="229">
        <f>Proyecto!$B$19</f>
        <v>7744</v>
      </c>
      <c r="D49" s="261" t="str">
        <f>Proyecto!$D$19</f>
        <v>Generación de Oportunidades para el Desarrollo Integral de la Niñez y la Adolescencia de Bogotá</v>
      </c>
      <c r="E49" s="248">
        <v>5</v>
      </c>
      <c r="F49" s="261" t="str">
        <f>VLOOKUP(A49,ESTRATÉGICO!$C$3:$AA$110,14,0)</f>
        <v>Atender a 21200 niñas, niños y adolescentes del distrito en riesgo de trabajo infantil y violencias sexuales; y migrantes en riesgo de vulneración de sus derechos de manera flexible con enfoque diferencial y de género  </v>
      </c>
      <c r="G49" s="249">
        <v>6</v>
      </c>
      <c r="H49" s="243" t="str">
        <f>VLOOKUP(Territorialización[[#This Row],[No. Localidad]],LISTAS!$F$1:$G$22,2,0)</f>
        <v>Tunjuelito</v>
      </c>
      <c r="I49" s="229" t="str">
        <f>IFERROR(VLOOKUP([2]!Territorialización[[#This Row],[No. Localidad]],[2]Listas!$F$96:$H$117,3,0),"...")</f>
        <v>...</v>
      </c>
      <c r="J49" s="258">
        <v>11064</v>
      </c>
      <c r="K49" s="259">
        <v>13333306</v>
      </c>
      <c r="L49" s="262" t="s">
        <v>1218</v>
      </c>
      <c r="M49" s="259">
        <v>13333306</v>
      </c>
      <c r="N49" s="263" t="s">
        <v>1233</v>
      </c>
      <c r="O49" s="263" t="s">
        <v>1234</v>
      </c>
      <c r="P49" s="314">
        <v>938</v>
      </c>
      <c r="Q49" s="266">
        <v>1084732753</v>
      </c>
      <c r="R49" s="266">
        <v>0</v>
      </c>
      <c r="S49" s="267"/>
      <c r="T49" s="309"/>
      <c r="U49" s="310"/>
      <c r="V49" s="308">
        <v>119</v>
      </c>
      <c r="W49" s="308">
        <v>133</v>
      </c>
      <c r="X49" s="308">
        <v>0</v>
      </c>
      <c r="Y49" s="308">
        <v>232</v>
      </c>
      <c r="Z49" s="308">
        <v>232</v>
      </c>
      <c r="AA49" s="308">
        <v>0</v>
      </c>
      <c r="AB49" s="308">
        <v>100</v>
      </c>
      <c r="AC49" s="308">
        <v>91</v>
      </c>
      <c r="AD49" s="308">
        <v>0</v>
      </c>
      <c r="AE49" s="308">
        <v>24</v>
      </c>
      <c r="AF49" s="308">
        <v>0</v>
      </c>
      <c r="AG49" s="308"/>
      <c r="AH49" s="308"/>
      <c r="AI49" s="308"/>
      <c r="AJ49" s="308"/>
      <c r="AK49" s="308"/>
      <c r="AL49" s="308"/>
      <c r="AM49" s="308"/>
      <c r="AN49" s="255"/>
      <c r="AO49" s="255"/>
      <c r="AP49" s="255"/>
      <c r="AQ49" s="311">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475</v>
      </c>
      <c r="AR49" s="311">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456</v>
      </c>
      <c r="AS49" s="311">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49" s="264"/>
      <c r="AU49" s="269"/>
      <c r="AV49" s="264"/>
      <c r="AW49" s="264"/>
      <c r="AX49" s="269"/>
      <c r="AY49" s="264"/>
      <c r="AZ49" s="264"/>
      <c r="BA49" s="269"/>
      <c r="BB49" s="264"/>
      <c r="BC49" s="264"/>
      <c r="BD49" s="264"/>
      <c r="BE49" s="264"/>
      <c r="BF49" s="264"/>
      <c r="BG49" s="264"/>
      <c r="BH49" s="269"/>
      <c r="BI49" s="269"/>
      <c r="BJ49" s="269"/>
      <c r="BK49" s="269"/>
      <c r="BL49" s="269"/>
      <c r="BM49" s="269"/>
      <c r="BN49" s="269"/>
      <c r="BO49"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49"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49"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50" spans="1:69" hidden="1" x14ac:dyDescent="0.3">
      <c r="A50" s="260" t="str">
        <f>Territorialización[[#This Row],[Código proyecto]]&amp;Territorialización[[#This Row],[No Meta proyecto]]</f>
        <v>77445</v>
      </c>
      <c r="B50" s="229" t="str">
        <f t="shared" si="1"/>
        <v>77445-7</v>
      </c>
      <c r="C50" s="229">
        <f>Proyecto!$B$19</f>
        <v>7744</v>
      </c>
      <c r="D50" s="261" t="str">
        <f>Proyecto!$D$19</f>
        <v>Generación de Oportunidades para el Desarrollo Integral de la Niñez y la Adolescencia de Bogotá</v>
      </c>
      <c r="E50" s="248">
        <v>5</v>
      </c>
      <c r="F50" s="261" t="str">
        <f>VLOOKUP(A50,ESTRATÉGICO!$C$3:$AA$110,14,0)</f>
        <v>Atender a 21200 niñas, niños y adolescentes del distrito en riesgo de trabajo infantil y violencias sexuales; y migrantes en riesgo de vulneración de sus derechos de manera flexible con enfoque diferencial y de género  </v>
      </c>
      <c r="G50" s="249">
        <v>7</v>
      </c>
      <c r="H50" s="243" t="str">
        <f>VLOOKUP(Territorialización[[#This Row],[No. Localidad]],LISTAS!$F$1:$G$22,2,0)</f>
        <v>Bosa</v>
      </c>
      <c r="I50" s="229" t="str">
        <f>IFERROR(VLOOKUP([2]!Territorialización[[#This Row],[No. Localidad]],[2]Listas!$F$96:$H$117,3,0),"...")</f>
        <v>...</v>
      </c>
      <c r="J50" s="258">
        <v>11065</v>
      </c>
      <c r="K50" s="259">
        <v>13333307</v>
      </c>
      <c r="L50" s="262" t="s">
        <v>1219</v>
      </c>
      <c r="M50" s="259">
        <v>13333307</v>
      </c>
      <c r="N50" s="263" t="s">
        <v>1233</v>
      </c>
      <c r="O50" s="263" t="s">
        <v>1234</v>
      </c>
      <c r="P50" s="314">
        <v>1959</v>
      </c>
      <c r="Q50" s="266">
        <v>535295447</v>
      </c>
      <c r="R50" s="266">
        <v>0</v>
      </c>
      <c r="S50" s="267"/>
      <c r="T50" s="309"/>
      <c r="U50" s="310"/>
      <c r="V50" s="308">
        <v>435</v>
      </c>
      <c r="W50" s="308">
        <v>449</v>
      </c>
      <c r="X50" s="308">
        <v>0</v>
      </c>
      <c r="Y50" s="308">
        <v>427</v>
      </c>
      <c r="Z50" s="308">
        <v>396</v>
      </c>
      <c r="AA50" s="308">
        <v>0</v>
      </c>
      <c r="AB50" s="308">
        <v>140</v>
      </c>
      <c r="AC50" s="308">
        <v>138</v>
      </c>
      <c r="AD50" s="308">
        <v>0</v>
      </c>
      <c r="AE50" s="308">
        <v>26</v>
      </c>
      <c r="AF50" s="308">
        <v>36</v>
      </c>
      <c r="AG50" s="308"/>
      <c r="AH50" s="308"/>
      <c r="AI50" s="308"/>
      <c r="AJ50" s="308"/>
      <c r="AK50" s="308"/>
      <c r="AL50" s="308"/>
      <c r="AM50" s="308"/>
      <c r="AN50" s="255"/>
      <c r="AO50" s="255"/>
      <c r="AP50" s="255"/>
      <c r="AQ50" s="311">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1028</v>
      </c>
      <c r="AR50" s="311">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1019</v>
      </c>
      <c r="AS50" s="311">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50" s="264"/>
      <c r="AU50" s="269"/>
      <c r="AV50" s="264"/>
      <c r="AW50" s="264"/>
      <c r="AX50" s="269"/>
      <c r="AY50" s="264"/>
      <c r="AZ50" s="264"/>
      <c r="BA50" s="269"/>
      <c r="BB50" s="264"/>
      <c r="BC50" s="264"/>
      <c r="BD50" s="264"/>
      <c r="BE50" s="264"/>
      <c r="BF50" s="264"/>
      <c r="BG50" s="264"/>
      <c r="BH50" s="269"/>
      <c r="BI50" s="269"/>
      <c r="BJ50" s="269"/>
      <c r="BK50" s="269"/>
      <c r="BL50" s="269"/>
      <c r="BM50" s="269"/>
      <c r="BN50" s="269"/>
      <c r="BO50"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50"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50"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51" spans="1:69" hidden="1" x14ac:dyDescent="0.3">
      <c r="A51" s="260" t="str">
        <f>Territorialización[[#This Row],[Código proyecto]]&amp;Territorialización[[#This Row],[No Meta proyecto]]</f>
        <v>77445</v>
      </c>
      <c r="B51" s="229" t="str">
        <f t="shared" si="1"/>
        <v>77445-8</v>
      </c>
      <c r="C51" s="229">
        <f>Proyecto!$B$19</f>
        <v>7744</v>
      </c>
      <c r="D51" s="261" t="str">
        <f>Proyecto!$D$19</f>
        <v>Generación de Oportunidades para el Desarrollo Integral de la Niñez y la Adolescencia de Bogotá</v>
      </c>
      <c r="E51" s="248">
        <v>5</v>
      </c>
      <c r="F51" s="261" t="str">
        <f>VLOOKUP(A51,ESTRATÉGICO!$C$3:$AA$110,14,0)</f>
        <v>Atender a 21200 niñas, niños y adolescentes del distrito en riesgo de trabajo infantil y violencias sexuales; y migrantes en riesgo de vulneración de sus derechos de manera flexible con enfoque diferencial y de género  </v>
      </c>
      <c r="G51" s="249">
        <v>8</v>
      </c>
      <c r="H51" s="243" t="str">
        <f>VLOOKUP(Territorialización[[#This Row],[No. Localidad]],LISTAS!$F$1:$G$22,2,0)</f>
        <v>Kennedy</v>
      </c>
      <c r="I51" s="229" t="str">
        <f>IFERROR(VLOOKUP([2]!Territorialización[[#This Row],[No. Localidad]],[2]Listas!$F$96:$H$117,3,0),"...")</f>
        <v>...</v>
      </c>
      <c r="J51" s="258">
        <v>11066</v>
      </c>
      <c r="K51" s="259">
        <v>13333308</v>
      </c>
      <c r="L51" s="262" t="s">
        <v>1220</v>
      </c>
      <c r="M51" s="259">
        <v>13333308</v>
      </c>
      <c r="N51" s="263" t="s">
        <v>1233</v>
      </c>
      <c r="O51" s="263" t="s">
        <v>1234</v>
      </c>
      <c r="P51" s="314">
        <v>1097</v>
      </c>
      <c r="Q51" s="266">
        <v>795663045</v>
      </c>
      <c r="R51" s="266">
        <v>0</v>
      </c>
      <c r="S51" s="267"/>
      <c r="T51" s="309"/>
      <c r="U51" s="310"/>
      <c r="V51" s="308">
        <v>176</v>
      </c>
      <c r="W51" s="308">
        <v>190</v>
      </c>
      <c r="X51" s="308">
        <v>0</v>
      </c>
      <c r="Y51" s="308">
        <v>177</v>
      </c>
      <c r="Z51" s="308">
        <v>313</v>
      </c>
      <c r="AA51" s="308">
        <v>0</v>
      </c>
      <c r="AB51" s="308">
        <v>88</v>
      </c>
      <c r="AC51" s="308">
        <v>99</v>
      </c>
      <c r="AD51" s="308">
        <v>0</v>
      </c>
      <c r="AE51" s="308">
        <v>1</v>
      </c>
      <c r="AF51" s="308">
        <v>4</v>
      </c>
      <c r="AG51" s="308"/>
      <c r="AH51" s="308"/>
      <c r="AI51" s="308"/>
      <c r="AJ51" s="308"/>
      <c r="AK51" s="308"/>
      <c r="AL51" s="308"/>
      <c r="AM51" s="308"/>
      <c r="AN51" s="255"/>
      <c r="AO51" s="255"/>
      <c r="AP51" s="255"/>
      <c r="AQ51" s="311">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442</v>
      </c>
      <c r="AR51" s="311">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606</v>
      </c>
      <c r="AS51" s="311">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51" s="264"/>
      <c r="AU51" s="269"/>
      <c r="AV51" s="264"/>
      <c r="AW51" s="264"/>
      <c r="AX51" s="269"/>
      <c r="AY51" s="264"/>
      <c r="AZ51" s="264"/>
      <c r="BA51" s="269"/>
      <c r="BB51" s="264"/>
      <c r="BC51" s="264"/>
      <c r="BD51" s="264"/>
      <c r="BE51" s="264"/>
      <c r="BF51" s="264"/>
      <c r="BG51" s="264"/>
      <c r="BH51" s="269"/>
      <c r="BI51" s="269"/>
      <c r="BJ51" s="269"/>
      <c r="BK51" s="269"/>
      <c r="BL51" s="269"/>
      <c r="BM51" s="269"/>
      <c r="BN51" s="269"/>
      <c r="BO51"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51"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51"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52" spans="1:69" hidden="1" x14ac:dyDescent="0.3">
      <c r="A52" s="260" t="str">
        <f>Territorialización[[#This Row],[Código proyecto]]&amp;Territorialización[[#This Row],[No Meta proyecto]]</f>
        <v>77445</v>
      </c>
      <c r="B52" s="229" t="str">
        <f t="shared" si="1"/>
        <v>77445-9</v>
      </c>
      <c r="C52" s="229">
        <f>Proyecto!$B$19</f>
        <v>7744</v>
      </c>
      <c r="D52" s="261" t="str">
        <f>Proyecto!$D$19</f>
        <v>Generación de Oportunidades para el Desarrollo Integral de la Niñez y la Adolescencia de Bogotá</v>
      </c>
      <c r="E52" s="248">
        <v>5</v>
      </c>
      <c r="F52" s="261" t="str">
        <f>VLOOKUP(A52,ESTRATÉGICO!$C$3:$AA$110,14,0)</f>
        <v>Atender a 21200 niñas, niños y adolescentes del distrito en riesgo de trabajo infantil y violencias sexuales; y migrantes en riesgo de vulneración de sus derechos de manera flexible con enfoque diferencial y de género  </v>
      </c>
      <c r="G52" s="249">
        <v>9</v>
      </c>
      <c r="H52" s="243" t="str">
        <f>VLOOKUP(Territorialización[[#This Row],[No. Localidad]],LISTAS!$F$1:$G$22,2,0)</f>
        <v>Fontibón</v>
      </c>
      <c r="I52" s="229" t="str">
        <f>IFERROR(VLOOKUP([2]!Territorialización[[#This Row],[No. Localidad]],[2]Listas!$F$96:$H$117,3,0),"...")</f>
        <v>...</v>
      </c>
      <c r="J52" s="258">
        <v>11067</v>
      </c>
      <c r="K52" s="259">
        <v>13333309</v>
      </c>
      <c r="L52" s="262" t="s">
        <v>1221</v>
      </c>
      <c r="M52" s="259">
        <v>13333309</v>
      </c>
      <c r="N52" s="263" t="s">
        <v>1233</v>
      </c>
      <c r="O52" s="263" t="s">
        <v>1234</v>
      </c>
      <c r="P52" s="314">
        <v>956</v>
      </c>
      <c r="Q52" s="266">
        <v>382616438</v>
      </c>
      <c r="R52" s="266">
        <v>0</v>
      </c>
      <c r="S52" s="267"/>
      <c r="T52" s="309"/>
      <c r="U52" s="310"/>
      <c r="V52" s="308">
        <v>120</v>
      </c>
      <c r="W52" s="308">
        <v>134</v>
      </c>
      <c r="X52" s="308">
        <v>0</v>
      </c>
      <c r="Y52" s="308">
        <v>302</v>
      </c>
      <c r="Z52" s="308">
        <v>257</v>
      </c>
      <c r="AA52" s="308">
        <v>0</v>
      </c>
      <c r="AB52" s="308">
        <v>92</v>
      </c>
      <c r="AC52" s="308">
        <v>89</v>
      </c>
      <c r="AD52" s="308">
        <v>0</v>
      </c>
      <c r="AE52" s="308">
        <v>0</v>
      </c>
      <c r="AF52" s="308">
        <v>28</v>
      </c>
      <c r="AG52" s="308"/>
      <c r="AH52" s="308"/>
      <c r="AI52" s="308"/>
      <c r="AJ52" s="308"/>
      <c r="AK52" s="308"/>
      <c r="AL52" s="308"/>
      <c r="AM52" s="308"/>
      <c r="AN52" s="255"/>
      <c r="AO52" s="255"/>
      <c r="AP52" s="255"/>
      <c r="AQ52" s="311">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514</v>
      </c>
      <c r="AR52" s="311">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508</v>
      </c>
      <c r="AS52" s="311">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52" s="264"/>
      <c r="AU52" s="269"/>
      <c r="AV52" s="264"/>
      <c r="AW52" s="264"/>
      <c r="AX52" s="269"/>
      <c r="AY52" s="264"/>
      <c r="AZ52" s="264"/>
      <c r="BA52" s="269"/>
      <c r="BB52" s="264"/>
      <c r="BC52" s="264"/>
      <c r="BD52" s="264"/>
      <c r="BE52" s="264"/>
      <c r="BF52" s="264"/>
      <c r="BG52" s="264"/>
      <c r="BH52" s="269"/>
      <c r="BI52" s="269"/>
      <c r="BJ52" s="269"/>
      <c r="BK52" s="269"/>
      <c r="BL52" s="269"/>
      <c r="BM52" s="269"/>
      <c r="BN52" s="269"/>
      <c r="BO52"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52"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52"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53" spans="1:69" hidden="1" x14ac:dyDescent="0.3">
      <c r="A53" s="260" t="str">
        <f>Territorialización[[#This Row],[Código proyecto]]&amp;Territorialización[[#This Row],[No Meta proyecto]]</f>
        <v>77445</v>
      </c>
      <c r="B53" s="229" t="str">
        <f t="shared" si="1"/>
        <v>77445-10</v>
      </c>
      <c r="C53" s="229">
        <f>Proyecto!$B$19</f>
        <v>7744</v>
      </c>
      <c r="D53" s="261" t="str">
        <f>Proyecto!$D$19</f>
        <v>Generación de Oportunidades para el Desarrollo Integral de la Niñez y la Adolescencia de Bogotá</v>
      </c>
      <c r="E53" s="248">
        <v>5</v>
      </c>
      <c r="F53" s="261" t="str">
        <f>VLOOKUP(A53,ESTRATÉGICO!$C$3:$AA$110,14,0)</f>
        <v>Atender a 21200 niñas, niños y adolescentes del distrito en riesgo de trabajo infantil y violencias sexuales; y migrantes en riesgo de vulneración de sus derechos de manera flexible con enfoque diferencial y de género  </v>
      </c>
      <c r="G53" s="249">
        <v>10</v>
      </c>
      <c r="H53" s="243" t="str">
        <f>VLOOKUP(Territorialización[[#This Row],[No. Localidad]],LISTAS!$F$1:$G$22,2,0)</f>
        <v>Engativá</v>
      </c>
      <c r="I53" s="229" t="str">
        <f>IFERROR(VLOOKUP([2]!Territorialización[[#This Row],[No. Localidad]],[2]Listas!$F$96:$H$117,3,0),"...")</f>
        <v>...</v>
      </c>
      <c r="J53" s="258">
        <v>11068</v>
      </c>
      <c r="K53" s="259">
        <v>13333310</v>
      </c>
      <c r="L53" s="262" t="s">
        <v>1222</v>
      </c>
      <c r="M53" s="259">
        <v>13333310</v>
      </c>
      <c r="N53" s="263" t="s">
        <v>1233</v>
      </c>
      <c r="O53" s="263" t="s">
        <v>1234</v>
      </c>
      <c r="P53" s="314">
        <v>1042</v>
      </c>
      <c r="Q53" s="266">
        <v>485286746</v>
      </c>
      <c r="R53" s="266">
        <v>0</v>
      </c>
      <c r="S53" s="267"/>
      <c r="T53" s="309"/>
      <c r="U53" s="310"/>
      <c r="V53" s="308">
        <v>129</v>
      </c>
      <c r="W53" s="308">
        <v>143</v>
      </c>
      <c r="X53" s="308">
        <v>0</v>
      </c>
      <c r="Y53" s="308">
        <v>283</v>
      </c>
      <c r="Z53" s="308">
        <v>272</v>
      </c>
      <c r="AA53" s="308">
        <v>1</v>
      </c>
      <c r="AB53" s="308">
        <v>101</v>
      </c>
      <c r="AC53" s="308">
        <v>107</v>
      </c>
      <c r="AD53" s="308">
        <v>0</v>
      </c>
      <c r="AE53" s="308">
        <v>0</v>
      </c>
      <c r="AF53" s="308">
        <v>47</v>
      </c>
      <c r="AG53" s="308"/>
      <c r="AH53" s="308"/>
      <c r="AI53" s="308"/>
      <c r="AJ53" s="308"/>
      <c r="AK53" s="308"/>
      <c r="AL53" s="308"/>
      <c r="AM53" s="308"/>
      <c r="AN53" s="255"/>
      <c r="AO53" s="255"/>
      <c r="AP53" s="255"/>
      <c r="AQ53" s="311">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513</v>
      </c>
      <c r="AR53" s="311">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569</v>
      </c>
      <c r="AS53" s="311">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1</v>
      </c>
      <c r="AT53" s="264"/>
      <c r="AU53" s="269"/>
      <c r="AV53" s="264"/>
      <c r="AW53" s="264"/>
      <c r="AX53" s="269"/>
      <c r="AY53" s="264"/>
      <c r="AZ53" s="264"/>
      <c r="BA53" s="269"/>
      <c r="BB53" s="264"/>
      <c r="BC53" s="264"/>
      <c r="BD53" s="264"/>
      <c r="BE53" s="264"/>
      <c r="BF53" s="264"/>
      <c r="BG53" s="264"/>
      <c r="BH53" s="269"/>
      <c r="BI53" s="269"/>
      <c r="BJ53" s="269"/>
      <c r="BK53" s="269"/>
      <c r="BL53" s="269"/>
      <c r="BM53" s="269"/>
      <c r="BN53" s="269"/>
      <c r="BO53"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53"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53"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54" spans="1:69" hidden="1" x14ac:dyDescent="0.3">
      <c r="A54" s="260" t="str">
        <f>Territorialización[[#This Row],[Código proyecto]]&amp;Territorialización[[#This Row],[No Meta proyecto]]</f>
        <v>77445</v>
      </c>
      <c r="B54" s="229" t="str">
        <f t="shared" si="1"/>
        <v>77445-11</v>
      </c>
      <c r="C54" s="229">
        <f>Proyecto!$B$19</f>
        <v>7744</v>
      </c>
      <c r="D54" s="261" t="str">
        <f>Proyecto!$D$19</f>
        <v>Generación de Oportunidades para el Desarrollo Integral de la Niñez y la Adolescencia de Bogotá</v>
      </c>
      <c r="E54" s="248">
        <v>5</v>
      </c>
      <c r="F54" s="261" t="str">
        <f>VLOOKUP(A54,ESTRATÉGICO!$C$3:$AA$110,14,0)</f>
        <v>Atender a 21200 niñas, niños y adolescentes del distrito en riesgo de trabajo infantil y violencias sexuales; y migrantes en riesgo de vulneración de sus derechos de manera flexible con enfoque diferencial y de género  </v>
      </c>
      <c r="G54" s="249">
        <v>11</v>
      </c>
      <c r="H54" s="243" t="str">
        <f>VLOOKUP(Territorialización[[#This Row],[No. Localidad]],LISTAS!$F$1:$G$22,2,0)</f>
        <v>Suba</v>
      </c>
      <c r="I54" s="229" t="str">
        <f>IFERROR(VLOOKUP([2]!Territorialización[[#This Row],[No. Localidad]],[2]Listas!$F$96:$H$117,3,0),"...")</f>
        <v>...</v>
      </c>
      <c r="J54" s="258">
        <v>11069</v>
      </c>
      <c r="K54" s="259">
        <v>13333311</v>
      </c>
      <c r="L54" s="262" t="s">
        <v>1223</v>
      </c>
      <c r="M54" s="259">
        <v>13333311</v>
      </c>
      <c r="N54" s="263" t="s">
        <v>1233</v>
      </c>
      <c r="O54" s="263" t="s">
        <v>1234</v>
      </c>
      <c r="P54" s="314">
        <v>1606</v>
      </c>
      <c r="Q54" s="266">
        <v>417248536</v>
      </c>
      <c r="R54" s="266">
        <v>0</v>
      </c>
      <c r="S54" s="267"/>
      <c r="T54" s="309"/>
      <c r="U54" s="310"/>
      <c r="V54" s="308">
        <v>131</v>
      </c>
      <c r="W54" s="308">
        <v>145</v>
      </c>
      <c r="X54" s="308">
        <v>0</v>
      </c>
      <c r="Y54" s="308">
        <v>543</v>
      </c>
      <c r="Z54" s="308">
        <v>559</v>
      </c>
      <c r="AA54" s="308">
        <v>0</v>
      </c>
      <c r="AB54" s="308">
        <v>143</v>
      </c>
      <c r="AC54" s="308">
        <v>128</v>
      </c>
      <c r="AD54" s="308">
        <v>0</v>
      </c>
      <c r="AE54" s="308">
        <v>0</v>
      </c>
      <c r="AF54" s="308">
        <v>0</v>
      </c>
      <c r="AG54" s="308"/>
      <c r="AH54" s="308"/>
      <c r="AI54" s="308"/>
      <c r="AJ54" s="308"/>
      <c r="AK54" s="308"/>
      <c r="AL54" s="308"/>
      <c r="AM54" s="308"/>
      <c r="AN54" s="255"/>
      <c r="AO54" s="255"/>
      <c r="AP54" s="255"/>
      <c r="AQ54" s="311">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817</v>
      </c>
      <c r="AR54" s="311">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832</v>
      </c>
      <c r="AS54" s="311">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54" s="264"/>
      <c r="AU54" s="269"/>
      <c r="AV54" s="264"/>
      <c r="AW54" s="264"/>
      <c r="AX54" s="269"/>
      <c r="AY54" s="264"/>
      <c r="AZ54" s="264"/>
      <c r="BA54" s="269"/>
      <c r="BB54" s="264"/>
      <c r="BC54" s="264"/>
      <c r="BD54" s="264"/>
      <c r="BE54" s="264"/>
      <c r="BF54" s="264"/>
      <c r="BG54" s="264"/>
      <c r="BH54" s="269"/>
      <c r="BI54" s="269"/>
      <c r="BJ54" s="269"/>
      <c r="BK54" s="269"/>
      <c r="BL54" s="269"/>
      <c r="BM54" s="269"/>
      <c r="BN54" s="269"/>
      <c r="BO54"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54"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54"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55" spans="1:69" hidden="1" x14ac:dyDescent="0.3">
      <c r="A55" s="260" t="str">
        <f>Territorialización[[#This Row],[Código proyecto]]&amp;Territorialización[[#This Row],[No Meta proyecto]]</f>
        <v>77445</v>
      </c>
      <c r="B55" s="229" t="str">
        <f t="shared" si="1"/>
        <v>77445-12</v>
      </c>
      <c r="C55" s="229">
        <f>Proyecto!$B$19</f>
        <v>7744</v>
      </c>
      <c r="D55" s="261" t="str">
        <f>Proyecto!$D$19</f>
        <v>Generación de Oportunidades para el Desarrollo Integral de la Niñez y la Adolescencia de Bogotá</v>
      </c>
      <c r="E55" s="248">
        <v>5</v>
      </c>
      <c r="F55" s="261" t="str">
        <f>VLOOKUP(A55,ESTRATÉGICO!$C$3:$AA$110,14,0)</f>
        <v>Atender a 21200 niñas, niños y adolescentes del distrito en riesgo de trabajo infantil y violencias sexuales; y migrantes en riesgo de vulneración de sus derechos de manera flexible con enfoque diferencial y de género  </v>
      </c>
      <c r="G55" s="249">
        <v>12</v>
      </c>
      <c r="H55" s="243" t="str">
        <f>VLOOKUP(Territorialización[[#This Row],[No. Localidad]],LISTAS!$F$1:$G$22,2,0)</f>
        <v>Barrios Unidos</v>
      </c>
      <c r="I55" s="229" t="str">
        <f>IFERROR(VLOOKUP([2]!Territorialización[[#This Row],[No. Localidad]],[2]Listas!$F$96:$H$117,3,0),"...")</f>
        <v>...</v>
      </c>
      <c r="J55" s="258">
        <v>11070</v>
      </c>
      <c r="K55" s="259">
        <v>13333312</v>
      </c>
      <c r="L55" s="262" t="s">
        <v>1224</v>
      </c>
      <c r="M55" s="259">
        <v>13333312</v>
      </c>
      <c r="N55" s="263" t="s">
        <v>1233</v>
      </c>
      <c r="O55" s="263" t="s">
        <v>1234</v>
      </c>
      <c r="P55" s="314">
        <v>1861</v>
      </c>
      <c r="Q55" s="266">
        <v>2835019199</v>
      </c>
      <c r="R55" s="266">
        <v>0</v>
      </c>
      <c r="S55" s="267"/>
      <c r="T55" s="309"/>
      <c r="U55" s="310"/>
      <c r="V55" s="308">
        <v>434</v>
      </c>
      <c r="W55" s="308">
        <v>448</v>
      </c>
      <c r="X55" s="308">
        <v>0</v>
      </c>
      <c r="Y55" s="308">
        <v>476</v>
      </c>
      <c r="Z55" s="308">
        <v>383</v>
      </c>
      <c r="AA55" s="308">
        <v>1</v>
      </c>
      <c r="AB55" s="308">
        <v>77</v>
      </c>
      <c r="AC55" s="308">
        <v>90</v>
      </c>
      <c r="AD55" s="308">
        <v>0</v>
      </c>
      <c r="AE55" s="308">
        <v>21</v>
      </c>
      <c r="AF55" s="308">
        <v>0</v>
      </c>
      <c r="AG55" s="308"/>
      <c r="AH55" s="308"/>
      <c r="AI55" s="308"/>
      <c r="AJ55" s="308"/>
      <c r="AK55" s="308"/>
      <c r="AL55" s="308"/>
      <c r="AM55" s="308"/>
      <c r="AN55" s="255"/>
      <c r="AO55" s="255"/>
      <c r="AP55" s="255"/>
      <c r="AQ55" s="311">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1008</v>
      </c>
      <c r="AR55" s="311">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921</v>
      </c>
      <c r="AS55" s="311">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1</v>
      </c>
      <c r="AT55" s="264"/>
      <c r="AU55" s="269"/>
      <c r="AV55" s="264"/>
      <c r="AW55" s="264"/>
      <c r="AX55" s="269"/>
      <c r="AY55" s="264"/>
      <c r="AZ55" s="264"/>
      <c r="BA55" s="269"/>
      <c r="BB55" s="264"/>
      <c r="BC55" s="264"/>
      <c r="BD55" s="264"/>
      <c r="BE55" s="264"/>
      <c r="BF55" s="264"/>
      <c r="BG55" s="264"/>
      <c r="BH55" s="269"/>
      <c r="BI55" s="269"/>
      <c r="BJ55" s="269"/>
      <c r="BK55" s="269"/>
      <c r="BL55" s="269"/>
      <c r="BM55" s="269"/>
      <c r="BN55" s="269"/>
      <c r="BO55"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55"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55"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56" spans="1:69" hidden="1" x14ac:dyDescent="0.3">
      <c r="A56" s="260" t="str">
        <f>Territorialización[[#This Row],[Código proyecto]]&amp;Territorialización[[#This Row],[No Meta proyecto]]</f>
        <v>77445</v>
      </c>
      <c r="B56" s="229" t="str">
        <f t="shared" si="1"/>
        <v>77445-14</v>
      </c>
      <c r="C56" s="229">
        <f>Proyecto!$B$19</f>
        <v>7744</v>
      </c>
      <c r="D56" s="261" t="str">
        <f>Proyecto!$D$19</f>
        <v>Generación de Oportunidades para el Desarrollo Integral de la Niñez y la Adolescencia de Bogotá</v>
      </c>
      <c r="E56" s="248">
        <v>5</v>
      </c>
      <c r="F56" s="261" t="str">
        <f>VLOOKUP(A56,ESTRATÉGICO!$C$3:$AA$110,14,0)</f>
        <v>Atender a 21200 niñas, niños y adolescentes del distrito en riesgo de trabajo infantil y violencias sexuales; y migrantes en riesgo de vulneración de sus derechos de manera flexible con enfoque diferencial y de género  </v>
      </c>
      <c r="G56" s="249">
        <v>14</v>
      </c>
      <c r="H56" s="243" t="str">
        <f>VLOOKUP(Territorialización[[#This Row],[No. Localidad]],LISTAS!$F$1:$G$22,2,0)</f>
        <v>Los Mártires</v>
      </c>
      <c r="I56" s="229" t="str">
        <f>IFERROR(VLOOKUP([2]!Territorialización[[#This Row],[No. Localidad]],[2]Listas!$F$96:$H$117,3,0),"...")</f>
        <v>...</v>
      </c>
      <c r="J56" s="258">
        <v>11072</v>
      </c>
      <c r="K56" s="259">
        <v>13333314</v>
      </c>
      <c r="L56" s="262" t="s">
        <v>1235</v>
      </c>
      <c r="M56" s="259">
        <v>13333314</v>
      </c>
      <c r="N56" s="263" t="s">
        <v>1233</v>
      </c>
      <c r="O56" s="263" t="s">
        <v>1234</v>
      </c>
      <c r="P56" s="314">
        <v>1154</v>
      </c>
      <c r="Q56" s="266">
        <v>1040602716</v>
      </c>
      <c r="R56" s="266">
        <v>0</v>
      </c>
      <c r="S56" s="267"/>
      <c r="T56" s="309"/>
      <c r="U56" s="310"/>
      <c r="V56" s="308">
        <v>185</v>
      </c>
      <c r="W56" s="308">
        <v>199</v>
      </c>
      <c r="X56" s="308">
        <v>0</v>
      </c>
      <c r="Y56" s="308">
        <v>319</v>
      </c>
      <c r="Z56" s="308">
        <v>238</v>
      </c>
      <c r="AA56" s="308">
        <v>0</v>
      </c>
      <c r="AB56" s="308">
        <v>144</v>
      </c>
      <c r="AC56" s="308">
        <v>148</v>
      </c>
      <c r="AD56" s="308">
        <v>0</v>
      </c>
      <c r="AE56" s="308">
        <v>0</v>
      </c>
      <c r="AF56" s="308">
        <v>0</v>
      </c>
      <c r="AG56" s="308"/>
      <c r="AH56" s="308"/>
      <c r="AI56" s="308"/>
      <c r="AJ56" s="308"/>
      <c r="AK56" s="308"/>
      <c r="AL56" s="308"/>
      <c r="AM56" s="308"/>
      <c r="AN56" s="255"/>
      <c r="AO56" s="255"/>
      <c r="AP56" s="255"/>
      <c r="AQ56" s="311">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648</v>
      </c>
      <c r="AR56" s="311">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585</v>
      </c>
      <c r="AS56" s="311">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56" s="264"/>
      <c r="AU56" s="269"/>
      <c r="AV56" s="264"/>
      <c r="AW56" s="264"/>
      <c r="AX56" s="269"/>
      <c r="AY56" s="264"/>
      <c r="AZ56" s="264"/>
      <c r="BA56" s="269"/>
      <c r="BB56" s="264"/>
      <c r="BC56" s="264"/>
      <c r="BD56" s="264"/>
      <c r="BE56" s="264"/>
      <c r="BF56" s="264"/>
      <c r="BG56" s="264"/>
      <c r="BH56" s="269"/>
      <c r="BI56" s="269"/>
      <c r="BJ56" s="269"/>
      <c r="BK56" s="269"/>
      <c r="BL56" s="269"/>
      <c r="BM56" s="269"/>
      <c r="BN56" s="269"/>
      <c r="BO56"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56"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56"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57" spans="1:69" hidden="1" x14ac:dyDescent="0.3">
      <c r="A57" s="260" t="str">
        <f>Territorialización[[#This Row],[Código proyecto]]&amp;Territorialización[[#This Row],[No Meta proyecto]]</f>
        <v>77445</v>
      </c>
      <c r="B57" s="229" t="str">
        <f t="shared" si="1"/>
        <v>77445-16</v>
      </c>
      <c r="C57" s="229">
        <f>Proyecto!$B$19</f>
        <v>7744</v>
      </c>
      <c r="D57" s="261" t="str">
        <f>Proyecto!$D$19</f>
        <v>Generación de Oportunidades para el Desarrollo Integral de la Niñez y la Adolescencia de Bogotá</v>
      </c>
      <c r="E57" s="248">
        <v>5</v>
      </c>
      <c r="F57" s="261" t="str">
        <f>VLOOKUP(A57,ESTRATÉGICO!$C$3:$AA$110,14,0)</f>
        <v>Atender a 21200 niñas, niños y adolescentes del distrito en riesgo de trabajo infantil y violencias sexuales; y migrantes en riesgo de vulneración de sus derechos de manera flexible con enfoque diferencial y de género  </v>
      </c>
      <c r="G57" s="249">
        <v>16</v>
      </c>
      <c r="H57" s="243" t="str">
        <f>VLOOKUP(Territorialización[[#This Row],[No. Localidad]],LISTAS!$F$1:$G$22,2,0)</f>
        <v>Puente Aranda</v>
      </c>
      <c r="I57" s="229" t="str">
        <f>IFERROR(VLOOKUP([2]!Territorialización[[#This Row],[No. Localidad]],[2]Listas!$F$96:$H$117,3,0),"...")</f>
        <v>...</v>
      </c>
      <c r="J57" s="258">
        <v>11074</v>
      </c>
      <c r="K57" s="259">
        <v>13333316</v>
      </c>
      <c r="L57" s="262" t="s">
        <v>1228</v>
      </c>
      <c r="M57" s="259">
        <v>13333316</v>
      </c>
      <c r="N57" s="263" t="s">
        <v>1233</v>
      </c>
      <c r="O57" s="263" t="s">
        <v>1234</v>
      </c>
      <c r="P57" s="314">
        <v>1011</v>
      </c>
      <c r="Q57" s="266">
        <v>1018006290</v>
      </c>
      <c r="R57" s="266">
        <v>0</v>
      </c>
      <c r="S57" s="267"/>
      <c r="T57" s="309"/>
      <c r="U57" s="310"/>
      <c r="V57" s="308">
        <v>209</v>
      </c>
      <c r="W57" s="308">
        <v>223</v>
      </c>
      <c r="X57" s="308">
        <v>0</v>
      </c>
      <c r="Y57" s="308">
        <v>174</v>
      </c>
      <c r="Z57" s="308">
        <v>197</v>
      </c>
      <c r="AA57" s="308">
        <v>0</v>
      </c>
      <c r="AB57" s="308">
        <v>83</v>
      </c>
      <c r="AC57" s="308">
        <v>113</v>
      </c>
      <c r="AD57" s="308">
        <v>0</v>
      </c>
      <c r="AE57" s="308">
        <v>0</v>
      </c>
      <c r="AF57" s="308">
        <v>0</v>
      </c>
      <c r="AG57" s="308"/>
      <c r="AH57" s="308"/>
      <c r="AI57" s="308"/>
      <c r="AJ57" s="308"/>
      <c r="AK57" s="308"/>
      <c r="AL57" s="308"/>
      <c r="AM57" s="308"/>
      <c r="AN57" s="255"/>
      <c r="AO57" s="255"/>
      <c r="AP57" s="255"/>
      <c r="AQ57" s="311">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466</v>
      </c>
      <c r="AR57" s="311">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533</v>
      </c>
      <c r="AS57" s="311">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57" s="264"/>
      <c r="AU57" s="269"/>
      <c r="AV57" s="264"/>
      <c r="AW57" s="264"/>
      <c r="AX57" s="269"/>
      <c r="AY57" s="264"/>
      <c r="AZ57" s="264"/>
      <c r="BA57" s="269"/>
      <c r="BB57" s="264"/>
      <c r="BC57" s="264"/>
      <c r="BD57" s="264"/>
      <c r="BE57" s="264"/>
      <c r="BF57" s="264"/>
      <c r="BG57" s="264"/>
      <c r="BH57" s="269"/>
      <c r="BI57" s="269"/>
      <c r="BJ57" s="269"/>
      <c r="BK57" s="269"/>
      <c r="BL57" s="269"/>
      <c r="BM57" s="269"/>
      <c r="BN57" s="269"/>
      <c r="BO57"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57"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57"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58" spans="1:69" hidden="1" x14ac:dyDescent="0.3">
      <c r="A58" s="260" t="str">
        <f>Territorialización[[#This Row],[Código proyecto]]&amp;Territorialización[[#This Row],[No Meta proyecto]]</f>
        <v>77445</v>
      </c>
      <c r="B58" s="229" t="str">
        <f t="shared" si="1"/>
        <v>77445-18</v>
      </c>
      <c r="C58" s="229">
        <f>Proyecto!$B$19</f>
        <v>7744</v>
      </c>
      <c r="D58" s="261" t="str">
        <f>Proyecto!$D$19</f>
        <v>Generación de Oportunidades para el Desarrollo Integral de la Niñez y la Adolescencia de Bogotá</v>
      </c>
      <c r="E58" s="248">
        <v>5</v>
      </c>
      <c r="F58" s="261" t="str">
        <f>VLOOKUP(A58,ESTRATÉGICO!$C$3:$AA$110,14,0)</f>
        <v>Atender a 21200 niñas, niños y adolescentes del distrito en riesgo de trabajo infantil y violencias sexuales; y migrantes en riesgo de vulneración de sus derechos de manera flexible con enfoque diferencial y de género  </v>
      </c>
      <c r="G58" s="249">
        <v>18</v>
      </c>
      <c r="H58" s="243" t="str">
        <f>VLOOKUP(Territorialización[[#This Row],[No. Localidad]],LISTAS!$F$1:$G$22,2,0)</f>
        <v>Rafael Uribe</v>
      </c>
      <c r="I58" s="229" t="str">
        <f>IFERROR(VLOOKUP([2]!Territorialización[[#This Row],[No. Localidad]],[2]Listas!$F$96:$H$117,3,0),"...")</f>
        <v>...</v>
      </c>
      <c r="J58" s="258">
        <v>11076</v>
      </c>
      <c r="K58" s="259">
        <v>13333318</v>
      </c>
      <c r="L58" s="262" t="s">
        <v>1236</v>
      </c>
      <c r="M58" s="259">
        <v>13333318</v>
      </c>
      <c r="N58" s="263" t="s">
        <v>1233</v>
      </c>
      <c r="O58" s="263" t="s">
        <v>1234</v>
      </c>
      <c r="P58" s="314">
        <v>1107</v>
      </c>
      <c r="Q58" s="266">
        <v>1373880758</v>
      </c>
      <c r="R58" s="266">
        <v>0</v>
      </c>
      <c r="S58" s="267"/>
      <c r="T58" s="309"/>
      <c r="U58" s="310"/>
      <c r="V58" s="308">
        <v>147</v>
      </c>
      <c r="W58" s="308">
        <v>161</v>
      </c>
      <c r="X58" s="308">
        <v>0</v>
      </c>
      <c r="Y58" s="308">
        <v>186</v>
      </c>
      <c r="Z58" s="308">
        <v>235</v>
      </c>
      <c r="AA58" s="308">
        <v>0</v>
      </c>
      <c r="AB58" s="308">
        <v>124</v>
      </c>
      <c r="AC58" s="308">
        <v>187</v>
      </c>
      <c r="AD58" s="308">
        <v>0</v>
      </c>
      <c r="AE58" s="308">
        <v>19</v>
      </c>
      <c r="AF58" s="308">
        <v>0</v>
      </c>
      <c r="AG58" s="308"/>
      <c r="AH58" s="308"/>
      <c r="AI58" s="308"/>
      <c r="AJ58" s="308"/>
      <c r="AK58" s="308"/>
      <c r="AL58" s="308"/>
      <c r="AM58" s="308"/>
      <c r="AN58" s="255"/>
      <c r="AO58" s="255"/>
      <c r="AP58" s="255"/>
      <c r="AQ58" s="311">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476</v>
      </c>
      <c r="AR58" s="311">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583</v>
      </c>
      <c r="AS58" s="311">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58" s="264"/>
      <c r="AU58" s="269"/>
      <c r="AV58" s="264"/>
      <c r="AW58" s="264"/>
      <c r="AX58" s="269"/>
      <c r="AY58" s="264"/>
      <c r="AZ58" s="264"/>
      <c r="BA58" s="269"/>
      <c r="BB58" s="264"/>
      <c r="BC58" s="264"/>
      <c r="BD58" s="264"/>
      <c r="BE58" s="264"/>
      <c r="BF58" s="264"/>
      <c r="BG58" s="264"/>
      <c r="BH58" s="269"/>
      <c r="BI58" s="269"/>
      <c r="BJ58" s="269"/>
      <c r="BK58" s="269"/>
      <c r="BL58" s="269"/>
      <c r="BM58" s="269"/>
      <c r="BN58" s="269"/>
      <c r="BO58"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58"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58"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59" spans="1:69" hidden="1" x14ac:dyDescent="0.3">
      <c r="A59" s="260" t="str">
        <f>Territorialización[[#This Row],[Código proyecto]]&amp;Territorialización[[#This Row],[No Meta proyecto]]</f>
        <v>77445</v>
      </c>
      <c r="B59" s="229" t="str">
        <f t="shared" si="1"/>
        <v>77445-19</v>
      </c>
      <c r="C59" s="229">
        <f>Proyecto!$B$19</f>
        <v>7744</v>
      </c>
      <c r="D59" s="261" t="str">
        <f>Proyecto!$D$19</f>
        <v>Generación de Oportunidades para el Desarrollo Integral de la Niñez y la Adolescencia de Bogotá</v>
      </c>
      <c r="E59" s="248">
        <v>5</v>
      </c>
      <c r="F59" s="261" t="str">
        <f>VLOOKUP(A59,ESTRATÉGICO!$C$3:$AA$110,14,0)</f>
        <v>Atender a 21200 niñas, niños y adolescentes del distrito en riesgo de trabajo infantil y violencias sexuales; y migrantes en riesgo de vulneración de sus derechos de manera flexible con enfoque diferencial y de género  </v>
      </c>
      <c r="G59" s="249">
        <v>19</v>
      </c>
      <c r="H59" s="243" t="str">
        <f>VLOOKUP(Territorialización[[#This Row],[No. Localidad]],LISTAS!$F$1:$G$22,2,0)</f>
        <v>Ciudad Bolivar</v>
      </c>
      <c r="I59" s="229" t="str">
        <f>IFERROR(VLOOKUP([2]!Territorialización[[#This Row],[No. Localidad]],[2]Listas!$F$96:$H$117,3,0),"...")</f>
        <v>...</v>
      </c>
      <c r="J59" s="258">
        <v>11077</v>
      </c>
      <c r="K59" s="259">
        <v>13333319</v>
      </c>
      <c r="L59" s="262" t="s">
        <v>1237</v>
      </c>
      <c r="M59" s="259">
        <v>13333319</v>
      </c>
      <c r="N59" s="263" t="s">
        <v>1233</v>
      </c>
      <c r="O59" s="263" t="s">
        <v>1234</v>
      </c>
      <c r="P59" s="314">
        <v>1719</v>
      </c>
      <c r="Q59" s="266">
        <v>433130846</v>
      </c>
      <c r="R59" s="266">
        <v>0</v>
      </c>
      <c r="S59" s="267"/>
      <c r="T59" s="309"/>
      <c r="U59" s="310"/>
      <c r="V59" s="308">
        <v>274</v>
      </c>
      <c r="W59" s="308">
        <v>288</v>
      </c>
      <c r="X59" s="308">
        <v>0</v>
      </c>
      <c r="Y59" s="308">
        <v>432</v>
      </c>
      <c r="Z59" s="308">
        <v>387</v>
      </c>
      <c r="AA59" s="308">
        <v>0</v>
      </c>
      <c r="AB59" s="308">
        <v>187</v>
      </c>
      <c r="AC59" s="308">
        <v>170</v>
      </c>
      <c r="AD59" s="308">
        <v>0</v>
      </c>
      <c r="AE59" s="308">
        <v>0</v>
      </c>
      <c r="AF59" s="308">
        <v>20</v>
      </c>
      <c r="AG59" s="308"/>
      <c r="AH59" s="308"/>
      <c r="AI59" s="308"/>
      <c r="AJ59" s="308"/>
      <c r="AK59" s="308"/>
      <c r="AL59" s="308"/>
      <c r="AM59" s="308"/>
      <c r="AN59" s="255"/>
      <c r="AO59" s="255"/>
      <c r="AP59" s="255"/>
      <c r="AQ59" s="311">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893</v>
      </c>
      <c r="AR59" s="311">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865</v>
      </c>
      <c r="AS59" s="311">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59" s="264"/>
      <c r="AU59" s="269"/>
      <c r="AV59" s="264"/>
      <c r="AW59" s="264"/>
      <c r="AX59" s="269"/>
      <c r="AY59" s="264"/>
      <c r="AZ59" s="264"/>
      <c r="BA59" s="269"/>
      <c r="BB59" s="264"/>
      <c r="BC59" s="264"/>
      <c r="BD59" s="264"/>
      <c r="BE59" s="264"/>
      <c r="BF59" s="264"/>
      <c r="BG59" s="264"/>
      <c r="BH59" s="269"/>
      <c r="BI59" s="269"/>
      <c r="BJ59" s="269"/>
      <c r="BK59" s="269"/>
      <c r="BL59" s="269"/>
      <c r="BM59" s="269"/>
      <c r="BN59" s="269"/>
      <c r="BO59"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59"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59"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60" spans="1:69" hidden="1" x14ac:dyDescent="0.3">
      <c r="A60" s="260" t="str">
        <f>Territorialización[[#This Row],[Código proyecto]]&amp;Territorialización[[#This Row],[No Meta proyecto]]</f>
        <v>77445</v>
      </c>
      <c r="B60" s="229" t="str">
        <f t="shared" si="1"/>
        <v>77445-77</v>
      </c>
      <c r="C60" s="229">
        <f>Proyecto!$B$19</f>
        <v>7744</v>
      </c>
      <c r="D60" s="261" t="str">
        <f>Proyecto!$D$19</f>
        <v>Generación de Oportunidades para el Desarrollo Integral de la Niñez y la Adolescencia de Bogotá</v>
      </c>
      <c r="E60" s="248">
        <v>5</v>
      </c>
      <c r="F60" s="261" t="str">
        <f>VLOOKUP(A60,ESTRATÉGICO!$C$3:$AA$110,14,0)</f>
        <v>Atender a 21200 niñas, niños y adolescentes del distrito en riesgo de trabajo infantil y violencias sexuales; y migrantes en riesgo de vulneración de sus derechos de manera flexible con enfoque diferencial y de género  </v>
      </c>
      <c r="G60" s="249">
        <v>77</v>
      </c>
      <c r="H60" s="243" t="str">
        <f>VLOOKUP(Territorialización[[#This Row],[No. Localidad]],LISTAS!$F$1:$G$22,2,0)</f>
        <v xml:space="preserve">Distrital </v>
      </c>
      <c r="I60" s="229" t="str">
        <f>IFERROR(VLOOKUP([2]!Territorialización[[#This Row],[No. Localidad]],[2]Listas!$F$96:$H$117,3,0),"...")</f>
        <v>...</v>
      </c>
      <c r="J60" s="258">
        <v>1</v>
      </c>
      <c r="K60" s="259">
        <v>19999999</v>
      </c>
      <c r="L60" s="262" t="s">
        <v>1204</v>
      </c>
      <c r="M60" s="259">
        <v>19999999</v>
      </c>
      <c r="N60" s="263" t="s">
        <v>1233</v>
      </c>
      <c r="O60" s="263" t="s">
        <v>1234</v>
      </c>
      <c r="P60" s="314">
        <v>0</v>
      </c>
      <c r="Q60" s="266">
        <v>0</v>
      </c>
      <c r="R60" s="266">
        <v>0</v>
      </c>
      <c r="S60" s="267"/>
      <c r="T60" s="309"/>
      <c r="U60" s="310"/>
      <c r="V60" s="308"/>
      <c r="W60" s="308"/>
      <c r="X60" s="308"/>
      <c r="Y60" s="308"/>
      <c r="Z60" s="308"/>
      <c r="AA60" s="308"/>
      <c r="AB60" s="308"/>
      <c r="AC60" s="308"/>
      <c r="AD60" s="308"/>
      <c r="AE60" s="308"/>
      <c r="AF60" s="308"/>
      <c r="AG60" s="308"/>
      <c r="AH60" s="308"/>
      <c r="AI60" s="308"/>
      <c r="AJ60" s="308"/>
      <c r="AK60" s="308"/>
      <c r="AL60" s="308"/>
      <c r="AM60" s="308"/>
      <c r="AN60" s="255"/>
      <c r="AO60" s="255"/>
      <c r="AP60" s="255"/>
      <c r="AQ60" s="311">
        <f>Territorialización[[#This Row],[HOMBRES 0-5 Programación]]+Territorialización[[#This Row],[HOMBRES 6-12 Programación]]+Territorialización[[#This Row],[HOMBRES 13-17 Programación]]+Territorialización[[#This Row],[HOMBRES 18-26 Programación]]+Territorialización[[#This Row],[HOMBRES 27-59 Programación]]+Territorialización[[#This Row],[HOMBRES +60 Programación]]+Territorialización[[#This Row],[HOMBRES SD Programación]]</f>
        <v>0</v>
      </c>
      <c r="AR60" s="311">
        <f>Territorialización[[#This Row],[MUJERES 0-5 Programación]]+Territorialización[[#This Row],[MUJERES 6-12 Programación]]+Territorialización[[#This Row],[MUJERES 13-17 Programación]]+Territorialización[[#This Row],[MUJERES 18-26 Programación]]+Territorialización[[#This Row],[MUJERES 27-59 Programación]]+Territorialización[[#This Row],[MUJERES +60 Programación]]+Territorialización[[#This Row],[MUJERES SD Programación]]</f>
        <v>0</v>
      </c>
      <c r="AS60" s="311">
        <f>Territorialización[[#This Row],[INTERSEXUAL 0-5 Programación]]+Territorialización[[#This Row],[INTERSEXUAL 6-12 Programación]]+Territorialización[[#This Row],[INTERSEXUAL 13-17 Programación]]+Territorialización[[#This Row],[INTERSEXUAL 18-26 Programación]]+Territorialización[[#This Row],[INTERSEXUAL 27-59 Programación]]+Territorialización[[#This Row],[INTERSEXUAL +60 Programación]]+Territorialización[[#This Row],[INTERSEXUAL SD Programación]]</f>
        <v>0</v>
      </c>
      <c r="AT60" s="264"/>
      <c r="AU60" s="269"/>
      <c r="AV60" s="264"/>
      <c r="AW60" s="264"/>
      <c r="AX60" s="269"/>
      <c r="AY60" s="264"/>
      <c r="AZ60" s="264"/>
      <c r="BA60" s="269"/>
      <c r="BB60" s="264"/>
      <c r="BC60" s="264"/>
      <c r="BD60" s="264"/>
      <c r="BE60" s="264"/>
      <c r="BF60" s="264"/>
      <c r="BG60" s="264"/>
      <c r="BH60" s="269"/>
      <c r="BI60" s="269"/>
      <c r="BJ60" s="269"/>
      <c r="BK60" s="269"/>
      <c r="BL60" s="269"/>
      <c r="BM60" s="269"/>
      <c r="BN60" s="269"/>
      <c r="BO60" s="271">
        <f xml:space="preserve">
Territorialización[[#This Row],[HOMBRES 0-5 Ejecución]]+
Territorialización[[#This Row],[HOMBRES 6-12  Ejecución]]+
Territorialización[[#This Row],[HOMBRES 13-17  Ejecución]]+
Territorialización[[#This Row],[HOMBRES 18-26  Ejecución]]+
Territorialización[[#This Row],[HOMBRES 27-59  Ejecución]]+
Territorialización[[#This Row],[HOMBRES +60  Ejecución]]+
Territorialización[[#This Row],[HOMBRES SD   Ejecución]]</f>
        <v>0</v>
      </c>
      <c r="BP60" s="271">
        <f xml:space="preserve">
Territorialización[[#This Row],[MUJERES 0-5 Ejecución]]+
Territorialización[[#This Row],[MUJERES 6-12  Ejecución]]+
Territorialización[[#This Row],[MUJERES 13-17  Ejecución]]+
Territorialización[[#This Row],[MUJERES 18-26  Ejecución]]+
Territorialización[[#This Row],[MUJERES 27-59  Ejecución]]+
Territorialización[[#This Row],[MUJERES +60  Ejecución]]+
Territorialización[[#This Row],[MUJERES SD  Ejecución]]</f>
        <v>0</v>
      </c>
      <c r="BQ60" s="271">
        <f xml:space="preserve">
Territorialización[[#This Row],[INTERSEXUAL 0-5  Ejecución]]+
Territorialización[[#This Row],[INTERSEXUAL 6-12  Ejecución]]+
Territorialización[[#This Row],[INTERSEXUAL 13-17  Ejecución]]+
Territorialización[[#This Row],[INTERSEXUAL 18-26  Ejecución]]+
Territorialización[[#This Row],[INTERSEXUAL 27-59  Ejecución]]+
Territorialización[[#This Row],[INTERSEXUAL +60  Ejecución]]+
Territorialización[[#This Row],[INTERSEXUAL SD  Ejecución]]</f>
        <v>0</v>
      </c>
    </row>
    <row r="61" spans="1:69" x14ac:dyDescent="0.3">
      <c r="A61" s="49"/>
      <c r="B61" s="396" t="s">
        <v>845</v>
      </c>
      <c r="C61" s="396"/>
      <c r="D61" s="397"/>
      <c r="E61" s="396"/>
      <c r="F61" s="396"/>
      <c r="G61" s="396"/>
      <c r="H61" s="398"/>
      <c r="I61" s="396"/>
      <c r="J61" s="396"/>
      <c r="K61" s="396"/>
      <c r="L61" s="396"/>
      <c r="M61" s="396"/>
      <c r="N61" s="396"/>
      <c r="O61" s="396"/>
      <c r="P61" s="399">
        <f>SUBTOTAL(109,Territorialización[Magnitud vigencia (Programación)])</f>
        <v>8300</v>
      </c>
      <c r="Q61" s="400">
        <f>SUBTOTAL(109,Territorialización[Recursos vigencia (Programación)])</f>
        <v>2761025000</v>
      </c>
      <c r="R61" s="401">
        <f>SUBTOTAL(109,Territorialización[Recursos Reservas (Programación)])</f>
        <v>0</v>
      </c>
      <c r="S61" s="402">
        <f>SUBTOTAL(109,Territorialización[Magnitud vigencia (Ejecución)])</f>
        <v>0</v>
      </c>
      <c r="T61" s="400">
        <f>SUBTOTAL(109,Territorialización[Recursos vigencia (Ejecución)])</f>
        <v>0</v>
      </c>
      <c r="U61" s="400">
        <f>SUBTOTAL(109,Territorialización[Recursos Reservas (Ejecución)])</f>
        <v>0</v>
      </c>
      <c r="V61" s="403">
        <f>SUBTOTAL(109,Territorialización[HOMBRES 0-5 Programación])</f>
        <v>1758</v>
      </c>
      <c r="W61" s="403">
        <f>SUBTOTAL(109,Territorialización[MUJERES 0-5 Programación])</f>
        <v>943</v>
      </c>
      <c r="X61" s="403">
        <f>SUBTOTAL(109,Territorialización[INTERSEXUAL 0-5 Programación])</f>
        <v>0</v>
      </c>
      <c r="Y61" s="403">
        <f>SUBTOTAL(109,Territorialización[HOMBRES 6-12 Programación])</f>
        <v>1407</v>
      </c>
      <c r="Z61" s="403">
        <f>SUBTOTAL(109,Territorialización[MUJERES 6-12 Programación])</f>
        <v>889</v>
      </c>
      <c r="AA61" s="403">
        <f>SUBTOTAL(109,Territorialización[INTERSEXUAL 6-12 Programación])</f>
        <v>0</v>
      </c>
      <c r="AB61" s="403">
        <f>SUBTOTAL(109,Territorialización[HOMBRES 13-17 Programación])</f>
        <v>777</v>
      </c>
      <c r="AC61" s="403">
        <f>SUBTOTAL(109,Territorialización[MUJERES 13-17 Programación])</f>
        <v>841</v>
      </c>
      <c r="AD61" s="403">
        <f>SUBTOTAL(109,Territorialización[INTERSEXUAL 13-17 Programación])</f>
        <v>0</v>
      </c>
      <c r="AE61" s="403">
        <f>SUBTOTAL(109,Territorialización[HOMBRES 18-26 Programación])</f>
        <v>821</v>
      </c>
      <c r="AF61" s="403">
        <f>SUBTOTAL(109,Territorialización[MUJERES 18-26 Programación])</f>
        <v>864</v>
      </c>
      <c r="AG61" s="403"/>
      <c r="AH61" s="403"/>
      <c r="AI61" s="403"/>
      <c r="AJ61" s="403"/>
      <c r="AK61" s="403"/>
      <c r="AL61" s="403"/>
      <c r="AM61" s="403"/>
      <c r="AN61" s="398"/>
      <c r="AO61" s="398"/>
      <c r="AP61" s="398"/>
      <c r="AQ61" s="398">
        <f>SUBTOTAL(109,Territorialización[HOMBRES Total Programación])</f>
        <v>4763</v>
      </c>
      <c r="AR61" s="398">
        <f>SUBTOTAL(109,Territorialización[MUJERES Total Programación])</f>
        <v>3537</v>
      </c>
      <c r="AS61" s="398">
        <f>SUBTOTAL(109,Territorialización[INTERSEXUAL Total Programación])</f>
        <v>0</v>
      </c>
      <c r="AT61" s="398">
        <f>SUBTOTAL(109,Territorialización[HOMBRES 0-5 Ejecución])</f>
        <v>0</v>
      </c>
      <c r="AU61" s="398">
        <f>SUBTOTAL(109,Territorialización[MUJERES 0-5 Ejecución])</f>
        <v>0</v>
      </c>
      <c r="AV61" s="398">
        <f>SUBTOTAL(109,Territorialización[INTERSEXUAL 0-5  Ejecución])</f>
        <v>0</v>
      </c>
      <c r="AW61" s="398">
        <f>SUBTOTAL(109,Territorialización[HOMBRES 6-12  Ejecución])</f>
        <v>0</v>
      </c>
      <c r="AX61" s="398">
        <f>SUBTOTAL(109,Territorialización[MUJERES 6-12  Ejecución])</f>
        <v>0</v>
      </c>
      <c r="AY61" s="398">
        <f>SUBTOTAL(109,Territorialización[INTERSEXUAL 6-12  Ejecución])</f>
        <v>0</v>
      </c>
      <c r="AZ61" s="398">
        <f>SUBTOTAL(109,Territorialización[HOMBRES 13-17  Ejecución])</f>
        <v>0</v>
      </c>
      <c r="BA61" s="398">
        <f>SUBTOTAL(109,Territorialización[MUJERES 13-17  Ejecución])</f>
        <v>0</v>
      </c>
      <c r="BB61" s="398">
        <f>SUBTOTAL(109,Territorialización[INTERSEXUAL 13-17  Ejecución])</f>
        <v>0</v>
      </c>
      <c r="BC61" s="398">
        <f>SUBTOTAL(109,Territorialización[HOMBRES 18-26  Ejecución])</f>
        <v>0</v>
      </c>
      <c r="BD61" s="398">
        <f>SUBTOTAL(109,Territorialización[MUJERES 18-26  Ejecución])</f>
        <v>0</v>
      </c>
      <c r="BE61" s="398">
        <f>SUBTOTAL(109,Territorialización[INTERSEXUAL 18-26  Ejecución])</f>
        <v>0</v>
      </c>
      <c r="BF61" s="398">
        <f>SUBTOTAL(109,Territorialización[HOMBRES 27-59  Ejecución])</f>
        <v>0</v>
      </c>
      <c r="BG61" s="398">
        <f>SUBTOTAL(109,Territorialización[MUJERES 27-59  Ejecución])</f>
        <v>0</v>
      </c>
      <c r="BH61" s="398">
        <f>SUBTOTAL(109,Territorialización[INTERSEXUAL 27-59  Ejecución])</f>
        <v>0</v>
      </c>
      <c r="BI61" s="398">
        <f>SUBTOTAL(109,Territorialización[HOMBRES +60  Ejecución])</f>
        <v>0</v>
      </c>
      <c r="BJ61" s="398">
        <f>SUBTOTAL(109,Territorialización[MUJERES +60  Ejecución])</f>
        <v>0</v>
      </c>
      <c r="BK61" s="398">
        <f>SUBTOTAL(109,Territorialización[INTERSEXUAL +60  Ejecución])</f>
        <v>0</v>
      </c>
      <c r="BL61" s="398">
        <f>SUBTOTAL(109,Territorialización[HOMBRES SD   Ejecución])</f>
        <v>0</v>
      </c>
      <c r="BM61" s="398">
        <f>SUBTOTAL(109,Territorialización[MUJERES SD  Ejecución])</f>
        <v>0</v>
      </c>
      <c r="BN61" s="398">
        <f>SUBTOTAL(109,Territorialización[INTERSEXUAL SD  Ejecución])</f>
        <v>0</v>
      </c>
      <c r="BO61" s="404">
        <f>SUBTOTAL(109,Territorialización[HOMBRES Total  Ejecución])</f>
        <v>0</v>
      </c>
      <c r="BP61" s="404">
        <f>SUBTOTAL(109,Territorialización[MUJERES Total  Ejecución])</f>
        <v>0</v>
      </c>
      <c r="BQ61" s="404">
        <f>SUBTOTAL(109,Territorialización[INTERSEXUAL Total  Ejecución])</f>
        <v>0</v>
      </c>
    </row>
    <row r="62" spans="1:69" x14ac:dyDescent="0.3">
      <c r="A62" s="49"/>
      <c r="B62" s="49"/>
      <c r="C62" s="49"/>
      <c r="D62" s="49"/>
      <c r="E62" s="49"/>
      <c r="F62" s="49"/>
      <c r="G62" s="49"/>
      <c r="H62" s="49"/>
      <c r="I62" s="49"/>
      <c r="J62" s="49"/>
      <c r="K62" s="49"/>
      <c r="L62" s="49"/>
      <c r="M62" s="49"/>
      <c r="N62" s="49"/>
      <c r="O62" s="49"/>
      <c r="P62" s="49"/>
      <c r="Q62" s="49"/>
      <c r="R62" s="49"/>
      <c r="S62" s="49"/>
      <c r="T62" s="49"/>
      <c r="U62" s="49"/>
      <c r="V62" s="386"/>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row>
    <row r="63" spans="1:69" x14ac:dyDescent="0.3">
      <c r="A63" s="49"/>
      <c r="B63" s="49"/>
      <c r="C63" s="49"/>
      <c r="D63" s="49"/>
      <c r="E63" s="49"/>
      <c r="F63" s="49"/>
      <c r="G63" s="49"/>
      <c r="H63" s="49"/>
      <c r="I63" s="49"/>
      <c r="J63" s="49"/>
      <c r="K63" s="49"/>
      <c r="L63" s="49"/>
      <c r="M63" s="49"/>
      <c r="N63" s="49"/>
      <c r="O63" s="49"/>
      <c r="P63" s="393"/>
      <c r="Q63" s="313"/>
      <c r="R63" s="49"/>
      <c r="S63" s="49"/>
      <c r="T63" s="49"/>
      <c r="U63" s="49"/>
      <c r="V63" s="256"/>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row>
    <row r="64" spans="1:69" x14ac:dyDescent="0.3">
      <c r="A64" s="49"/>
      <c r="B64" s="49"/>
      <c r="C64" s="49"/>
      <c r="D64" s="49"/>
      <c r="E64" s="49"/>
      <c r="F64" s="49"/>
      <c r="G64" s="49"/>
      <c r="H64" s="49"/>
      <c r="I64" s="49"/>
      <c r="J64" s="49"/>
      <c r="K64" s="49"/>
      <c r="L64" s="49"/>
      <c r="M64" s="49"/>
      <c r="N64" s="49"/>
      <c r="O64" s="49"/>
      <c r="P64" s="256"/>
      <c r="Q64" s="313"/>
      <c r="R64" s="49"/>
      <c r="S64" s="49"/>
      <c r="T64" s="49"/>
      <c r="U64" s="49"/>
      <c r="V64" s="256"/>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row>
    <row r="65" spans="2:69" x14ac:dyDescent="0.3">
      <c r="B65" s="49"/>
      <c r="C65" s="49"/>
      <c r="D65" s="49"/>
      <c r="E65" s="49"/>
      <c r="F65" s="49"/>
      <c r="G65" s="49"/>
      <c r="H65" s="49"/>
      <c r="I65" s="49"/>
      <c r="J65" s="49"/>
      <c r="K65" s="49"/>
      <c r="L65" s="49"/>
      <c r="M65" s="49"/>
      <c r="N65" s="49"/>
      <c r="O65" s="49"/>
      <c r="P65" s="394"/>
      <c r="Q65" s="313"/>
      <c r="R65" s="49"/>
      <c r="S65" s="126"/>
      <c r="T65" s="49"/>
      <c r="U65" s="49"/>
      <c r="V65" s="256"/>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row>
    <row r="66" spans="2:69" x14ac:dyDescent="0.3">
      <c r="B66" s="49"/>
      <c r="C66" s="49"/>
      <c r="D66" s="49"/>
      <c r="E66" s="49"/>
      <c r="F66" s="49"/>
      <c r="G66" s="49"/>
      <c r="H66" s="49"/>
      <c r="I66" s="49"/>
      <c r="J66" s="49"/>
      <c r="K66" s="49"/>
      <c r="L66" s="49"/>
      <c r="M66" s="49"/>
      <c r="N66" s="49"/>
      <c r="O66" s="49"/>
      <c r="P66" s="394"/>
      <c r="Q66" s="313"/>
      <c r="R66" s="49"/>
      <c r="S66" s="49"/>
      <c r="T66" s="49"/>
      <c r="U66" s="49"/>
      <c r="V66" s="256"/>
      <c r="W66" s="386"/>
      <c r="X66" s="386"/>
      <c r="Y66" s="386"/>
      <c r="Z66" s="386"/>
      <c r="AA66" s="386"/>
      <c r="AB66" s="386"/>
      <c r="AC66" s="386"/>
      <c r="AD66" s="386"/>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row>
    <row r="67" spans="2:69" x14ac:dyDescent="0.3">
      <c r="B67" s="49"/>
      <c r="C67" s="49"/>
      <c r="D67" s="49"/>
      <c r="E67" s="49"/>
      <c r="F67" s="49"/>
      <c r="G67" s="49"/>
      <c r="H67" s="49"/>
      <c r="I67" s="49"/>
      <c r="J67" s="49"/>
      <c r="K67" s="49"/>
      <c r="L67" s="49"/>
      <c r="M67" s="49"/>
      <c r="N67" s="49"/>
      <c r="O67" s="49"/>
      <c r="P67" s="394"/>
      <c r="Q67" s="313"/>
      <c r="R67" s="49"/>
      <c r="S67" s="126"/>
      <c r="T67" s="49"/>
      <c r="U67" s="49"/>
      <c r="V67" s="257"/>
      <c r="W67" s="386"/>
      <c r="X67" s="386"/>
      <c r="Y67" s="386"/>
      <c r="Z67" s="386"/>
      <c r="AA67" s="386"/>
      <c r="AB67" s="386"/>
      <c r="AC67" s="386"/>
      <c r="AD67" s="386"/>
      <c r="AE67" s="312"/>
      <c r="AF67" s="312"/>
      <c r="AG67" s="312"/>
      <c r="AH67" s="312"/>
      <c r="AI67" s="312"/>
      <c r="AJ67" s="312"/>
      <c r="AK67" s="312"/>
      <c r="AL67" s="312"/>
      <c r="AM67" s="312"/>
      <c r="AN67" s="49"/>
      <c r="AO67" s="49"/>
      <c r="AP67" s="49"/>
      <c r="AQ67" s="125"/>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row>
    <row r="68" spans="2:69" x14ac:dyDescent="0.3">
      <c r="B68" s="49"/>
      <c r="C68" s="49"/>
      <c r="D68" s="49"/>
      <c r="E68" s="49"/>
      <c r="F68" s="49"/>
      <c r="G68" s="49"/>
      <c r="H68" s="49"/>
      <c r="I68" s="49"/>
      <c r="J68" s="49"/>
      <c r="K68" s="49"/>
      <c r="L68" s="49"/>
      <c r="M68" s="49"/>
      <c r="N68" s="49"/>
      <c r="O68" s="49"/>
      <c r="P68" s="394"/>
      <c r="Q68" s="315"/>
      <c r="R68" s="49"/>
      <c r="S68" s="124"/>
      <c r="T68" s="49"/>
      <c r="U68" s="49"/>
      <c r="V68" s="395"/>
      <c r="W68" s="386"/>
      <c r="X68" s="386"/>
      <c r="Y68" s="386"/>
      <c r="Z68" s="386"/>
      <c r="AA68" s="386"/>
      <c r="AB68" s="386"/>
      <c r="AC68" s="386"/>
      <c r="AD68" s="386"/>
      <c r="AE68" s="312"/>
      <c r="AF68" s="312"/>
      <c r="AG68" s="312"/>
      <c r="AH68" s="312"/>
      <c r="AI68" s="312"/>
      <c r="AJ68" s="312"/>
      <c r="AK68" s="312"/>
      <c r="AL68" s="312"/>
      <c r="AM68" s="312"/>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t="s">
        <v>955</v>
      </c>
    </row>
    <row r="69" spans="2:69" x14ac:dyDescent="0.3">
      <c r="B69" s="49"/>
      <c r="C69" s="49"/>
      <c r="D69" s="49"/>
      <c r="E69" s="49"/>
      <c r="F69" s="49"/>
      <c r="G69" s="49"/>
      <c r="H69" s="49"/>
      <c r="I69" s="49"/>
      <c r="J69" s="49"/>
      <c r="K69" s="49"/>
      <c r="L69" s="49"/>
      <c r="M69" s="49"/>
      <c r="N69" s="49"/>
      <c r="O69" s="49"/>
      <c r="P69" s="394"/>
      <c r="Q69" s="315"/>
      <c r="R69" s="49"/>
      <c r="S69" s="49"/>
      <c r="T69" s="49"/>
      <c r="U69" s="49"/>
      <c r="V69" s="312"/>
      <c r="W69" s="386"/>
      <c r="X69" s="386"/>
      <c r="Y69" s="386"/>
      <c r="Z69" s="386"/>
      <c r="AA69" s="386"/>
      <c r="AB69" s="386"/>
      <c r="AC69" s="386"/>
      <c r="AD69" s="386"/>
      <c r="AE69" s="312"/>
      <c r="AF69" s="312"/>
      <c r="AG69" s="312"/>
      <c r="AH69" s="312"/>
      <c r="AI69" s="312"/>
      <c r="AJ69" s="312"/>
      <c r="AK69" s="312"/>
      <c r="AL69" s="312"/>
      <c r="AM69" s="312"/>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row>
    <row r="70" spans="2:69" x14ac:dyDescent="0.3">
      <c r="P70" s="394"/>
      <c r="W70" s="386"/>
      <c r="X70" s="386"/>
      <c r="Y70" s="386"/>
      <c r="Z70" s="386"/>
      <c r="AA70" s="386"/>
      <c r="AB70" s="386"/>
      <c r="AC70" s="386"/>
      <c r="AD70" s="386"/>
      <c r="AE70" s="312"/>
      <c r="AF70" s="312"/>
      <c r="AG70" s="312"/>
      <c r="AH70" s="312"/>
      <c r="AI70" s="312"/>
      <c r="AJ70" s="312"/>
      <c r="AK70" s="312"/>
      <c r="AL70" s="312"/>
      <c r="AM70" s="312"/>
    </row>
    <row r="71" spans="2:69" x14ac:dyDescent="0.3">
      <c r="P71" s="394"/>
      <c r="W71" s="386"/>
      <c r="X71" s="386"/>
      <c r="Y71" s="386"/>
      <c r="Z71" s="386"/>
      <c r="AA71" s="386"/>
      <c r="AB71" s="386"/>
      <c r="AC71" s="386"/>
      <c r="AD71" s="386"/>
      <c r="AE71" s="312"/>
      <c r="AF71" s="312"/>
      <c r="AG71" s="312"/>
      <c r="AH71" s="312"/>
      <c r="AI71" s="312"/>
      <c r="AJ71" s="312"/>
      <c r="AK71" s="312"/>
      <c r="AL71" s="312"/>
      <c r="AM71" s="312"/>
    </row>
    <row r="72" spans="2:69" x14ac:dyDescent="0.3">
      <c r="P72" s="394"/>
      <c r="W72" s="386"/>
      <c r="X72" s="386"/>
      <c r="Y72" s="386"/>
      <c r="Z72" s="386"/>
      <c r="AA72" s="386"/>
      <c r="AB72" s="386"/>
      <c r="AC72" s="386"/>
      <c r="AD72" s="386"/>
      <c r="AE72" s="312"/>
      <c r="AF72" s="312"/>
      <c r="AG72" s="312"/>
      <c r="AH72" s="312"/>
      <c r="AI72" s="312"/>
      <c r="AJ72" s="312"/>
      <c r="AK72" s="312"/>
      <c r="AL72" s="312"/>
      <c r="AM72" s="312"/>
    </row>
    <row r="73" spans="2:69" x14ac:dyDescent="0.3">
      <c r="P73" s="394"/>
      <c r="W73" s="386"/>
      <c r="X73" s="386"/>
      <c r="Y73" s="386"/>
      <c r="Z73" s="386"/>
      <c r="AA73" s="386"/>
      <c r="AB73" s="386"/>
      <c r="AC73" s="386"/>
      <c r="AD73" s="386"/>
      <c r="AE73" s="312"/>
      <c r="AF73" s="312"/>
      <c r="AG73" s="312"/>
      <c r="AH73" s="312"/>
      <c r="AI73" s="312"/>
      <c r="AJ73" s="312"/>
      <c r="AK73" s="312"/>
      <c r="AL73" s="312"/>
      <c r="AM73" s="312"/>
    </row>
    <row r="74" spans="2:69" x14ac:dyDescent="0.3">
      <c r="P74" s="394"/>
      <c r="W74" s="386"/>
      <c r="X74" s="386"/>
      <c r="Y74" s="386"/>
      <c r="Z74" s="386"/>
      <c r="AA74" s="386"/>
      <c r="AB74" s="386"/>
      <c r="AC74" s="386"/>
      <c r="AD74" s="386"/>
      <c r="AE74" s="312"/>
      <c r="AF74" s="312"/>
      <c r="AG74" s="312"/>
      <c r="AH74" s="312"/>
      <c r="AI74" s="312"/>
      <c r="AJ74" s="312"/>
      <c r="AK74" s="312"/>
      <c r="AL74" s="312"/>
      <c r="AM74" s="312"/>
    </row>
    <row r="75" spans="2:69" x14ac:dyDescent="0.3">
      <c r="P75" s="394"/>
      <c r="W75" s="386"/>
      <c r="X75" s="386"/>
      <c r="Y75" s="386"/>
      <c r="Z75" s="386"/>
      <c r="AA75" s="386"/>
      <c r="AB75" s="386"/>
      <c r="AC75" s="386"/>
      <c r="AD75" s="386"/>
      <c r="AE75" s="312"/>
      <c r="AF75" s="312"/>
      <c r="AG75" s="312"/>
      <c r="AH75" s="312"/>
      <c r="AI75" s="312"/>
      <c r="AJ75" s="312"/>
      <c r="AK75" s="312"/>
      <c r="AL75" s="312"/>
      <c r="AM75" s="312"/>
    </row>
    <row r="76" spans="2:69" x14ac:dyDescent="0.3">
      <c r="P76" s="394"/>
      <c r="W76" s="386"/>
      <c r="X76" s="386"/>
      <c r="Y76" s="386"/>
      <c r="Z76" s="386"/>
      <c r="AA76" s="386"/>
      <c r="AB76" s="386"/>
      <c r="AC76" s="386"/>
      <c r="AD76" s="386"/>
      <c r="AE76" s="312"/>
      <c r="AF76" s="312"/>
      <c r="AG76" s="312"/>
      <c r="AH76" s="312"/>
      <c r="AI76" s="312"/>
      <c r="AJ76" s="312"/>
      <c r="AK76" s="312"/>
      <c r="AL76" s="312"/>
      <c r="AM76" s="312"/>
    </row>
    <row r="77" spans="2:69" x14ac:dyDescent="0.3">
      <c r="P77" s="394"/>
      <c r="W77" s="386"/>
      <c r="X77" s="386"/>
      <c r="Y77" s="386"/>
      <c r="Z77" s="386"/>
      <c r="AA77" s="386"/>
      <c r="AB77" s="386"/>
      <c r="AC77" s="386"/>
      <c r="AD77" s="386"/>
      <c r="AE77" s="312"/>
      <c r="AF77" s="312"/>
      <c r="AG77" s="312"/>
      <c r="AH77" s="312"/>
      <c r="AI77" s="312"/>
      <c r="AJ77" s="312"/>
      <c r="AK77" s="312"/>
      <c r="AL77" s="312"/>
      <c r="AM77" s="312"/>
    </row>
    <row r="78" spans="2:69" x14ac:dyDescent="0.3">
      <c r="P78" s="394"/>
      <c r="W78" s="386"/>
      <c r="X78" s="386"/>
      <c r="Y78" s="386"/>
      <c r="Z78" s="386"/>
      <c r="AA78" s="386"/>
      <c r="AB78" s="386"/>
      <c r="AC78" s="386"/>
      <c r="AD78" s="386"/>
      <c r="AE78" s="312"/>
      <c r="AF78" s="312"/>
      <c r="AG78" s="312"/>
      <c r="AH78" s="312"/>
      <c r="AI78" s="312"/>
      <c r="AJ78" s="312"/>
      <c r="AK78" s="312"/>
      <c r="AL78" s="312"/>
      <c r="AM78" s="312"/>
    </row>
    <row r="79" spans="2:69" x14ac:dyDescent="0.3">
      <c r="P79" s="394"/>
      <c r="W79" s="386"/>
      <c r="X79" s="386"/>
      <c r="Y79" s="386"/>
      <c r="Z79" s="386"/>
      <c r="AA79" s="386"/>
      <c r="AB79" s="386"/>
      <c r="AC79" s="386"/>
      <c r="AD79" s="386"/>
      <c r="AE79" s="312"/>
      <c r="AF79" s="312"/>
      <c r="AG79" s="312"/>
      <c r="AH79" s="312"/>
      <c r="AI79" s="312"/>
      <c r="AJ79" s="312"/>
      <c r="AK79" s="312"/>
      <c r="AL79" s="312"/>
      <c r="AM79" s="312"/>
    </row>
    <row r="80" spans="2:69" x14ac:dyDescent="0.3">
      <c r="P80" s="394"/>
      <c r="W80" s="386"/>
      <c r="X80" s="386"/>
      <c r="Y80" s="386"/>
      <c r="Z80" s="386"/>
      <c r="AA80" s="386"/>
      <c r="AB80" s="386"/>
      <c r="AC80" s="386"/>
      <c r="AD80" s="386"/>
      <c r="AE80" s="312"/>
      <c r="AF80" s="312"/>
      <c r="AG80" s="312"/>
      <c r="AH80" s="312"/>
      <c r="AI80" s="312"/>
      <c r="AJ80" s="312"/>
      <c r="AK80" s="312"/>
      <c r="AL80" s="312"/>
      <c r="AM80" s="312"/>
    </row>
    <row r="81" spans="16:39" x14ac:dyDescent="0.3">
      <c r="P81" s="394">
        <f t="shared" ref="P81" si="2">+$P60+$P$64</f>
        <v>0</v>
      </c>
      <c r="W81" s="386"/>
      <c r="X81" s="386"/>
      <c r="Y81" s="386"/>
      <c r="Z81" s="386"/>
      <c r="AA81" s="386"/>
      <c r="AB81" s="386"/>
      <c r="AC81" s="386"/>
      <c r="AD81" s="386"/>
      <c r="AE81" s="312"/>
      <c r="AF81" s="312"/>
      <c r="AG81" s="312"/>
      <c r="AH81" s="312"/>
      <c r="AI81" s="312"/>
      <c r="AJ81" s="312"/>
      <c r="AK81" s="312"/>
      <c r="AL81" s="312"/>
      <c r="AM81" s="312"/>
    </row>
    <row r="82" spans="16:39" x14ac:dyDescent="0.3">
      <c r="W82" s="386"/>
      <c r="X82" s="312"/>
      <c r="Y82" s="386"/>
      <c r="Z82" s="386"/>
      <c r="AA82" s="312"/>
      <c r="AB82" s="312"/>
      <c r="AC82" s="312"/>
      <c r="AD82" s="312"/>
      <c r="AE82" s="312"/>
      <c r="AF82" s="312"/>
      <c r="AG82" s="312"/>
      <c r="AH82" s="312"/>
      <c r="AI82" s="312"/>
      <c r="AJ82" s="312"/>
      <c r="AK82" s="312"/>
      <c r="AL82" s="312"/>
      <c r="AM82" s="312"/>
    </row>
    <row r="83" spans="16:39" x14ac:dyDescent="0.3">
      <c r="X83" s="312"/>
      <c r="Y83" s="312"/>
      <c r="Z83" s="312"/>
      <c r="AA83" s="312"/>
      <c r="AB83" s="312"/>
      <c r="AC83" s="312"/>
      <c r="AD83" s="312"/>
      <c r="AE83" s="312"/>
      <c r="AF83" s="312"/>
      <c r="AG83" s="312"/>
      <c r="AH83" s="312"/>
      <c r="AI83" s="312"/>
      <c r="AJ83" s="312"/>
      <c r="AK83" s="312"/>
      <c r="AL83" s="312"/>
      <c r="AM83" s="312"/>
    </row>
  </sheetData>
  <sheetProtection formatCells="0" formatColumns="0" formatRows="0" insertRows="0" sort="0" autoFilter="0" pivotTables="0"/>
  <mergeCells count="27">
    <mergeCell ref="AN17:AP17"/>
    <mergeCell ref="AQ17:AS17"/>
    <mergeCell ref="S17:U17"/>
    <mergeCell ref="A13:BQ13"/>
    <mergeCell ref="AT16:BQ16"/>
    <mergeCell ref="AT17:AV17"/>
    <mergeCell ref="AW17:AY17"/>
    <mergeCell ref="AZ17:BB17"/>
    <mergeCell ref="BC17:BE17"/>
    <mergeCell ref="BF17:BH17"/>
    <mergeCell ref="BI17:BK17"/>
    <mergeCell ref="BL17:BN17"/>
    <mergeCell ref="BO17:BQ17"/>
    <mergeCell ref="P17:R17"/>
    <mergeCell ref="V16:AS16"/>
    <mergeCell ref="V17:X17"/>
    <mergeCell ref="B2:C5"/>
    <mergeCell ref="D2:G5"/>
    <mergeCell ref="AH17:AJ17"/>
    <mergeCell ref="AK17:AM17"/>
    <mergeCell ref="Y17:AA17"/>
    <mergeCell ref="AB17:AD17"/>
    <mergeCell ref="AE17:AG17"/>
    <mergeCell ref="H2:I2"/>
    <mergeCell ref="H3:I3"/>
    <mergeCell ref="H4:I4"/>
    <mergeCell ref="H5:I5"/>
  </mergeCells>
  <phoneticPr fontId="14" type="noConversion"/>
  <dataValidations xWindow="1545" yWindow="697" count="14">
    <dataValidation allowBlank="1" showInputMessage="1" showErrorMessage="1" promptTitle="Nombre punto de inversión" prompt="Nombre completo de la unidad operativa según el sistema de registro de beneficiarios - SIRBE" sqref="L18:M18" xr:uid="{00000000-0002-0000-0E00-000000000000}"/>
    <dataValidation allowBlank="1" showInputMessage="1" showErrorMessage="1" promptTitle="Nombre punto de inversión" prompt="Nombre del servicio según el portafolio de servicios de la Entidad" sqref="N18:O18" xr:uid="{00000000-0002-0000-0E00-000001000000}"/>
    <dataValidation allowBlank="1" showInputMessage="1" showErrorMessage="1" promptTitle="PROGRAMACIÓN" sqref="P18:U18" xr:uid="{00000000-0002-0000-0E00-000002000000}"/>
    <dataValidation allowBlank="1" showInputMessage="1" showErrorMessage="1" prompt="Ingresar la programación de magnitud, presupuesto y reservas por unidad operativa. Debe coincidir con la herramienta financiera SEVEN" sqref="P17:P18 Q18:R18 S17:S18 T18:U18" xr:uid="{00000000-0002-0000-0E00-000003000000}"/>
    <dataValidation allowBlank="1" showInputMessage="1" showErrorMessage="1" promptTitle="PROGRAMACIÓN POBLACIÓN" prompt="Programación establecida según plan de acción de la vigencia en seguimiento. " sqref="V18:AP18 AT18:BN18" xr:uid="{00000000-0002-0000-0E00-000004000000}"/>
    <dataValidation type="whole" allowBlank="1" showInputMessage="1" showErrorMessage="1" sqref="BB23:BN23 AZ24:BN45 AZ20:BN22 AT20:AY45 V22:AM22 AM23:AM42 V60:AM60 AN20:AP60" xr:uid="{00000000-0002-0000-0E00-000005000000}">
      <formula1>0</formula1>
      <formula2>1000000</formula2>
    </dataValidation>
    <dataValidation errorStyle="warning" allowBlank="1" showInputMessage="1" showErrorMessage="1" prompt="Relacione la magnitud ejecutada" sqref="T20 S19:S38" xr:uid="{00000000-0002-0000-0E00-000006000000}"/>
    <dataValidation errorStyle="warning" allowBlank="1" showInputMessage="1" showErrorMessage="1" prompt="Relacione los recursos ejecutados" sqref="T19 T21:T45 U19:U60" xr:uid="{00000000-0002-0000-0E00-000007000000}"/>
    <dataValidation errorStyle="warning" operator="greaterThanOrEqual" allowBlank="1" showInputMessage="1" showErrorMessage="1" sqref="G19:G22 F19:F60" xr:uid="{00000000-0002-0000-0E00-000008000000}"/>
    <dataValidation errorStyle="warning" allowBlank="1" showInputMessage="1" showErrorMessage="1" prompt="Relacione la magnitud programada" sqref="P19:P60" xr:uid="{00000000-0002-0000-0E00-000009000000}"/>
    <dataValidation errorStyle="warning" allowBlank="1" showInputMessage="1" showErrorMessage="1" prompt="Elija la localidad" sqref="H19:I60" xr:uid="{00000000-0002-0000-0E00-00000A000000}"/>
    <dataValidation errorStyle="warning" allowBlank="1" showInputMessage="1" showErrorMessage="1" sqref="R19:R60" xr:uid="{00000000-0002-0000-0E00-00000B000000}"/>
    <dataValidation type="list" errorStyle="warning" allowBlank="1" showInputMessage="1" showErrorMessage="1" prompt="Elija el número de la localidad" sqref="G23:G60" xr:uid="{00000000-0002-0000-0E00-00000C000000}">
      <formula1>Localidad</formula1>
    </dataValidation>
    <dataValidation errorStyle="warning" allowBlank="1" showInputMessage="1" showErrorMessage="1" prompt="Relacione los recursos programados" sqref="Q19:Q60" xr:uid="{00000000-0002-0000-0E00-00000D000000}"/>
  </dataValidations>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8"/>
  <dimension ref="A2:Z674"/>
  <sheetViews>
    <sheetView showGridLines="0" topLeftCell="A71" zoomScale="85" zoomScaleNormal="85" workbookViewId="0">
      <selection activeCell="B18" sqref="B18"/>
    </sheetView>
  </sheetViews>
  <sheetFormatPr baseColWidth="10" defaultColWidth="11.54296875" defaultRowHeight="13.8" x14ac:dyDescent="0.3"/>
  <cols>
    <col min="1" max="1" width="6.81640625" style="29" customWidth="1"/>
    <col min="2" max="6" width="11.54296875" style="29"/>
    <col min="7" max="7" width="8.1796875" style="29" customWidth="1"/>
    <col min="8" max="8" width="12.81640625" style="29" customWidth="1"/>
    <col min="9" max="9" width="7.81640625" style="29" customWidth="1"/>
    <col min="10" max="10" width="11.54296875" style="29"/>
    <col min="11" max="11" width="9.90625" style="29" customWidth="1"/>
    <col min="12" max="12" width="5.54296875" style="29" customWidth="1"/>
    <col min="13" max="13" width="9.90625" style="30" customWidth="1"/>
    <col min="14" max="17" width="10.81640625" style="29" customWidth="1"/>
    <col min="18" max="18" width="12.81640625" style="144" customWidth="1"/>
    <col min="19" max="19" width="15.81640625" style="29" customWidth="1"/>
    <col min="20" max="16384" width="11.54296875" style="29"/>
  </cols>
  <sheetData>
    <row r="2" spans="1:26" s="39" customFormat="1" ht="24" customHeight="1" x14ac:dyDescent="0.35">
      <c r="B2" s="540"/>
      <c r="C2" s="541"/>
      <c r="D2" s="560" t="s">
        <v>683</v>
      </c>
      <c r="E2" s="521"/>
      <c r="F2" s="521"/>
      <c r="G2" s="521"/>
      <c r="H2" s="521"/>
      <c r="I2" s="521"/>
      <c r="J2" s="522"/>
      <c r="K2" s="510" t="s">
        <v>684</v>
      </c>
      <c r="L2" s="510"/>
      <c r="N2"/>
      <c r="O2"/>
      <c r="P2"/>
      <c r="Q2"/>
      <c r="R2" s="142"/>
    </row>
    <row r="3" spans="1:26" s="39" customFormat="1" ht="20.399999999999999" x14ac:dyDescent="0.35">
      <c r="B3" s="542"/>
      <c r="C3" s="543"/>
      <c r="D3" s="561"/>
      <c r="E3" s="523"/>
      <c r="F3" s="523"/>
      <c r="G3" s="523"/>
      <c r="H3" s="523"/>
      <c r="I3" s="523"/>
      <c r="J3" s="524"/>
      <c r="K3" s="510" t="s">
        <v>685</v>
      </c>
      <c r="L3" s="510"/>
      <c r="N3"/>
      <c r="O3"/>
      <c r="P3"/>
      <c r="Q3"/>
      <c r="R3" s="142"/>
    </row>
    <row r="4" spans="1:26" s="39" customFormat="1" ht="20.399999999999999" customHeight="1" x14ac:dyDescent="0.35">
      <c r="B4" s="542"/>
      <c r="C4" s="543"/>
      <c r="D4" s="561"/>
      <c r="E4" s="523"/>
      <c r="F4" s="523"/>
      <c r="G4" s="523"/>
      <c r="H4" s="523"/>
      <c r="I4" s="523"/>
      <c r="J4" s="524"/>
      <c r="K4" s="511" t="s">
        <v>686</v>
      </c>
      <c r="L4" s="511"/>
      <c r="N4"/>
      <c r="O4"/>
      <c r="P4"/>
      <c r="Q4"/>
      <c r="R4" s="142"/>
    </row>
    <row r="5" spans="1:26" s="39" customFormat="1" ht="20.399999999999999" x14ac:dyDescent="0.35">
      <c r="B5" s="544"/>
      <c r="C5" s="545"/>
      <c r="D5" s="562"/>
      <c r="E5" s="525"/>
      <c r="F5" s="525"/>
      <c r="G5" s="525"/>
      <c r="H5" s="525"/>
      <c r="I5" s="525"/>
      <c r="J5" s="526"/>
      <c r="K5" s="510" t="s">
        <v>1238</v>
      </c>
      <c r="L5" s="510"/>
      <c r="N5"/>
      <c r="O5"/>
      <c r="P5"/>
      <c r="Q5"/>
      <c r="R5" s="142"/>
    </row>
    <row r="12" spans="1:26" ht="14.4" thickBot="1" x14ac:dyDescent="0.35">
      <c r="A12" s="55"/>
      <c r="B12" s="55"/>
      <c r="C12" s="55"/>
      <c r="D12" s="55"/>
      <c r="E12" s="55"/>
      <c r="F12" s="55"/>
      <c r="G12" s="55"/>
      <c r="H12" s="55"/>
      <c r="I12" s="55"/>
      <c r="J12" s="55"/>
      <c r="K12" s="55"/>
      <c r="L12" s="55"/>
      <c r="M12" s="122"/>
      <c r="N12" s="55"/>
      <c r="O12" s="55"/>
      <c r="P12" s="55"/>
      <c r="Q12" s="55"/>
      <c r="R12" s="143"/>
      <c r="S12" s="55"/>
      <c r="T12" s="55"/>
      <c r="U12" s="55"/>
      <c r="V12" s="55"/>
      <c r="W12" s="55"/>
      <c r="X12" s="55"/>
      <c r="Y12" s="55"/>
      <c r="Z12" s="55"/>
    </row>
    <row r="13" spans="1:26" s="14" customFormat="1" ht="25.8" thickBot="1" x14ac:dyDescent="0.5">
      <c r="A13" s="527" t="s">
        <v>1239</v>
      </c>
      <c r="B13" s="528"/>
      <c r="C13" s="528"/>
      <c r="D13" s="528"/>
      <c r="E13" s="528"/>
      <c r="F13" s="528"/>
      <c r="G13" s="528"/>
      <c r="H13" s="528"/>
      <c r="I13" s="528"/>
      <c r="J13" s="528"/>
      <c r="K13" s="528"/>
      <c r="L13" s="528"/>
      <c r="M13" s="528"/>
      <c r="N13" s="528"/>
      <c r="O13" s="528"/>
      <c r="P13" s="528"/>
      <c r="Q13" s="528"/>
      <c r="R13" s="528"/>
      <c r="S13" s="528"/>
      <c r="T13" s="49"/>
      <c r="U13" s="49"/>
      <c r="V13" s="49"/>
      <c r="W13" s="49"/>
      <c r="X13" s="49"/>
      <c r="Y13" s="49"/>
      <c r="Z13" s="49"/>
    </row>
    <row r="15" spans="1:26" ht="14.4" thickBot="1" x14ac:dyDescent="0.35">
      <c r="A15" s="55"/>
      <c r="B15" s="55"/>
      <c r="C15" s="55"/>
      <c r="D15" s="55"/>
      <c r="E15" s="55"/>
      <c r="F15" s="55"/>
      <c r="G15" s="55"/>
      <c r="H15" s="55"/>
      <c r="I15" s="55"/>
      <c r="J15" s="55"/>
      <c r="K15" s="55"/>
      <c r="L15" s="55"/>
      <c r="M15" s="122"/>
      <c r="N15" s="55"/>
      <c r="O15" s="55"/>
      <c r="P15" s="55"/>
      <c r="Q15" s="55"/>
      <c r="R15" s="143"/>
      <c r="S15" s="55"/>
      <c r="T15" s="55"/>
      <c r="U15" s="55"/>
      <c r="V15" s="55"/>
      <c r="W15" s="55"/>
      <c r="X15" s="55"/>
      <c r="Y15" s="55"/>
      <c r="Z15" s="55"/>
    </row>
    <row r="16" spans="1:26" s="27" customFormat="1" ht="18" customHeight="1" thickBot="1" x14ac:dyDescent="0.4">
      <c r="B16" s="557" t="s">
        <v>1240</v>
      </c>
      <c r="C16" s="558"/>
      <c r="D16" s="558"/>
      <c r="E16" s="558"/>
      <c r="F16" s="558"/>
      <c r="G16" s="558"/>
      <c r="H16" s="558"/>
      <c r="I16" s="558"/>
      <c r="J16" s="558"/>
      <c r="K16" s="558"/>
      <c r="L16" s="558"/>
      <c r="M16" s="558"/>
      <c r="N16" s="558"/>
      <c r="O16" s="558"/>
      <c r="P16" s="558"/>
      <c r="Q16" s="559"/>
      <c r="R16" s="554" t="s">
        <v>1241</v>
      </c>
      <c r="S16" s="555"/>
      <c r="T16" s="555"/>
      <c r="U16" s="555"/>
      <c r="V16" s="555"/>
      <c r="W16" s="555"/>
      <c r="X16" s="555"/>
      <c r="Y16" s="555"/>
      <c r="Z16" s="556"/>
    </row>
    <row r="17" spans="1:26" ht="27.6" x14ac:dyDescent="0.3">
      <c r="A17" s="55"/>
      <c r="B17" s="28" t="s">
        <v>1242</v>
      </c>
      <c r="C17" s="28" t="s">
        <v>462</v>
      </c>
      <c r="D17" s="28" t="s">
        <v>1243</v>
      </c>
      <c r="E17" s="28" t="s">
        <v>29</v>
      </c>
      <c r="F17" s="28" t="s">
        <v>1148</v>
      </c>
      <c r="G17" s="28" t="s">
        <v>1244</v>
      </c>
      <c r="H17" s="28" t="s">
        <v>1245</v>
      </c>
      <c r="I17" s="28" t="s">
        <v>1246</v>
      </c>
      <c r="J17" s="28" t="s">
        <v>1247</v>
      </c>
      <c r="K17" s="28" t="s">
        <v>1248</v>
      </c>
      <c r="L17" s="28" t="s">
        <v>1249</v>
      </c>
      <c r="M17" s="28" t="s">
        <v>1250</v>
      </c>
      <c r="N17" s="28" t="s">
        <v>1251</v>
      </c>
      <c r="O17" s="28" t="s">
        <v>1252</v>
      </c>
      <c r="P17" s="28" t="s">
        <v>1253</v>
      </c>
      <c r="Q17" s="28" t="s">
        <v>1254</v>
      </c>
      <c r="R17" s="141" t="s">
        <v>1255</v>
      </c>
      <c r="S17" s="28" t="s">
        <v>461</v>
      </c>
      <c r="T17" s="28" t="s">
        <v>1256</v>
      </c>
      <c r="U17" s="28" t="s">
        <v>1257</v>
      </c>
      <c r="V17" s="28" t="s">
        <v>1258</v>
      </c>
      <c r="W17" s="28" t="s">
        <v>1259</v>
      </c>
      <c r="X17" s="28" t="s">
        <v>1260</v>
      </c>
      <c r="Y17" s="28" t="s">
        <v>1261</v>
      </c>
      <c r="Z17" s="28" t="s">
        <v>1262</v>
      </c>
    </row>
    <row r="18" spans="1:26" ht="15.75" customHeight="1" x14ac:dyDescent="0.3">
      <c r="A18" s="55"/>
      <c r="B18" s="387" t="s">
        <v>1375</v>
      </c>
      <c r="C18" s="388">
        <v>8</v>
      </c>
      <c r="D18" s="388" t="s">
        <v>1376</v>
      </c>
      <c r="E18" s="388" t="s">
        <v>1377</v>
      </c>
      <c r="F18" s="388" t="s">
        <v>1378</v>
      </c>
      <c r="G18" s="388" t="s">
        <v>1379</v>
      </c>
      <c r="H18" s="388" t="s">
        <v>1380</v>
      </c>
      <c r="I18" s="388" t="s">
        <v>1381</v>
      </c>
      <c r="J18" s="388" t="s">
        <v>1382</v>
      </c>
      <c r="K18" s="388" t="s">
        <v>1383</v>
      </c>
      <c r="L18" s="389">
        <v>177</v>
      </c>
      <c r="M18" s="390" t="s">
        <v>1384</v>
      </c>
      <c r="N18" s="390" t="s">
        <v>1385</v>
      </c>
      <c r="O18" s="390" t="s">
        <v>1386</v>
      </c>
      <c r="P18" s="390" t="s">
        <v>1387</v>
      </c>
      <c r="Q18" s="388" t="s">
        <v>1383</v>
      </c>
      <c r="R18" s="390">
        <v>1</v>
      </c>
      <c r="S18" s="390" t="s">
        <v>1388</v>
      </c>
      <c r="T18" s="390">
        <v>13</v>
      </c>
      <c r="U18" s="390" t="s">
        <v>1389</v>
      </c>
      <c r="V18" s="390">
        <v>8538</v>
      </c>
      <c r="W18" s="390" t="s">
        <v>1390</v>
      </c>
      <c r="X18" s="390">
        <v>10027</v>
      </c>
      <c r="Y18" s="390" t="s">
        <v>1390</v>
      </c>
      <c r="Z18" s="391" t="s">
        <v>1391</v>
      </c>
    </row>
    <row r="19" spans="1:26" ht="15.75" customHeight="1" x14ac:dyDescent="0.3">
      <c r="A19" s="55"/>
      <c r="B19" s="387" t="s">
        <v>1375</v>
      </c>
      <c r="C19" s="388">
        <v>9</v>
      </c>
      <c r="D19" s="388" t="s">
        <v>1392</v>
      </c>
      <c r="E19" s="388" t="s">
        <v>1377</v>
      </c>
      <c r="F19" s="388" t="s">
        <v>1378</v>
      </c>
      <c r="G19" s="388" t="s">
        <v>1379</v>
      </c>
      <c r="H19" s="388" t="s">
        <v>1380</v>
      </c>
      <c r="I19" s="388" t="s">
        <v>1393</v>
      </c>
      <c r="J19" s="388" t="s">
        <v>1382</v>
      </c>
      <c r="K19" s="388" t="s">
        <v>1383</v>
      </c>
      <c r="L19" s="389">
        <v>151</v>
      </c>
      <c r="M19" s="390" t="s">
        <v>1394</v>
      </c>
      <c r="N19" s="390" t="s">
        <v>1395</v>
      </c>
      <c r="O19" s="390" t="s">
        <v>1386</v>
      </c>
      <c r="P19" s="390" t="s">
        <v>1387</v>
      </c>
      <c r="Q19" s="388" t="s">
        <v>1383</v>
      </c>
      <c r="R19" s="390">
        <v>1</v>
      </c>
      <c r="S19" s="390" t="s">
        <v>1388</v>
      </c>
      <c r="T19" s="390">
        <v>9</v>
      </c>
      <c r="U19" s="390" t="s">
        <v>1392</v>
      </c>
      <c r="V19" s="390">
        <v>8527</v>
      </c>
      <c r="W19" s="390" t="s">
        <v>1396</v>
      </c>
      <c r="X19" s="390">
        <v>10087</v>
      </c>
      <c r="Y19" s="390" t="s">
        <v>1397</v>
      </c>
      <c r="Z19" s="391" t="s">
        <v>1398</v>
      </c>
    </row>
    <row r="20" spans="1:26" ht="15.75" customHeight="1" x14ac:dyDescent="0.3">
      <c r="A20" s="55"/>
      <c r="B20" s="387" t="s">
        <v>1375</v>
      </c>
      <c r="C20" s="388">
        <v>11</v>
      </c>
      <c r="D20" s="388" t="s">
        <v>1399</v>
      </c>
      <c r="E20" s="388" t="s">
        <v>1377</v>
      </c>
      <c r="F20" s="388" t="s">
        <v>1378</v>
      </c>
      <c r="G20" s="388" t="s">
        <v>1379</v>
      </c>
      <c r="H20" s="388" t="s">
        <v>1380</v>
      </c>
      <c r="I20" s="388" t="s">
        <v>1393</v>
      </c>
      <c r="J20" s="388" t="s">
        <v>1382</v>
      </c>
      <c r="K20" s="388" t="s">
        <v>1383</v>
      </c>
      <c r="L20" s="389">
        <v>110</v>
      </c>
      <c r="M20" s="390" t="s">
        <v>1400</v>
      </c>
      <c r="N20" s="390" t="s">
        <v>1401</v>
      </c>
      <c r="O20" s="390" t="s">
        <v>1386</v>
      </c>
      <c r="P20" s="390" t="s">
        <v>1387</v>
      </c>
      <c r="Q20" s="388" t="s">
        <v>1383</v>
      </c>
      <c r="R20" s="390">
        <v>1</v>
      </c>
      <c r="S20" s="390" t="s">
        <v>1388</v>
      </c>
      <c r="T20" s="390">
        <v>9</v>
      </c>
      <c r="U20" s="390" t="s">
        <v>1392</v>
      </c>
      <c r="V20" s="390">
        <v>8535</v>
      </c>
      <c r="W20" s="390" t="s">
        <v>1399</v>
      </c>
      <c r="X20" s="390">
        <v>10032</v>
      </c>
      <c r="Y20" s="390" t="s">
        <v>1399</v>
      </c>
      <c r="Z20" s="391" t="s">
        <v>1402</v>
      </c>
    </row>
    <row r="21" spans="1:26" ht="15.75" customHeight="1" x14ac:dyDescent="0.3">
      <c r="A21" s="55"/>
      <c r="B21" s="387" t="s">
        <v>1375</v>
      </c>
      <c r="C21" s="388">
        <v>17</v>
      </c>
      <c r="D21" s="388" t="s">
        <v>1403</v>
      </c>
      <c r="E21" s="388" t="s">
        <v>1377</v>
      </c>
      <c r="F21" s="388" t="s">
        <v>1378</v>
      </c>
      <c r="G21" s="388" t="s">
        <v>1379</v>
      </c>
      <c r="H21" s="388" t="s">
        <v>1380</v>
      </c>
      <c r="I21" s="388" t="s">
        <v>1393</v>
      </c>
      <c r="J21" s="388" t="s">
        <v>1382</v>
      </c>
      <c r="K21" s="388" t="s">
        <v>1383</v>
      </c>
      <c r="L21" s="389">
        <v>80</v>
      </c>
      <c r="M21" s="390" t="s">
        <v>1404</v>
      </c>
      <c r="N21" s="390" t="s">
        <v>1405</v>
      </c>
      <c r="O21" s="390" t="s">
        <v>1386</v>
      </c>
      <c r="P21" s="390" t="s">
        <v>1387</v>
      </c>
      <c r="Q21" s="388" t="s">
        <v>1383</v>
      </c>
      <c r="R21" s="390">
        <v>2</v>
      </c>
      <c r="S21" s="390" t="s">
        <v>1406</v>
      </c>
      <c r="T21" s="390">
        <v>90</v>
      </c>
      <c r="U21" s="390" t="s">
        <v>1407</v>
      </c>
      <c r="V21" s="390">
        <v>8211</v>
      </c>
      <c r="W21" s="390" t="s">
        <v>1403</v>
      </c>
      <c r="X21" s="390">
        <v>20040</v>
      </c>
      <c r="Y21" s="390" t="s">
        <v>1408</v>
      </c>
      <c r="Z21" s="391" t="s">
        <v>1409</v>
      </c>
    </row>
    <row r="22" spans="1:26" ht="15.75" customHeight="1" x14ac:dyDescent="0.3">
      <c r="A22" s="55"/>
      <c r="B22" s="387" t="s">
        <v>1375</v>
      </c>
      <c r="C22" s="388">
        <v>19</v>
      </c>
      <c r="D22" s="388" t="s">
        <v>1410</v>
      </c>
      <c r="E22" s="388" t="s">
        <v>1377</v>
      </c>
      <c r="F22" s="388" t="s">
        <v>1378</v>
      </c>
      <c r="G22" s="388" t="s">
        <v>1379</v>
      </c>
      <c r="H22" s="388" t="s">
        <v>1380</v>
      </c>
      <c r="I22" s="388" t="s">
        <v>1381</v>
      </c>
      <c r="J22" s="388" t="s">
        <v>1382</v>
      </c>
      <c r="K22" s="388" t="s">
        <v>1383</v>
      </c>
      <c r="L22" s="389">
        <v>67</v>
      </c>
      <c r="M22" s="390" t="s">
        <v>1411</v>
      </c>
      <c r="N22" s="390" t="s">
        <v>1412</v>
      </c>
      <c r="O22" s="390" t="s">
        <v>1386</v>
      </c>
      <c r="P22" s="390" t="s">
        <v>1387</v>
      </c>
      <c r="Q22" s="388" t="s">
        <v>1383</v>
      </c>
      <c r="R22" s="390">
        <v>2</v>
      </c>
      <c r="S22" s="390" t="s">
        <v>1406</v>
      </c>
      <c r="T22" s="390">
        <v>89</v>
      </c>
      <c r="U22" s="390" t="s">
        <v>1413</v>
      </c>
      <c r="V22" s="390">
        <v>208125</v>
      </c>
      <c r="W22" s="390" t="s">
        <v>1414</v>
      </c>
      <c r="X22" s="390">
        <v>20095</v>
      </c>
      <c r="Y22" s="390" t="s">
        <v>1415</v>
      </c>
      <c r="Z22" s="391" t="s">
        <v>1416</v>
      </c>
    </row>
    <row r="23" spans="1:26" ht="15.75" customHeight="1" x14ac:dyDescent="0.3">
      <c r="A23" s="55"/>
      <c r="B23" s="387" t="s">
        <v>1375</v>
      </c>
      <c r="C23" s="388">
        <v>21</v>
      </c>
      <c r="D23" s="388" t="s">
        <v>1417</v>
      </c>
      <c r="E23" s="388" t="s">
        <v>1377</v>
      </c>
      <c r="F23" s="388" t="s">
        <v>1418</v>
      </c>
      <c r="G23" s="388" t="s">
        <v>1379</v>
      </c>
      <c r="H23" s="388" t="s">
        <v>1380</v>
      </c>
      <c r="I23" s="388" t="s">
        <v>1419</v>
      </c>
      <c r="J23" s="388" t="s">
        <v>1420</v>
      </c>
      <c r="K23" s="388" t="s">
        <v>1383</v>
      </c>
      <c r="L23" s="389">
        <v>80</v>
      </c>
      <c r="M23" s="390" t="s">
        <v>1421</v>
      </c>
      <c r="N23" s="390" t="s">
        <v>1422</v>
      </c>
      <c r="O23" s="392" t="s">
        <v>1423</v>
      </c>
      <c r="P23" s="390" t="s">
        <v>1383</v>
      </c>
      <c r="Q23" s="388" t="s">
        <v>1383</v>
      </c>
      <c r="R23" s="390">
        <v>2</v>
      </c>
      <c r="S23" s="390" t="s">
        <v>1406</v>
      </c>
      <c r="T23" s="390">
        <v>90</v>
      </c>
      <c r="U23" s="390" t="s">
        <v>1407</v>
      </c>
      <c r="V23" s="390">
        <v>8206</v>
      </c>
      <c r="W23" s="390" t="s">
        <v>1424</v>
      </c>
      <c r="X23" s="390">
        <v>20077</v>
      </c>
      <c r="Y23" s="390" t="s">
        <v>1425</v>
      </c>
      <c r="Z23" s="391" t="s">
        <v>1426</v>
      </c>
    </row>
    <row r="24" spans="1:26" ht="15.75" customHeight="1" x14ac:dyDescent="0.3">
      <c r="A24" s="55"/>
      <c r="B24" s="387" t="s">
        <v>1375</v>
      </c>
      <c r="C24" s="388">
        <v>25</v>
      </c>
      <c r="D24" s="388" t="s">
        <v>1427</v>
      </c>
      <c r="E24" s="388" t="s">
        <v>1377</v>
      </c>
      <c r="F24" s="388" t="s">
        <v>1378</v>
      </c>
      <c r="G24" s="388" t="s">
        <v>1379</v>
      </c>
      <c r="H24" s="388" t="s">
        <v>1380</v>
      </c>
      <c r="I24" s="388" t="s">
        <v>1393</v>
      </c>
      <c r="J24" s="388" t="s">
        <v>1382</v>
      </c>
      <c r="K24" s="388" t="s">
        <v>1383</v>
      </c>
      <c r="L24" s="389">
        <v>72</v>
      </c>
      <c r="M24" s="390" t="s">
        <v>1428</v>
      </c>
      <c r="N24" s="390" t="s">
        <v>1429</v>
      </c>
      <c r="O24" s="390" t="s">
        <v>1386</v>
      </c>
      <c r="P24" s="390" t="s">
        <v>1387</v>
      </c>
      <c r="Q24" s="388" t="s">
        <v>1383</v>
      </c>
      <c r="R24" s="390">
        <v>3</v>
      </c>
      <c r="S24" s="390" t="s">
        <v>1430</v>
      </c>
      <c r="T24" s="390">
        <v>96</v>
      </c>
      <c r="U24" s="390" t="s">
        <v>1431</v>
      </c>
      <c r="V24" s="390">
        <v>3211</v>
      </c>
      <c r="W24" s="390" t="s">
        <v>1432</v>
      </c>
      <c r="X24" s="390">
        <v>30001</v>
      </c>
      <c r="Y24" s="390" t="s">
        <v>1427</v>
      </c>
      <c r="Z24" s="391" t="s">
        <v>1433</v>
      </c>
    </row>
    <row r="25" spans="1:26" ht="15.75" customHeight="1" x14ac:dyDescent="0.3">
      <c r="A25" s="55"/>
      <c r="B25" s="387" t="s">
        <v>1375</v>
      </c>
      <c r="C25" s="388">
        <v>31</v>
      </c>
      <c r="D25" s="388" t="s">
        <v>1434</v>
      </c>
      <c r="E25" s="388" t="s">
        <v>1377</v>
      </c>
      <c r="F25" s="388" t="s">
        <v>1378</v>
      </c>
      <c r="G25" s="388" t="s">
        <v>1379</v>
      </c>
      <c r="H25" s="388" t="s">
        <v>1380</v>
      </c>
      <c r="I25" s="388" t="s">
        <v>1393</v>
      </c>
      <c r="J25" s="388" t="s">
        <v>1382</v>
      </c>
      <c r="K25" s="388" t="s">
        <v>1383</v>
      </c>
      <c r="L25" s="389">
        <v>98</v>
      </c>
      <c r="M25" s="390" t="s">
        <v>1435</v>
      </c>
      <c r="N25" s="390" t="s">
        <v>1436</v>
      </c>
      <c r="O25" s="390" t="s">
        <v>1386</v>
      </c>
      <c r="P25" s="390" t="s">
        <v>1387</v>
      </c>
      <c r="Q25" s="388" t="s">
        <v>1383</v>
      </c>
      <c r="R25" s="390">
        <v>3</v>
      </c>
      <c r="S25" s="390" t="s">
        <v>1430</v>
      </c>
      <c r="T25" s="390">
        <v>96</v>
      </c>
      <c r="U25" s="390" t="s">
        <v>1431</v>
      </c>
      <c r="V25" s="390">
        <v>3207</v>
      </c>
      <c r="W25" s="390" t="s">
        <v>1434</v>
      </c>
      <c r="X25" s="390">
        <v>30028</v>
      </c>
      <c r="Y25" s="390" t="s">
        <v>1434</v>
      </c>
      <c r="Z25" s="391" t="s">
        <v>1437</v>
      </c>
    </row>
    <row r="26" spans="1:26" ht="15.75" customHeight="1" x14ac:dyDescent="0.3">
      <c r="A26" s="55"/>
      <c r="B26" s="387" t="s">
        <v>1375</v>
      </c>
      <c r="C26" s="388">
        <v>32</v>
      </c>
      <c r="D26" s="388" t="s">
        <v>1438</v>
      </c>
      <c r="E26" s="388" t="s">
        <v>1377</v>
      </c>
      <c r="F26" s="388" t="s">
        <v>1378</v>
      </c>
      <c r="G26" s="388" t="s">
        <v>1439</v>
      </c>
      <c r="H26" s="388" t="s">
        <v>1380</v>
      </c>
      <c r="I26" s="388" t="s">
        <v>1440</v>
      </c>
      <c r="J26" s="388" t="s">
        <v>1382</v>
      </c>
      <c r="K26" s="388" t="s">
        <v>1383</v>
      </c>
      <c r="L26" s="389">
        <v>0</v>
      </c>
      <c r="M26" s="390" t="s">
        <v>1441</v>
      </c>
      <c r="N26" s="390" t="s">
        <v>1442</v>
      </c>
      <c r="O26" s="390" t="s">
        <v>1443</v>
      </c>
      <c r="P26" s="390" t="s">
        <v>1387</v>
      </c>
      <c r="Q26" s="388" t="s">
        <v>1383</v>
      </c>
      <c r="R26" s="390">
        <v>3</v>
      </c>
      <c r="S26" s="390" t="s">
        <v>1430</v>
      </c>
      <c r="T26" s="390">
        <v>91</v>
      </c>
      <c r="U26" s="390" t="s">
        <v>1444</v>
      </c>
      <c r="V26" s="390">
        <v>101405</v>
      </c>
      <c r="W26" s="390" t="s">
        <v>1445</v>
      </c>
      <c r="X26" s="390">
        <v>30052</v>
      </c>
      <c r="Y26" s="390" t="s">
        <v>1446</v>
      </c>
      <c r="Z26" s="391" t="s">
        <v>1447</v>
      </c>
    </row>
    <row r="27" spans="1:26" ht="15.75" customHeight="1" x14ac:dyDescent="0.3">
      <c r="A27" s="55"/>
      <c r="B27" s="387" t="s">
        <v>1375</v>
      </c>
      <c r="C27" s="388">
        <v>53</v>
      </c>
      <c r="D27" s="388" t="s">
        <v>1448</v>
      </c>
      <c r="E27" s="388" t="s">
        <v>1377</v>
      </c>
      <c r="F27" s="388" t="s">
        <v>1378</v>
      </c>
      <c r="G27" s="388" t="s">
        <v>1379</v>
      </c>
      <c r="H27" s="388" t="s">
        <v>1380</v>
      </c>
      <c r="I27" s="388" t="s">
        <v>1381</v>
      </c>
      <c r="J27" s="388" t="s">
        <v>1382</v>
      </c>
      <c r="K27" s="388" t="s">
        <v>1383</v>
      </c>
      <c r="L27" s="389">
        <v>130</v>
      </c>
      <c r="M27" s="390" t="s">
        <v>1449</v>
      </c>
      <c r="N27" s="390" t="s">
        <v>1450</v>
      </c>
      <c r="O27" s="390" t="s">
        <v>1386</v>
      </c>
      <c r="P27" s="390" t="s">
        <v>1387</v>
      </c>
      <c r="Q27" s="388" t="s">
        <v>1383</v>
      </c>
      <c r="R27" s="390">
        <v>4</v>
      </c>
      <c r="S27" s="390" t="s">
        <v>1451</v>
      </c>
      <c r="T27" s="390">
        <v>34</v>
      </c>
      <c r="U27" s="390" t="s">
        <v>1452</v>
      </c>
      <c r="V27" s="390">
        <v>1304</v>
      </c>
      <c r="W27" s="390" t="s">
        <v>1448</v>
      </c>
      <c r="X27" s="390">
        <v>40017</v>
      </c>
      <c r="Y27" s="390" t="s">
        <v>1453</v>
      </c>
      <c r="Z27" s="391" t="s">
        <v>1454</v>
      </c>
    </row>
    <row r="28" spans="1:26" ht="15.75" customHeight="1" x14ac:dyDescent="0.3">
      <c r="A28" s="55"/>
      <c r="B28" s="387" t="s">
        <v>1375</v>
      </c>
      <c r="C28" s="388">
        <v>55</v>
      </c>
      <c r="D28" s="388" t="s">
        <v>1455</v>
      </c>
      <c r="E28" s="388" t="s">
        <v>1377</v>
      </c>
      <c r="F28" s="388" t="s">
        <v>1378</v>
      </c>
      <c r="G28" s="388" t="s">
        <v>1379</v>
      </c>
      <c r="H28" s="388" t="s">
        <v>1380</v>
      </c>
      <c r="I28" s="388" t="s">
        <v>1393</v>
      </c>
      <c r="J28" s="388" t="s">
        <v>1382</v>
      </c>
      <c r="K28" s="388" t="s">
        <v>1383</v>
      </c>
      <c r="L28" s="389">
        <v>115</v>
      </c>
      <c r="M28" s="390" t="s">
        <v>1456</v>
      </c>
      <c r="N28" s="390" t="s">
        <v>1457</v>
      </c>
      <c r="O28" s="390" t="s">
        <v>1386</v>
      </c>
      <c r="P28" s="390" t="s">
        <v>1387</v>
      </c>
      <c r="Q28" s="388" t="s">
        <v>1383</v>
      </c>
      <c r="R28" s="390">
        <v>4</v>
      </c>
      <c r="S28" s="390" t="s">
        <v>1451</v>
      </c>
      <c r="T28" s="390">
        <v>50</v>
      </c>
      <c r="U28" s="390" t="s">
        <v>1458</v>
      </c>
      <c r="V28" s="390">
        <v>1318</v>
      </c>
      <c r="W28" s="390" t="s">
        <v>1459</v>
      </c>
      <c r="X28" s="390">
        <v>40132</v>
      </c>
      <c r="Y28" s="390" t="s">
        <v>1460</v>
      </c>
      <c r="Z28" s="391" t="s">
        <v>1461</v>
      </c>
    </row>
    <row r="29" spans="1:26" ht="15.75" customHeight="1" x14ac:dyDescent="0.3">
      <c r="A29" s="55"/>
      <c r="B29" s="387" t="s">
        <v>1375</v>
      </c>
      <c r="C29" s="388">
        <v>56</v>
      </c>
      <c r="D29" s="388" t="s">
        <v>1462</v>
      </c>
      <c r="E29" s="388" t="s">
        <v>1377</v>
      </c>
      <c r="F29" s="388" t="s">
        <v>1378</v>
      </c>
      <c r="G29" s="388" t="s">
        <v>1379</v>
      </c>
      <c r="H29" s="388" t="s">
        <v>1380</v>
      </c>
      <c r="I29" s="388" t="s">
        <v>1393</v>
      </c>
      <c r="J29" s="388" t="s">
        <v>1382</v>
      </c>
      <c r="K29" s="388" t="s">
        <v>1383</v>
      </c>
      <c r="L29" s="389">
        <v>127</v>
      </c>
      <c r="M29" s="390" t="s">
        <v>1463</v>
      </c>
      <c r="N29" s="390" t="s">
        <v>1464</v>
      </c>
      <c r="O29" s="390" t="s">
        <v>1465</v>
      </c>
      <c r="P29" s="390" t="s">
        <v>1387</v>
      </c>
      <c r="Q29" s="388" t="s">
        <v>1383</v>
      </c>
      <c r="R29" s="390">
        <v>5</v>
      </c>
      <c r="S29" s="390" t="s">
        <v>1466</v>
      </c>
      <c r="T29" s="390">
        <v>52</v>
      </c>
      <c r="U29" s="390" t="s">
        <v>1467</v>
      </c>
      <c r="V29" s="390">
        <v>1348</v>
      </c>
      <c r="W29" s="390" t="s">
        <v>1468</v>
      </c>
      <c r="X29" s="390">
        <v>50106</v>
      </c>
      <c r="Y29" s="390" t="s">
        <v>1469</v>
      </c>
      <c r="Z29" s="391" t="s">
        <v>1470</v>
      </c>
    </row>
    <row r="30" spans="1:26" ht="15.75" customHeight="1" x14ac:dyDescent="0.3">
      <c r="A30" s="55"/>
      <c r="B30" s="387" t="s">
        <v>1375</v>
      </c>
      <c r="C30" s="388">
        <v>57</v>
      </c>
      <c r="D30" s="388" t="s">
        <v>1451</v>
      </c>
      <c r="E30" s="388" t="s">
        <v>1377</v>
      </c>
      <c r="F30" s="388" t="s">
        <v>1378</v>
      </c>
      <c r="G30" s="388" t="s">
        <v>1379</v>
      </c>
      <c r="H30" s="388" t="s">
        <v>1471</v>
      </c>
      <c r="I30" s="388" t="s">
        <v>1393</v>
      </c>
      <c r="J30" s="388" t="s">
        <v>1382</v>
      </c>
      <c r="K30" s="388" t="s">
        <v>1383</v>
      </c>
      <c r="L30" s="389">
        <v>248</v>
      </c>
      <c r="M30" s="390" t="s">
        <v>1472</v>
      </c>
      <c r="N30" s="390" t="s">
        <v>1473</v>
      </c>
      <c r="O30" s="390" t="s">
        <v>1474</v>
      </c>
      <c r="P30" s="390" t="s">
        <v>1387</v>
      </c>
      <c r="Q30" s="388" t="s">
        <v>1383</v>
      </c>
      <c r="R30" s="390">
        <v>4</v>
      </c>
      <c r="S30" s="390" t="s">
        <v>1451</v>
      </c>
      <c r="T30" s="390">
        <v>33</v>
      </c>
      <c r="U30" s="390" t="s">
        <v>1475</v>
      </c>
      <c r="V30" s="390">
        <v>1108</v>
      </c>
      <c r="W30" s="390" t="s">
        <v>1476</v>
      </c>
      <c r="X30" s="390">
        <v>40164</v>
      </c>
      <c r="Y30" s="390" t="s">
        <v>1477</v>
      </c>
      <c r="Z30" s="391" t="s">
        <v>1478</v>
      </c>
    </row>
    <row r="31" spans="1:26" ht="15.75" customHeight="1" x14ac:dyDescent="0.3">
      <c r="A31" s="55"/>
      <c r="B31" s="387" t="s">
        <v>1375</v>
      </c>
      <c r="C31" s="388">
        <v>73</v>
      </c>
      <c r="D31" s="388" t="s">
        <v>1479</v>
      </c>
      <c r="E31" s="388" t="s">
        <v>1377</v>
      </c>
      <c r="F31" s="388" t="s">
        <v>1378</v>
      </c>
      <c r="G31" s="388" t="s">
        <v>1379</v>
      </c>
      <c r="H31" s="388" t="s">
        <v>1380</v>
      </c>
      <c r="I31" s="388" t="s">
        <v>1393</v>
      </c>
      <c r="J31" s="388" t="s">
        <v>1382</v>
      </c>
      <c r="K31" s="388" t="s">
        <v>1383</v>
      </c>
      <c r="L31" s="389">
        <v>156</v>
      </c>
      <c r="M31" s="390" t="s">
        <v>1480</v>
      </c>
      <c r="N31" s="390" t="s">
        <v>1481</v>
      </c>
      <c r="O31" s="390" t="s">
        <v>1482</v>
      </c>
      <c r="P31" s="390" t="s">
        <v>1387</v>
      </c>
      <c r="Q31" s="388" t="s">
        <v>1383</v>
      </c>
      <c r="R31" s="390">
        <v>8</v>
      </c>
      <c r="S31" s="390" t="s">
        <v>1483</v>
      </c>
      <c r="T31" s="390">
        <v>45</v>
      </c>
      <c r="U31" s="390" t="s">
        <v>1484</v>
      </c>
      <c r="V31" s="390">
        <v>4506</v>
      </c>
      <c r="W31" s="390" t="s">
        <v>1485</v>
      </c>
      <c r="X31" s="390">
        <v>80335</v>
      </c>
      <c r="Y31" s="390" t="s">
        <v>1479</v>
      </c>
      <c r="Z31" s="391" t="s">
        <v>1486</v>
      </c>
    </row>
    <row r="32" spans="1:26" ht="15.75" customHeight="1" x14ac:dyDescent="0.3">
      <c r="A32" s="55"/>
      <c r="B32" s="387" t="s">
        <v>1375</v>
      </c>
      <c r="C32" s="388">
        <v>75</v>
      </c>
      <c r="D32" s="388" t="s">
        <v>1487</v>
      </c>
      <c r="E32" s="388" t="s">
        <v>1377</v>
      </c>
      <c r="F32" s="388" t="s">
        <v>1378</v>
      </c>
      <c r="G32" s="388" t="s">
        <v>1379</v>
      </c>
      <c r="H32" s="388" t="s">
        <v>1380</v>
      </c>
      <c r="I32" s="388" t="s">
        <v>1393</v>
      </c>
      <c r="J32" s="388" t="s">
        <v>1382</v>
      </c>
      <c r="K32" s="388" t="s">
        <v>1383</v>
      </c>
      <c r="L32" s="389">
        <v>257</v>
      </c>
      <c r="M32" s="390" t="s">
        <v>1488</v>
      </c>
      <c r="N32" s="390" t="s">
        <v>1489</v>
      </c>
      <c r="O32" s="390" t="s">
        <v>1482</v>
      </c>
      <c r="P32" s="390" t="s">
        <v>1387</v>
      </c>
      <c r="Q32" s="388" t="s">
        <v>1383</v>
      </c>
      <c r="R32" s="390">
        <v>8</v>
      </c>
      <c r="S32" s="390" t="s">
        <v>1483</v>
      </c>
      <c r="T32" s="390">
        <v>81</v>
      </c>
      <c r="U32" s="390" t="s">
        <v>1490</v>
      </c>
      <c r="V32" s="390">
        <v>4525</v>
      </c>
      <c r="W32" s="390" t="s">
        <v>1491</v>
      </c>
      <c r="X32" s="390">
        <v>80208</v>
      </c>
      <c r="Y32" s="390" t="s">
        <v>1492</v>
      </c>
      <c r="Z32" s="391" t="s">
        <v>1493</v>
      </c>
    </row>
    <row r="33" spans="2:26" ht="15.75" customHeight="1" x14ac:dyDescent="0.3">
      <c r="B33" s="387" t="s">
        <v>1375</v>
      </c>
      <c r="C33" s="388">
        <v>76</v>
      </c>
      <c r="D33" s="388" t="s">
        <v>1494</v>
      </c>
      <c r="E33" s="388" t="s">
        <v>1377</v>
      </c>
      <c r="F33" s="388" t="s">
        <v>1378</v>
      </c>
      <c r="G33" s="388" t="s">
        <v>1379</v>
      </c>
      <c r="H33" s="388" t="s">
        <v>1380</v>
      </c>
      <c r="I33" s="388" t="s">
        <v>1393</v>
      </c>
      <c r="J33" s="388" t="s">
        <v>1382</v>
      </c>
      <c r="K33" s="388" t="s">
        <v>1383</v>
      </c>
      <c r="L33" s="389">
        <v>246</v>
      </c>
      <c r="M33" s="390" t="s">
        <v>1495</v>
      </c>
      <c r="N33" s="390" t="s">
        <v>1496</v>
      </c>
      <c r="O33" s="390" t="s">
        <v>1482</v>
      </c>
      <c r="P33" s="390" t="s">
        <v>1387</v>
      </c>
      <c r="Q33" s="388" t="s">
        <v>1383</v>
      </c>
      <c r="R33" s="390">
        <v>8</v>
      </c>
      <c r="S33" s="390" t="s">
        <v>1483</v>
      </c>
      <c r="T33" s="390">
        <v>45</v>
      </c>
      <c r="U33" s="390" t="s">
        <v>1484</v>
      </c>
      <c r="V33" s="390">
        <v>4544</v>
      </c>
      <c r="W33" s="390" t="s">
        <v>1497</v>
      </c>
      <c r="X33" s="390">
        <v>80284</v>
      </c>
      <c r="Y33" s="390" t="s">
        <v>1498</v>
      </c>
      <c r="Z33" s="391" t="s">
        <v>1499</v>
      </c>
    </row>
    <row r="34" spans="2:26" ht="15.75" customHeight="1" x14ac:dyDescent="0.3">
      <c r="B34" s="387" t="s">
        <v>1375</v>
      </c>
      <c r="C34" s="388">
        <v>78</v>
      </c>
      <c r="D34" s="388" t="s">
        <v>1500</v>
      </c>
      <c r="E34" s="388" t="s">
        <v>1377</v>
      </c>
      <c r="F34" s="388" t="s">
        <v>1378</v>
      </c>
      <c r="G34" s="388" t="s">
        <v>1379</v>
      </c>
      <c r="H34" s="388" t="s">
        <v>1380</v>
      </c>
      <c r="I34" s="388" t="s">
        <v>1440</v>
      </c>
      <c r="J34" s="388" t="s">
        <v>1382</v>
      </c>
      <c r="K34" s="388" t="s">
        <v>1383</v>
      </c>
      <c r="L34" s="389">
        <v>70</v>
      </c>
      <c r="M34" s="390" t="s">
        <v>1501</v>
      </c>
      <c r="N34" s="390" t="s">
        <v>1502</v>
      </c>
      <c r="O34" s="390" t="s">
        <v>1482</v>
      </c>
      <c r="P34" s="390" t="s">
        <v>1387</v>
      </c>
      <c r="Q34" s="388" t="s">
        <v>1383</v>
      </c>
      <c r="R34" s="390">
        <v>8</v>
      </c>
      <c r="S34" s="390" t="s">
        <v>1483</v>
      </c>
      <c r="T34" s="390">
        <v>47</v>
      </c>
      <c r="U34" s="390" t="s">
        <v>1503</v>
      </c>
      <c r="V34" s="390">
        <v>4508</v>
      </c>
      <c r="W34" s="390" t="s">
        <v>1504</v>
      </c>
      <c r="X34" s="390">
        <v>80070</v>
      </c>
      <c r="Y34" s="390" t="s">
        <v>1505</v>
      </c>
      <c r="Z34" s="391" t="s">
        <v>1506</v>
      </c>
    </row>
    <row r="35" spans="2:26" ht="15.75" customHeight="1" x14ac:dyDescent="0.3">
      <c r="B35" s="387" t="s">
        <v>1375</v>
      </c>
      <c r="C35" s="388">
        <v>79</v>
      </c>
      <c r="D35" s="388" t="s">
        <v>1507</v>
      </c>
      <c r="E35" s="388" t="s">
        <v>1377</v>
      </c>
      <c r="F35" s="388" t="s">
        <v>1378</v>
      </c>
      <c r="G35" s="388" t="s">
        <v>1379</v>
      </c>
      <c r="H35" s="388" t="s">
        <v>1380</v>
      </c>
      <c r="I35" s="388" t="s">
        <v>1508</v>
      </c>
      <c r="J35" s="388" t="s">
        <v>1382</v>
      </c>
      <c r="K35" s="388" t="s">
        <v>1383</v>
      </c>
      <c r="L35" s="389">
        <v>120</v>
      </c>
      <c r="M35" s="390" t="s">
        <v>1509</v>
      </c>
      <c r="N35" s="390" t="s">
        <v>1510</v>
      </c>
      <c r="O35" s="390" t="s">
        <v>1482</v>
      </c>
      <c r="P35" s="390" t="s">
        <v>1387</v>
      </c>
      <c r="Q35" s="388" t="s">
        <v>1383</v>
      </c>
      <c r="R35" s="390">
        <v>8</v>
      </c>
      <c r="S35" s="390" t="s">
        <v>1483</v>
      </c>
      <c r="T35" s="390">
        <v>82</v>
      </c>
      <c r="U35" s="390" t="s">
        <v>1511</v>
      </c>
      <c r="V35" s="390">
        <v>4555</v>
      </c>
      <c r="W35" s="390" t="s">
        <v>1512</v>
      </c>
      <c r="X35" s="390">
        <v>80218</v>
      </c>
      <c r="Y35" s="390" t="s">
        <v>1513</v>
      </c>
      <c r="Z35" s="391" t="s">
        <v>1514</v>
      </c>
    </row>
    <row r="36" spans="2:26" ht="15.75" customHeight="1" x14ac:dyDescent="0.3">
      <c r="B36" s="387" t="s">
        <v>1375</v>
      </c>
      <c r="C36" s="388">
        <v>80</v>
      </c>
      <c r="D36" s="388" t="s">
        <v>1515</v>
      </c>
      <c r="E36" s="388" t="s">
        <v>1377</v>
      </c>
      <c r="F36" s="388" t="s">
        <v>1378</v>
      </c>
      <c r="G36" s="388" t="s">
        <v>1379</v>
      </c>
      <c r="H36" s="388" t="s">
        <v>1380</v>
      </c>
      <c r="I36" s="388" t="s">
        <v>1393</v>
      </c>
      <c r="J36" s="388" t="s">
        <v>1382</v>
      </c>
      <c r="K36" s="388" t="s">
        <v>1383</v>
      </c>
      <c r="L36" s="389">
        <v>103</v>
      </c>
      <c r="M36" s="390" t="s">
        <v>1516</v>
      </c>
      <c r="N36" s="390" t="s">
        <v>1517</v>
      </c>
      <c r="O36" s="390" t="s">
        <v>1482</v>
      </c>
      <c r="P36" s="390" t="s">
        <v>1387</v>
      </c>
      <c r="Q36" s="388" t="s">
        <v>1383</v>
      </c>
      <c r="R36" s="390">
        <v>8</v>
      </c>
      <c r="S36" s="390" t="s">
        <v>1483</v>
      </c>
      <c r="T36" s="390">
        <v>82</v>
      </c>
      <c r="U36" s="390" t="s">
        <v>1511</v>
      </c>
      <c r="V36" s="390">
        <v>4554</v>
      </c>
      <c r="W36" s="390" t="s">
        <v>1511</v>
      </c>
      <c r="X36" s="390">
        <v>80219</v>
      </c>
      <c r="Y36" s="390" t="s">
        <v>1518</v>
      </c>
      <c r="Z36" s="391" t="s">
        <v>1519</v>
      </c>
    </row>
    <row r="37" spans="2:26" ht="15.75" customHeight="1" x14ac:dyDescent="0.3">
      <c r="B37" s="387" t="s">
        <v>1375</v>
      </c>
      <c r="C37" s="388">
        <v>81</v>
      </c>
      <c r="D37" s="388" t="s">
        <v>1520</v>
      </c>
      <c r="E37" s="388" t="s">
        <v>1377</v>
      </c>
      <c r="F37" s="388" t="s">
        <v>1378</v>
      </c>
      <c r="G37" s="388" t="s">
        <v>1379</v>
      </c>
      <c r="H37" s="388" t="s">
        <v>1380</v>
      </c>
      <c r="I37" s="388" t="s">
        <v>1393</v>
      </c>
      <c r="J37" s="388" t="s">
        <v>1382</v>
      </c>
      <c r="K37" s="388" t="s">
        <v>1383</v>
      </c>
      <c r="L37" s="389">
        <v>78</v>
      </c>
      <c r="M37" s="390" t="s">
        <v>1521</v>
      </c>
      <c r="N37" s="390" t="s">
        <v>1522</v>
      </c>
      <c r="O37" s="390" t="s">
        <v>1482</v>
      </c>
      <c r="P37" s="390" t="s">
        <v>1387</v>
      </c>
      <c r="Q37" s="388" t="s">
        <v>1383</v>
      </c>
      <c r="R37" s="390">
        <v>8</v>
      </c>
      <c r="S37" s="390" t="s">
        <v>1483</v>
      </c>
      <c r="T37" s="390">
        <v>46</v>
      </c>
      <c r="U37" s="390" t="s">
        <v>1523</v>
      </c>
      <c r="V37" s="390">
        <v>6505</v>
      </c>
      <c r="W37" s="390" t="s">
        <v>1520</v>
      </c>
      <c r="X37" s="390">
        <v>80228</v>
      </c>
      <c r="Y37" s="390" t="s">
        <v>1524</v>
      </c>
      <c r="Z37" s="391" t="s">
        <v>1525</v>
      </c>
    </row>
    <row r="38" spans="2:26" ht="15.75" customHeight="1" x14ac:dyDescent="0.3">
      <c r="B38" s="387" t="s">
        <v>1375</v>
      </c>
      <c r="C38" s="388">
        <v>87</v>
      </c>
      <c r="D38" s="388" t="s">
        <v>1526</v>
      </c>
      <c r="E38" s="388" t="s">
        <v>1377</v>
      </c>
      <c r="F38" s="388" t="s">
        <v>1418</v>
      </c>
      <c r="G38" s="388" t="s">
        <v>1379</v>
      </c>
      <c r="H38" s="388" t="s">
        <v>1380</v>
      </c>
      <c r="I38" s="388" t="s">
        <v>1419</v>
      </c>
      <c r="J38" s="388" t="s">
        <v>1420</v>
      </c>
      <c r="K38" s="388" t="s">
        <v>1383</v>
      </c>
      <c r="L38" s="389">
        <v>180</v>
      </c>
      <c r="M38" s="390" t="s">
        <v>1488</v>
      </c>
      <c r="N38" s="390" t="s">
        <v>1527</v>
      </c>
      <c r="O38" s="392" t="s">
        <v>1528</v>
      </c>
      <c r="P38" s="390" t="s">
        <v>1383</v>
      </c>
      <c r="Q38" s="388" t="s">
        <v>1383</v>
      </c>
      <c r="R38" s="390">
        <v>8</v>
      </c>
      <c r="S38" s="390" t="s">
        <v>1483</v>
      </c>
      <c r="T38" s="390">
        <v>81</v>
      </c>
      <c r="U38" s="390" t="s">
        <v>1490</v>
      </c>
      <c r="V38" s="390">
        <v>4525</v>
      </c>
      <c r="W38" s="390" t="s">
        <v>1491</v>
      </c>
      <c r="X38" s="390">
        <v>80208</v>
      </c>
      <c r="Y38" s="390" t="s">
        <v>1492</v>
      </c>
      <c r="Z38" s="391" t="s">
        <v>1493</v>
      </c>
    </row>
    <row r="39" spans="2:26" ht="15.75" customHeight="1" x14ac:dyDescent="0.3">
      <c r="B39" s="387" t="s">
        <v>1375</v>
      </c>
      <c r="C39" s="388">
        <v>90</v>
      </c>
      <c r="D39" s="388" t="s">
        <v>1529</v>
      </c>
      <c r="E39" s="388" t="s">
        <v>1377</v>
      </c>
      <c r="F39" s="388" t="s">
        <v>1378</v>
      </c>
      <c r="G39" s="388" t="s">
        <v>1379</v>
      </c>
      <c r="H39" s="388" t="s">
        <v>1380</v>
      </c>
      <c r="I39" s="388" t="s">
        <v>1530</v>
      </c>
      <c r="J39" s="388" t="s">
        <v>1382</v>
      </c>
      <c r="K39" s="388" t="s">
        <v>1383</v>
      </c>
      <c r="L39" s="389">
        <v>80</v>
      </c>
      <c r="M39" s="390" t="s">
        <v>1531</v>
      </c>
      <c r="N39" s="390" t="s">
        <v>1532</v>
      </c>
      <c r="O39" s="392" t="s">
        <v>1474</v>
      </c>
      <c r="P39" s="390" t="s">
        <v>1387</v>
      </c>
      <c r="Q39" s="388" t="s">
        <v>1383</v>
      </c>
      <c r="R39" s="390">
        <v>9</v>
      </c>
      <c r="S39" s="390" t="s">
        <v>1533</v>
      </c>
      <c r="T39" s="390">
        <v>76</v>
      </c>
      <c r="U39" s="390" t="s">
        <v>1534</v>
      </c>
      <c r="V39" s="390">
        <v>6413</v>
      </c>
      <c r="W39" s="390" t="s">
        <v>1535</v>
      </c>
      <c r="X39" s="390">
        <v>90056</v>
      </c>
      <c r="Y39" s="390" t="s">
        <v>1536</v>
      </c>
      <c r="Z39" s="391" t="s">
        <v>1537</v>
      </c>
    </row>
    <row r="40" spans="2:26" ht="15.75" customHeight="1" x14ac:dyDescent="0.3">
      <c r="B40" s="387" t="s">
        <v>1375</v>
      </c>
      <c r="C40" s="388">
        <v>91</v>
      </c>
      <c r="D40" s="388" t="s">
        <v>1538</v>
      </c>
      <c r="E40" s="388" t="s">
        <v>1377</v>
      </c>
      <c r="F40" s="388" t="s">
        <v>1378</v>
      </c>
      <c r="G40" s="388" t="s">
        <v>1379</v>
      </c>
      <c r="H40" s="388" t="s">
        <v>1380</v>
      </c>
      <c r="I40" s="388" t="s">
        <v>1393</v>
      </c>
      <c r="J40" s="388" t="s">
        <v>1382</v>
      </c>
      <c r="K40" s="388" t="s">
        <v>1383</v>
      </c>
      <c r="L40" s="389">
        <v>226</v>
      </c>
      <c r="M40" s="390" t="s">
        <v>1539</v>
      </c>
      <c r="N40" s="390" t="s">
        <v>1540</v>
      </c>
      <c r="O40" s="392" t="s">
        <v>1474</v>
      </c>
      <c r="P40" s="390" t="s">
        <v>1387</v>
      </c>
      <c r="Q40" s="388" t="s">
        <v>1383</v>
      </c>
      <c r="R40" s="390">
        <v>9</v>
      </c>
      <c r="S40" s="390" t="s">
        <v>1533</v>
      </c>
      <c r="T40" s="390">
        <v>75</v>
      </c>
      <c r="U40" s="390" t="s">
        <v>1533</v>
      </c>
      <c r="V40" s="390">
        <v>6410</v>
      </c>
      <c r="W40" s="390" t="s">
        <v>1541</v>
      </c>
      <c r="X40" s="390">
        <v>90017</v>
      </c>
      <c r="Y40" s="390" t="s">
        <v>1542</v>
      </c>
      <c r="Z40" s="391" t="s">
        <v>1543</v>
      </c>
    </row>
    <row r="41" spans="2:26" ht="15.75" customHeight="1" x14ac:dyDescent="0.3">
      <c r="B41" s="387" t="s">
        <v>1375</v>
      </c>
      <c r="C41" s="388">
        <v>92</v>
      </c>
      <c r="D41" s="388" t="s">
        <v>1544</v>
      </c>
      <c r="E41" s="388" t="s">
        <v>1377</v>
      </c>
      <c r="F41" s="388" t="s">
        <v>1378</v>
      </c>
      <c r="G41" s="388" t="s">
        <v>1379</v>
      </c>
      <c r="H41" s="388" t="s">
        <v>1380</v>
      </c>
      <c r="I41" s="388" t="s">
        <v>1440</v>
      </c>
      <c r="J41" s="388" t="s">
        <v>1382</v>
      </c>
      <c r="K41" s="388" t="s">
        <v>1383</v>
      </c>
      <c r="L41" s="389">
        <v>141</v>
      </c>
      <c r="M41" s="390" t="s">
        <v>1545</v>
      </c>
      <c r="N41" s="390" t="s">
        <v>1546</v>
      </c>
      <c r="O41" s="392" t="s">
        <v>1474</v>
      </c>
      <c r="P41" s="390" t="s">
        <v>1387</v>
      </c>
      <c r="Q41" s="388" t="s">
        <v>1383</v>
      </c>
      <c r="R41" s="390">
        <v>9</v>
      </c>
      <c r="S41" s="390" t="s">
        <v>1533</v>
      </c>
      <c r="T41" s="390">
        <v>75</v>
      </c>
      <c r="U41" s="390" t="s">
        <v>1533</v>
      </c>
      <c r="V41" s="390">
        <v>6402</v>
      </c>
      <c r="W41" s="390" t="s">
        <v>1547</v>
      </c>
      <c r="X41" s="390">
        <v>90062</v>
      </c>
      <c r="Y41" s="390" t="s">
        <v>1544</v>
      </c>
      <c r="Z41" s="391" t="s">
        <v>1548</v>
      </c>
    </row>
    <row r="42" spans="2:26" ht="15.75" customHeight="1" x14ac:dyDescent="0.3">
      <c r="B42" s="387" t="s">
        <v>1375</v>
      </c>
      <c r="C42" s="388">
        <v>95</v>
      </c>
      <c r="D42" s="388" t="s">
        <v>1549</v>
      </c>
      <c r="E42" s="388" t="s">
        <v>1377</v>
      </c>
      <c r="F42" s="388" t="s">
        <v>1378</v>
      </c>
      <c r="G42" s="388" t="s">
        <v>1379</v>
      </c>
      <c r="H42" s="388" t="s">
        <v>1380</v>
      </c>
      <c r="I42" s="388" t="s">
        <v>1381</v>
      </c>
      <c r="J42" s="388" t="s">
        <v>1382</v>
      </c>
      <c r="K42" s="388" t="s">
        <v>1383</v>
      </c>
      <c r="L42" s="389">
        <v>122</v>
      </c>
      <c r="M42" s="390" t="s">
        <v>1550</v>
      </c>
      <c r="N42" s="390" t="s">
        <v>1551</v>
      </c>
      <c r="O42" s="390" t="s">
        <v>1386</v>
      </c>
      <c r="P42" s="390" t="s">
        <v>1387</v>
      </c>
      <c r="Q42" s="388" t="s">
        <v>1383</v>
      </c>
      <c r="R42" s="390">
        <v>10</v>
      </c>
      <c r="S42" s="390" t="s">
        <v>1552</v>
      </c>
      <c r="T42" s="390">
        <v>26</v>
      </c>
      <c r="U42" s="390" t="s">
        <v>1553</v>
      </c>
      <c r="V42" s="390">
        <v>5503</v>
      </c>
      <c r="W42" s="390" t="s">
        <v>1554</v>
      </c>
      <c r="X42" s="390">
        <v>100181</v>
      </c>
      <c r="Y42" s="390" t="s">
        <v>1555</v>
      </c>
      <c r="Z42" s="391" t="s">
        <v>1556</v>
      </c>
    </row>
    <row r="43" spans="2:26" ht="15.75" customHeight="1" x14ac:dyDescent="0.3">
      <c r="B43" s="387" t="s">
        <v>1375</v>
      </c>
      <c r="C43" s="388">
        <v>96</v>
      </c>
      <c r="D43" s="388" t="s">
        <v>1552</v>
      </c>
      <c r="E43" s="388" t="s">
        <v>1377</v>
      </c>
      <c r="F43" s="388" t="s">
        <v>1378</v>
      </c>
      <c r="G43" s="388" t="s">
        <v>1379</v>
      </c>
      <c r="H43" s="388" t="s">
        <v>1380</v>
      </c>
      <c r="I43" s="388" t="s">
        <v>1393</v>
      </c>
      <c r="J43" s="388" t="s">
        <v>1382</v>
      </c>
      <c r="K43" s="388" t="s">
        <v>1383</v>
      </c>
      <c r="L43" s="389">
        <v>185</v>
      </c>
      <c r="M43" s="390" t="s">
        <v>1557</v>
      </c>
      <c r="N43" s="390" t="s">
        <v>1558</v>
      </c>
      <c r="O43" s="390" t="s">
        <v>1386</v>
      </c>
      <c r="P43" s="390" t="s">
        <v>1387</v>
      </c>
      <c r="Q43" s="388" t="s">
        <v>1383</v>
      </c>
      <c r="R43" s="390">
        <v>10</v>
      </c>
      <c r="S43" s="390" t="s">
        <v>1552</v>
      </c>
      <c r="T43" s="390">
        <v>74</v>
      </c>
      <c r="U43" s="390" t="s">
        <v>1552</v>
      </c>
      <c r="V43" s="390">
        <v>5636</v>
      </c>
      <c r="W43" s="390" t="s">
        <v>1559</v>
      </c>
      <c r="X43" s="390">
        <v>100192</v>
      </c>
      <c r="Y43" s="390" t="s">
        <v>1560</v>
      </c>
      <c r="Z43" s="391" t="s">
        <v>1561</v>
      </c>
    </row>
    <row r="44" spans="2:26" ht="15.75" customHeight="1" x14ac:dyDescent="0.3">
      <c r="B44" s="387" t="s">
        <v>1375</v>
      </c>
      <c r="C44" s="388">
        <v>97</v>
      </c>
      <c r="D44" s="388" t="s">
        <v>1562</v>
      </c>
      <c r="E44" s="388" t="s">
        <v>1377</v>
      </c>
      <c r="F44" s="388" t="s">
        <v>1378</v>
      </c>
      <c r="G44" s="388" t="s">
        <v>1379</v>
      </c>
      <c r="H44" s="388" t="s">
        <v>1380</v>
      </c>
      <c r="I44" s="388" t="s">
        <v>1393</v>
      </c>
      <c r="J44" s="388" t="s">
        <v>1382</v>
      </c>
      <c r="K44" s="388" t="s">
        <v>1383</v>
      </c>
      <c r="L44" s="389">
        <v>114</v>
      </c>
      <c r="M44" s="390" t="s">
        <v>1563</v>
      </c>
      <c r="N44" s="390" t="s">
        <v>1564</v>
      </c>
      <c r="O44" s="390" t="s">
        <v>1386</v>
      </c>
      <c r="P44" s="390" t="s">
        <v>1387</v>
      </c>
      <c r="Q44" s="388" t="s">
        <v>1383</v>
      </c>
      <c r="R44" s="390">
        <v>10</v>
      </c>
      <c r="S44" s="390" t="s">
        <v>1552</v>
      </c>
      <c r="T44" s="390">
        <v>73</v>
      </c>
      <c r="U44" s="390" t="s">
        <v>1562</v>
      </c>
      <c r="V44" s="390">
        <v>5627</v>
      </c>
      <c r="W44" s="390" t="s">
        <v>1562</v>
      </c>
      <c r="X44" s="390">
        <v>100080</v>
      </c>
      <c r="Y44" s="390" t="s">
        <v>1565</v>
      </c>
      <c r="Z44" s="391" t="s">
        <v>1566</v>
      </c>
    </row>
    <row r="45" spans="2:26" ht="15.75" customHeight="1" x14ac:dyDescent="0.3">
      <c r="B45" s="387" t="s">
        <v>1375</v>
      </c>
      <c r="C45" s="388">
        <v>98</v>
      </c>
      <c r="D45" s="388" t="s">
        <v>1567</v>
      </c>
      <c r="E45" s="388" t="s">
        <v>1377</v>
      </c>
      <c r="F45" s="388" t="s">
        <v>1378</v>
      </c>
      <c r="G45" s="388" t="s">
        <v>1379</v>
      </c>
      <c r="H45" s="388" t="s">
        <v>1380</v>
      </c>
      <c r="I45" s="388" t="s">
        <v>1393</v>
      </c>
      <c r="J45" s="388" t="s">
        <v>1382</v>
      </c>
      <c r="K45" s="388" t="s">
        <v>1383</v>
      </c>
      <c r="L45" s="389">
        <v>120</v>
      </c>
      <c r="M45" s="390" t="s">
        <v>1568</v>
      </c>
      <c r="N45" s="390" t="s">
        <v>1569</v>
      </c>
      <c r="O45" s="390" t="s">
        <v>1386</v>
      </c>
      <c r="P45" s="390" t="s">
        <v>1387</v>
      </c>
      <c r="Q45" s="388" t="s">
        <v>1383</v>
      </c>
      <c r="R45" s="390">
        <v>10</v>
      </c>
      <c r="S45" s="390" t="s">
        <v>1552</v>
      </c>
      <c r="T45" s="390">
        <v>26</v>
      </c>
      <c r="U45" s="390" t="s">
        <v>1553</v>
      </c>
      <c r="V45" s="390">
        <v>5405</v>
      </c>
      <c r="W45" s="390" t="s">
        <v>1570</v>
      </c>
      <c r="X45" s="390">
        <v>100116</v>
      </c>
      <c r="Y45" s="390" t="s">
        <v>1570</v>
      </c>
      <c r="Z45" s="391" t="s">
        <v>1571</v>
      </c>
    </row>
    <row r="46" spans="2:26" ht="15.75" customHeight="1" x14ac:dyDescent="0.3">
      <c r="B46" s="387" t="s">
        <v>1375</v>
      </c>
      <c r="C46" s="388">
        <v>99</v>
      </c>
      <c r="D46" s="388" t="s">
        <v>1572</v>
      </c>
      <c r="E46" s="388" t="s">
        <v>1377</v>
      </c>
      <c r="F46" s="388" t="s">
        <v>1378</v>
      </c>
      <c r="G46" s="388" t="s">
        <v>1379</v>
      </c>
      <c r="H46" s="388" t="s">
        <v>1380</v>
      </c>
      <c r="I46" s="388" t="s">
        <v>1530</v>
      </c>
      <c r="J46" s="388" t="s">
        <v>1382</v>
      </c>
      <c r="K46" s="388" t="s">
        <v>1383</v>
      </c>
      <c r="L46" s="389">
        <v>65</v>
      </c>
      <c r="M46" s="390" t="s">
        <v>1573</v>
      </c>
      <c r="N46" s="390" t="s">
        <v>1574</v>
      </c>
      <c r="O46" s="390" t="s">
        <v>1386</v>
      </c>
      <c r="P46" s="390" t="s">
        <v>1387</v>
      </c>
      <c r="Q46" s="388" t="s">
        <v>1383</v>
      </c>
      <c r="R46" s="390">
        <v>10</v>
      </c>
      <c r="S46" s="390" t="s">
        <v>1552</v>
      </c>
      <c r="T46" s="390">
        <v>29</v>
      </c>
      <c r="U46" s="390" t="s">
        <v>1575</v>
      </c>
      <c r="V46" s="390">
        <v>5616</v>
      </c>
      <c r="W46" s="390" t="s">
        <v>1572</v>
      </c>
      <c r="X46" s="390">
        <v>100143</v>
      </c>
      <c r="Y46" s="390" t="s">
        <v>1572</v>
      </c>
      <c r="Z46" s="391" t="s">
        <v>1576</v>
      </c>
    </row>
    <row r="47" spans="2:26" ht="15.75" customHeight="1" x14ac:dyDescent="0.3">
      <c r="B47" s="387" t="s">
        <v>1375</v>
      </c>
      <c r="C47" s="388">
        <v>100</v>
      </c>
      <c r="D47" s="388" t="s">
        <v>1577</v>
      </c>
      <c r="E47" s="388" t="s">
        <v>1377</v>
      </c>
      <c r="F47" s="388" t="s">
        <v>1378</v>
      </c>
      <c r="G47" s="388" t="s">
        <v>1379</v>
      </c>
      <c r="H47" s="388" t="s">
        <v>1380</v>
      </c>
      <c r="I47" s="388" t="s">
        <v>1393</v>
      </c>
      <c r="J47" s="388" t="s">
        <v>1382</v>
      </c>
      <c r="K47" s="388" t="s">
        <v>1383</v>
      </c>
      <c r="L47" s="389">
        <v>101</v>
      </c>
      <c r="M47" s="390" t="s">
        <v>1578</v>
      </c>
      <c r="N47" s="390" t="s">
        <v>1579</v>
      </c>
      <c r="O47" s="390" t="s">
        <v>1386</v>
      </c>
      <c r="P47" s="390" t="s">
        <v>1387</v>
      </c>
      <c r="Q47" s="388" t="s">
        <v>1383</v>
      </c>
      <c r="R47" s="390">
        <v>10</v>
      </c>
      <c r="S47" s="390" t="s">
        <v>1552</v>
      </c>
      <c r="T47" s="390">
        <v>73</v>
      </c>
      <c r="U47" s="390" t="s">
        <v>1562</v>
      </c>
      <c r="V47" s="390">
        <v>5648</v>
      </c>
      <c r="W47" s="390" t="s">
        <v>1580</v>
      </c>
      <c r="X47" s="390">
        <v>100169</v>
      </c>
      <c r="Y47" s="390" t="s">
        <v>1577</v>
      </c>
      <c r="Z47" s="391" t="s">
        <v>1581</v>
      </c>
    </row>
    <row r="48" spans="2:26" ht="15.75" customHeight="1" x14ac:dyDescent="0.3">
      <c r="B48" s="387" t="s">
        <v>1375</v>
      </c>
      <c r="C48" s="388">
        <v>101</v>
      </c>
      <c r="D48" s="388" t="s">
        <v>1582</v>
      </c>
      <c r="E48" s="388" t="s">
        <v>1377</v>
      </c>
      <c r="F48" s="388" t="s">
        <v>1378</v>
      </c>
      <c r="G48" s="388" t="s">
        <v>1379</v>
      </c>
      <c r="H48" s="388" t="s">
        <v>1380</v>
      </c>
      <c r="I48" s="388" t="s">
        <v>1393</v>
      </c>
      <c r="J48" s="388" t="s">
        <v>1382</v>
      </c>
      <c r="K48" s="388" t="s">
        <v>1383</v>
      </c>
      <c r="L48" s="389">
        <v>101</v>
      </c>
      <c r="M48" s="390" t="s">
        <v>1583</v>
      </c>
      <c r="N48" s="390" t="s">
        <v>1584</v>
      </c>
      <c r="O48" s="390" t="s">
        <v>1386</v>
      </c>
      <c r="P48" s="390" t="s">
        <v>1387</v>
      </c>
      <c r="Q48" s="388" t="s">
        <v>1383</v>
      </c>
      <c r="R48" s="390">
        <v>10</v>
      </c>
      <c r="S48" s="390" t="s">
        <v>1552</v>
      </c>
      <c r="T48" s="390">
        <v>30</v>
      </c>
      <c r="U48" s="390" t="s">
        <v>1585</v>
      </c>
      <c r="V48" s="390">
        <v>5608</v>
      </c>
      <c r="W48" s="390" t="s">
        <v>1586</v>
      </c>
      <c r="X48" s="390">
        <v>100207</v>
      </c>
      <c r="Y48" s="390" t="s">
        <v>1587</v>
      </c>
      <c r="Z48" s="391" t="s">
        <v>1588</v>
      </c>
    </row>
    <row r="49" spans="2:26" ht="15.75" customHeight="1" x14ac:dyDescent="0.3">
      <c r="B49" s="387" t="s">
        <v>1375</v>
      </c>
      <c r="C49" s="388">
        <v>102</v>
      </c>
      <c r="D49" s="388" t="s">
        <v>1589</v>
      </c>
      <c r="E49" s="388" t="s">
        <v>1377</v>
      </c>
      <c r="F49" s="388" t="s">
        <v>1378</v>
      </c>
      <c r="G49" s="388" t="s">
        <v>1379</v>
      </c>
      <c r="H49" s="388" t="s">
        <v>1380</v>
      </c>
      <c r="I49" s="388" t="s">
        <v>1393</v>
      </c>
      <c r="J49" s="388" t="s">
        <v>1382</v>
      </c>
      <c r="K49" s="388" t="s">
        <v>1383</v>
      </c>
      <c r="L49" s="389">
        <v>100</v>
      </c>
      <c r="M49" s="390" t="s">
        <v>1590</v>
      </c>
      <c r="N49" s="390" t="s">
        <v>1591</v>
      </c>
      <c r="O49" s="390" t="s">
        <v>1386</v>
      </c>
      <c r="P49" s="390" t="s">
        <v>1387</v>
      </c>
      <c r="Q49" s="388" t="s">
        <v>1383</v>
      </c>
      <c r="R49" s="390">
        <v>10</v>
      </c>
      <c r="S49" s="390" t="s">
        <v>1552</v>
      </c>
      <c r="T49" s="390">
        <v>26</v>
      </c>
      <c r="U49" s="390" t="s">
        <v>1553</v>
      </c>
      <c r="V49" s="390">
        <v>5505</v>
      </c>
      <c r="W49" s="390" t="s">
        <v>1592</v>
      </c>
      <c r="X49" s="390">
        <v>100183</v>
      </c>
      <c r="Y49" s="390" t="s">
        <v>1593</v>
      </c>
      <c r="Z49" s="391" t="s">
        <v>1594</v>
      </c>
    </row>
    <row r="50" spans="2:26" ht="15.75" customHeight="1" x14ac:dyDescent="0.3">
      <c r="B50" s="387" t="s">
        <v>1375</v>
      </c>
      <c r="C50" s="388">
        <v>103</v>
      </c>
      <c r="D50" s="388" t="s">
        <v>1553</v>
      </c>
      <c r="E50" s="388" t="s">
        <v>1377</v>
      </c>
      <c r="F50" s="388" t="s">
        <v>1378</v>
      </c>
      <c r="G50" s="388" t="s">
        <v>1379</v>
      </c>
      <c r="H50" s="388" t="s">
        <v>1380</v>
      </c>
      <c r="I50" s="388" t="s">
        <v>1393</v>
      </c>
      <c r="J50" s="388" t="s">
        <v>1382</v>
      </c>
      <c r="K50" s="388" t="s">
        <v>1383</v>
      </c>
      <c r="L50" s="389">
        <v>199</v>
      </c>
      <c r="M50" s="390" t="s">
        <v>1595</v>
      </c>
      <c r="N50" s="390" t="s">
        <v>1596</v>
      </c>
      <c r="O50" s="390" t="s">
        <v>1386</v>
      </c>
      <c r="P50" s="390" t="s">
        <v>1387</v>
      </c>
      <c r="Q50" s="388" t="s">
        <v>1383</v>
      </c>
      <c r="R50" s="390">
        <v>10</v>
      </c>
      <c r="S50" s="390" t="s">
        <v>1552</v>
      </c>
      <c r="T50" s="390">
        <v>26</v>
      </c>
      <c r="U50" s="390" t="s">
        <v>1553</v>
      </c>
      <c r="V50" s="390">
        <v>5405</v>
      </c>
      <c r="W50" s="390" t="s">
        <v>1570</v>
      </c>
      <c r="X50" s="390">
        <v>100116</v>
      </c>
      <c r="Y50" s="390" t="s">
        <v>1570</v>
      </c>
      <c r="Z50" s="391" t="s">
        <v>1597</v>
      </c>
    </row>
    <row r="51" spans="2:26" ht="15.75" customHeight="1" x14ac:dyDescent="0.3">
      <c r="B51" s="387" t="s">
        <v>1375</v>
      </c>
      <c r="C51" s="388">
        <v>104</v>
      </c>
      <c r="D51" s="388" t="s">
        <v>1580</v>
      </c>
      <c r="E51" s="388" t="s">
        <v>1377</v>
      </c>
      <c r="F51" s="388" t="s">
        <v>1378</v>
      </c>
      <c r="G51" s="388" t="s">
        <v>1379</v>
      </c>
      <c r="H51" s="388" t="s">
        <v>1380</v>
      </c>
      <c r="I51" s="388" t="s">
        <v>1393</v>
      </c>
      <c r="J51" s="388" t="s">
        <v>1382</v>
      </c>
      <c r="K51" s="388" t="s">
        <v>1383</v>
      </c>
      <c r="L51" s="389">
        <v>101</v>
      </c>
      <c r="M51" s="390" t="s">
        <v>1598</v>
      </c>
      <c r="N51" s="390" t="s">
        <v>1599</v>
      </c>
      <c r="O51" s="390" t="s">
        <v>1386</v>
      </c>
      <c r="P51" s="390" t="s">
        <v>1387</v>
      </c>
      <c r="Q51" s="388" t="s">
        <v>1383</v>
      </c>
      <c r="R51" s="390">
        <v>10</v>
      </c>
      <c r="S51" s="390" t="s">
        <v>1552</v>
      </c>
      <c r="T51" s="390">
        <v>73</v>
      </c>
      <c r="U51" s="390" t="s">
        <v>1562</v>
      </c>
      <c r="V51" s="390">
        <v>5648</v>
      </c>
      <c r="W51" s="390" t="s">
        <v>1580</v>
      </c>
      <c r="X51" s="390">
        <v>100243</v>
      </c>
      <c r="Y51" s="390" t="s">
        <v>1580</v>
      </c>
      <c r="Z51" s="391" t="s">
        <v>1600</v>
      </c>
    </row>
    <row r="52" spans="2:26" ht="15.75" customHeight="1" x14ac:dyDescent="0.3">
      <c r="B52" s="387" t="s">
        <v>1375</v>
      </c>
      <c r="C52" s="388">
        <v>106</v>
      </c>
      <c r="D52" s="388" t="s">
        <v>1601</v>
      </c>
      <c r="E52" s="388" t="s">
        <v>1377</v>
      </c>
      <c r="F52" s="388" t="s">
        <v>1418</v>
      </c>
      <c r="G52" s="388" t="s">
        <v>1379</v>
      </c>
      <c r="H52" s="388" t="s">
        <v>1380</v>
      </c>
      <c r="I52" s="388" t="s">
        <v>1530</v>
      </c>
      <c r="J52" s="388" t="s">
        <v>1420</v>
      </c>
      <c r="K52" s="388" t="s">
        <v>1383</v>
      </c>
      <c r="L52" s="389">
        <v>95</v>
      </c>
      <c r="M52" s="390" t="s">
        <v>1602</v>
      </c>
      <c r="N52" s="390" t="s">
        <v>1603</v>
      </c>
      <c r="O52" s="392" t="s">
        <v>1528</v>
      </c>
      <c r="P52" s="390" t="s">
        <v>1383</v>
      </c>
      <c r="Q52" s="388" t="s">
        <v>1383</v>
      </c>
      <c r="R52" s="390">
        <v>10</v>
      </c>
      <c r="S52" s="390" t="s">
        <v>1552</v>
      </c>
      <c r="T52" s="390">
        <v>74</v>
      </c>
      <c r="U52" s="390" t="s">
        <v>1552</v>
      </c>
      <c r="V52" s="390">
        <v>5636</v>
      </c>
      <c r="W52" s="390" t="s">
        <v>1559</v>
      </c>
      <c r="X52" s="390">
        <v>100192</v>
      </c>
      <c r="Y52" s="390" t="s">
        <v>1560</v>
      </c>
      <c r="Z52" s="391" t="s">
        <v>1604</v>
      </c>
    </row>
    <row r="53" spans="2:26" ht="15.75" customHeight="1" x14ac:dyDescent="0.3">
      <c r="B53" s="387" t="s">
        <v>1375</v>
      </c>
      <c r="C53" s="388">
        <v>121</v>
      </c>
      <c r="D53" s="388" t="s">
        <v>1605</v>
      </c>
      <c r="E53" s="388" t="s">
        <v>1377</v>
      </c>
      <c r="F53" s="388" t="s">
        <v>1378</v>
      </c>
      <c r="G53" s="388" t="s">
        <v>1379</v>
      </c>
      <c r="H53" s="388" t="s">
        <v>1380</v>
      </c>
      <c r="I53" s="388" t="s">
        <v>1393</v>
      </c>
      <c r="J53" s="388" t="s">
        <v>1382</v>
      </c>
      <c r="K53" s="388" t="s">
        <v>1383</v>
      </c>
      <c r="L53" s="389">
        <v>118</v>
      </c>
      <c r="M53" s="390" t="s">
        <v>1606</v>
      </c>
      <c r="N53" s="390" t="s">
        <v>1607</v>
      </c>
      <c r="O53" s="390" t="s">
        <v>1465</v>
      </c>
      <c r="P53" s="390" t="s">
        <v>1387</v>
      </c>
      <c r="Q53" s="388" t="s">
        <v>1383</v>
      </c>
      <c r="R53" s="390">
        <v>11</v>
      </c>
      <c r="S53" s="390" t="s">
        <v>1608</v>
      </c>
      <c r="T53" s="390">
        <v>28</v>
      </c>
      <c r="U53" s="390" t="s">
        <v>1609</v>
      </c>
      <c r="V53" s="390">
        <v>9223</v>
      </c>
      <c r="W53" s="390" t="s">
        <v>1610</v>
      </c>
      <c r="X53" s="390">
        <v>110224</v>
      </c>
      <c r="Y53" s="390" t="s">
        <v>1611</v>
      </c>
      <c r="Z53" s="391" t="s">
        <v>1612</v>
      </c>
    </row>
    <row r="54" spans="2:26" ht="15.75" customHeight="1" x14ac:dyDescent="0.3">
      <c r="B54" s="387" t="s">
        <v>1375</v>
      </c>
      <c r="C54" s="388">
        <v>122</v>
      </c>
      <c r="D54" s="388" t="s">
        <v>1613</v>
      </c>
      <c r="E54" s="388" t="s">
        <v>1377</v>
      </c>
      <c r="F54" s="388" t="s">
        <v>1378</v>
      </c>
      <c r="G54" s="388" t="s">
        <v>1379</v>
      </c>
      <c r="H54" s="388" t="s">
        <v>1380</v>
      </c>
      <c r="I54" s="388" t="s">
        <v>1393</v>
      </c>
      <c r="J54" s="388" t="s">
        <v>1382</v>
      </c>
      <c r="K54" s="388" t="s">
        <v>1383</v>
      </c>
      <c r="L54" s="389">
        <v>282</v>
      </c>
      <c r="M54" s="390" t="s">
        <v>1614</v>
      </c>
      <c r="N54" s="390" t="s">
        <v>1615</v>
      </c>
      <c r="O54" s="390" t="s">
        <v>1465</v>
      </c>
      <c r="P54" s="390" t="s">
        <v>1387</v>
      </c>
      <c r="Q54" s="388" t="s">
        <v>1383</v>
      </c>
      <c r="R54" s="390">
        <v>11</v>
      </c>
      <c r="S54" s="390" t="s">
        <v>1608</v>
      </c>
      <c r="T54" s="390">
        <v>24</v>
      </c>
      <c r="U54" s="390" t="s">
        <v>1616</v>
      </c>
      <c r="V54" s="390">
        <v>9117</v>
      </c>
      <c r="W54" s="390" t="s">
        <v>1617</v>
      </c>
      <c r="X54" s="390">
        <v>110441</v>
      </c>
      <c r="Y54" s="390" t="s">
        <v>1618</v>
      </c>
      <c r="Z54" s="391" t="s">
        <v>1619</v>
      </c>
    </row>
    <row r="55" spans="2:26" ht="15.75" customHeight="1" x14ac:dyDescent="0.3">
      <c r="B55" s="387" t="s">
        <v>1375</v>
      </c>
      <c r="C55" s="388">
        <v>124</v>
      </c>
      <c r="D55" s="388" t="s">
        <v>1620</v>
      </c>
      <c r="E55" s="388" t="s">
        <v>1377</v>
      </c>
      <c r="F55" s="388" t="s">
        <v>1378</v>
      </c>
      <c r="G55" s="388" t="s">
        <v>1379</v>
      </c>
      <c r="H55" s="388" t="s">
        <v>1380</v>
      </c>
      <c r="I55" s="388" t="s">
        <v>1381</v>
      </c>
      <c r="J55" s="388" t="s">
        <v>1382</v>
      </c>
      <c r="K55" s="388" t="s">
        <v>1383</v>
      </c>
      <c r="L55" s="389">
        <v>175</v>
      </c>
      <c r="M55" s="390" t="s">
        <v>1621</v>
      </c>
      <c r="N55" s="390" t="s">
        <v>1622</v>
      </c>
      <c r="O55" s="390" t="s">
        <v>1465</v>
      </c>
      <c r="P55" s="390" t="s">
        <v>1387</v>
      </c>
      <c r="Q55" s="388" t="s">
        <v>1383</v>
      </c>
      <c r="R55" s="390">
        <v>11</v>
      </c>
      <c r="S55" s="390" t="s">
        <v>1608</v>
      </c>
      <c r="T55" s="390">
        <v>28</v>
      </c>
      <c r="U55" s="390" t="s">
        <v>1609</v>
      </c>
      <c r="V55" s="390">
        <v>9263</v>
      </c>
      <c r="W55" s="390" t="s">
        <v>1623</v>
      </c>
      <c r="X55" s="390">
        <v>110724</v>
      </c>
      <c r="Y55" s="390" t="s">
        <v>1624</v>
      </c>
      <c r="Z55" s="391" t="s">
        <v>1625</v>
      </c>
    </row>
    <row r="56" spans="2:26" ht="15.75" customHeight="1" x14ac:dyDescent="0.3">
      <c r="B56" s="387" t="s">
        <v>1375</v>
      </c>
      <c r="C56" s="388">
        <v>125</v>
      </c>
      <c r="D56" s="388" t="s">
        <v>1608</v>
      </c>
      <c r="E56" s="388" t="s">
        <v>1377</v>
      </c>
      <c r="F56" s="388" t="s">
        <v>1378</v>
      </c>
      <c r="G56" s="388" t="s">
        <v>1379</v>
      </c>
      <c r="H56" s="388" t="s">
        <v>1380</v>
      </c>
      <c r="I56" s="388" t="s">
        <v>1393</v>
      </c>
      <c r="J56" s="388" t="s">
        <v>1382</v>
      </c>
      <c r="K56" s="388" t="s">
        <v>1383</v>
      </c>
      <c r="L56" s="389">
        <v>107</v>
      </c>
      <c r="M56" s="390" t="s">
        <v>1626</v>
      </c>
      <c r="N56" s="390" t="s">
        <v>1627</v>
      </c>
      <c r="O56" s="390" t="s">
        <v>1465</v>
      </c>
      <c r="P56" s="390" t="s">
        <v>1387</v>
      </c>
      <c r="Q56" s="388" t="s">
        <v>1383</v>
      </c>
      <c r="R56" s="390">
        <v>11</v>
      </c>
      <c r="S56" s="390" t="s">
        <v>1608</v>
      </c>
      <c r="T56" s="390">
        <v>27</v>
      </c>
      <c r="U56" s="390" t="s">
        <v>1608</v>
      </c>
      <c r="V56" s="390">
        <v>9212</v>
      </c>
      <c r="W56" s="390" t="s">
        <v>1628</v>
      </c>
      <c r="X56" s="390">
        <v>110535</v>
      </c>
      <c r="Y56" s="390" t="s">
        <v>1629</v>
      </c>
      <c r="Z56" s="391" t="s">
        <v>1630</v>
      </c>
    </row>
    <row r="57" spans="2:26" ht="15.75" customHeight="1" x14ac:dyDescent="0.3">
      <c r="B57" s="387" t="s">
        <v>1375</v>
      </c>
      <c r="C57" s="388">
        <v>143</v>
      </c>
      <c r="D57" s="388" t="s">
        <v>1631</v>
      </c>
      <c r="E57" s="388" t="s">
        <v>1377</v>
      </c>
      <c r="F57" s="388" t="s">
        <v>1418</v>
      </c>
      <c r="G57" s="388" t="s">
        <v>1379</v>
      </c>
      <c r="H57" s="388" t="s">
        <v>1380</v>
      </c>
      <c r="I57" s="388" t="s">
        <v>1530</v>
      </c>
      <c r="J57" s="388" t="s">
        <v>1420</v>
      </c>
      <c r="K57" s="388" t="s">
        <v>1383</v>
      </c>
      <c r="L57" s="389">
        <v>70</v>
      </c>
      <c r="M57" s="390" t="s">
        <v>1632</v>
      </c>
      <c r="N57" s="390" t="s">
        <v>1633</v>
      </c>
      <c r="O57" s="390" t="s">
        <v>1634</v>
      </c>
      <c r="P57" s="390" t="s">
        <v>1383</v>
      </c>
      <c r="Q57" s="388" t="s">
        <v>1383</v>
      </c>
      <c r="R57" s="390">
        <v>4</v>
      </c>
      <c r="S57" s="390" t="s">
        <v>1451</v>
      </c>
      <c r="T57" s="390">
        <v>34</v>
      </c>
      <c r="U57" s="390" t="s">
        <v>1452</v>
      </c>
      <c r="V57" s="390">
        <v>1304</v>
      </c>
      <c r="W57" s="390" t="s">
        <v>1448</v>
      </c>
      <c r="X57" s="390">
        <v>40016</v>
      </c>
      <c r="Y57" s="390" t="s">
        <v>1448</v>
      </c>
      <c r="Z57" s="391" t="s">
        <v>1635</v>
      </c>
    </row>
    <row r="58" spans="2:26" ht="15.75" customHeight="1" x14ac:dyDescent="0.3">
      <c r="B58" s="387" t="s">
        <v>1375</v>
      </c>
      <c r="C58" s="388">
        <v>164</v>
      </c>
      <c r="D58" s="388" t="s">
        <v>1636</v>
      </c>
      <c r="E58" s="388" t="s">
        <v>1377</v>
      </c>
      <c r="F58" s="388" t="s">
        <v>1378</v>
      </c>
      <c r="G58" s="388" t="s">
        <v>1379</v>
      </c>
      <c r="H58" s="388" t="s">
        <v>1380</v>
      </c>
      <c r="I58" s="388" t="s">
        <v>1393</v>
      </c>
      <c r="J58" s="388" t="s">
        <v>1382</v>
      </c>
      <c r="K58" s="388" t="s">
        <v>1383</v>
      </c>
      <c r="L58" s="389">
        <v>96</v>
      </c>
      <c r="M58" s="390" t="s">
        <v>1637</v>
      </c>
      <c r="N58" s="390" t="s">
        <v>1638</v>
      </c>
      <c r="O58" s="390" t="s">
        <v>1465</v>
      </c>
      <c r="P58" s="390" t="s">
        <v>1387</v>
      </c>
      <c r="Q58" s="388" t="s">
        <v>1383</v>
      </c>
      <c r="R58" s="390">
        <v>5</v>
      </c>
      <c r="S58" s="390" t="s">
        <v>1466</v>
      </c>
      <c r="T58" s="390">
        <v>57</v>
      </c>
      <c r="U58" s="390" t="s">
        <v>1639</v>
      </c>
      <c r="V58" s="390">
        <v>2527</v>
      </c>
      <c r="W58" s="390" t="s">
        <v>1468</v>
      </c>
      <c r="X58" s="390">
        <v>50017</v>
      </c>
      <c r="Y58" s="390" t="s">
        <v>1636</v>
      </c>
      <c r="Z58" s="391" t="s">
        <v>1640</v>
      </c>
    </row>
    <row r="59" spans="2:26" ht="15.75" customHeight="1" x14ac:dyDescent="0.3">
      <c r="B59" s="387" t="s">
        <v>1375</v>
      </c>
      <c r="C59" s="388">
        <v>165</v>
      </c>
      <c r="D59" s="388" t="s">
        <v>1641</v>
      </c>
      <c r="E59" s="388" t="s">
        <v>1377</v>
      </c>
      <c r="F59" s="388" t="s">
        <v>1378</v>
      </c>
      <c r="G59" s="388" t="s">
        <v>1379</v>
      </c>
      <c r="H59" s="388" t="s">
        <v>1380</v>
      </c>
      <c r="I59" s="388" t="s">
        <v>1393</v>
      </c>
      <c r="J59" s="388" t="s">
        <v>1382</v>
      </c>
      <c r="K59" s="388" t="s">
        <v>1383</v>
      </c>
      <c r="L59" s="389">
        <v>70</v>
      </c>
      <c r="M59" s="390" t="s">
        <v>1642</v>
      </c>
      <c r="N59" s="390" t="s">
        <v>1643</v>
      </c>
      <c r="O59" s="390" t="s">
        <v>1465</v>
      </c>
      <c r="P59" s="390" t="s">
        <v>1387</v>
      </c>
      <c r="Q59" s="388" t="s">
        <v>1383</v>
      </c>
      <c r="R59" s="390">
        <v>5</v>
      </c>
      <c r="S59" s="390" t="s">
        <v>1466</v>
      </c>
      <c r="T59" s="390">
        <v>61</v>
      </c>
      <c r="U59" s="390" t="s">
        <v>1644</v>
      </c>
      <c r="V59" s="390">
        <v>2599</v>
      </c>
      <c r="W59" s="390" t="s">
        <v>1645</v>
      </c>
      <c r="X59" s="390">
        <v>50039</v>
      </c>
      <c r="Y59" s="390" t="s">
        <v>1646</v>
      </c>
      <c r="Z59" s="391" t="s">
        <v>1647</v>
      </c>
    </row>
    <row r="60" spans="2:26" ht="15.75" customHeight="1" x14ac:dyDescent="0.3">
      <c r="B60" s="387" t="s">
        <v>1375</v>
      </c>
      <c r="C60" s="388">
        <v>167</v>
      </c>
      <c r="D60" s="388" t="s">
        <v>1648</v>
      </c>
      <c r="E60" s="388" t="s">
        <v>1377</v>
      </c>
      <c r="F60" s="388" t="s">
        <v>1378</v>
      </c>
      <c r="G60" s="388" t="s">
        <v>1379</v>
      </c>
      <c r="H60" s="388" t="s">
        <v>1380</v>
      </c>
      <c r="I60" s="388" t="s">
        <v>1530</v>
      </c>
      <c r="J60" s="388" t="s">
        <v>1382</v>
      </c>
      <c r="K60" s="388" t="s">
        <v>1383</v>
      </c>
      <c r="L60" s="389">
        <v>96</v>
      </c>
      <c r="M60" s="390" t="s">
        <v>1649</v>
      </c>
      <c r="N60" s="390" t="s">
        <v>1650</v>
      </c>
      <c r="O60" s="390" t="s">
        <v>1465</v>
      </c>
      <c r="P60" s="390" t="s">
        <v>1387</v>
      </c>
      <c r="Q60" s="388" t="s">
        <v>1383</v>
      </c>
      <c r="R60" s="390">
        <v>5</v>
      </c>
      <c r="S60" s="390" t="s">
        <v>1466</v>
      </c>
      <c r="T60" s="390">
        <v>52</v>
      </c>
      <c r="U60" s="390" t="s">
        <v>1467</v>
      </c>
      <c r="V60" s="390">
        <v>1336</v>
      </c>
      <c r="W60" s="390" t="s">
        <v>1651</v>
      </c>
      <c r="X60" s="390">
        <v>50099</v>
      </c>
      <c r="Y60" s="390" t="s">
        <v>1652</v>
      </c>
      <c r="Z60" s="391" t="s">
        <v>1653</v>
      </c>
    </row>
    <row r="61" spans="2:26" ht="15.75" customHeight="1" x14ac:dyDescent="0.3">
      <c r="B61" s="387" t="s">
        <v>1375</v>
      </c>
      <c r="C61" s="388">
        <v>171</v>
      </c>
      <c r="D61" s="388" t="s">
        <v>1654</v>
      </c>
      <c r="E61" s="388" t="s">
        <v>1377</v>
      </c>
      <c r="F61" s="388" t="s">
        <v>1378</v>
      </c>
      <c r="G61" s="388" t="s">
        <v>1379</v>
      </c>
      <c r="H61" s="388" t="s">
        <v>1380</v>
      </c>
      <c r="I61" s="388" t="s">
        <v>1393</v>
      </c>
      <c r="J61" s="388" t="s">
        <v>1382</v>
      </c>
      <c r="K61" s="388" t="s">
        <v>1383</v>
      </c>
      <c r="L61" s="389">
        <v>304</v>
      </c>
      <c r="M61" s="390" t="s">
        <v>1655</v>
      </c>
      <c r="N61" s="390" t="s">
        <v>1656</v>
      </c>
      <c r="O61" s="390" t="s">
        <v>1657</v>
      </c>
      <c r="P61" s="390" t="s">
        <v>1387</v>
      </c>
      <c r="Q61" s="388" t="s">
        <v>1383</v>
      </c>
      <c r="R61" s="390">
        <v>6</v>
      </c>
      <c r="S61" s="390" t="s">
        <v>1658</v>
      </c>
      <c r="T61" s="390">
        <v>42</v>
      </c>
      <c r="U61" s="390" t="s">
        <v>1659</v>
      </c>
      <c r="V61" s="390">
        <v>2406</v>
      </c>
      <c r="W61" s="390" t="s">
        <v>1660</v>
      </c>
      <c r="X61" s="390">
        <v>60021</v>
      </c>
      <c r="Y61" s="390" t="s">
        <v>1660</v>
      </c>
      <c r="Z61" s="391" t="s">
        <v>1661</v>
      </c>
    </row>
    <row r="62" spans="2:26" ht="15.75" customHeight="1" x14ac:dyDescent="0.3">
      <c r="B62" s="387" t="s">
        <v>1375</v>
      </c>
      <c r="C62" s="388">
        <v>172</v>
      </c>
      <c r="D62" s="388" t="s">
        <v>1662</v>
      </c>
      <c r="E62" s="388" t="s">
        <v>1377</v>
      </c>
      <c r="F62" s="388" t="s">
        <v>1378</v>
      </c>
      <c r="G62" s="388" t="s">
        <v>1379</v>
      </c>
      <c r="H62" s="388" t="s">
        <v>1380</v>
      </c>
      <c r="I62" s="388" t="s">
        <v>1393</v>
      </c>
      <c r="J62" s="388" t="s">
        <v>1382</v>
      </c>
      <c r="K62" s="388" t="s">
        <v>1383</v>
      </c>
      <c r="L62" s="389">
        <v>146</v>
      </c>
      <c r="M62" s="390" t="s">
        <v>1663</v>
      </c>
      <c r="N62" s="390" t="s">
        <v>1664</v>
      </c>
      <c r="O62" s="390" t="s">
        <v>1657</v>
      </c>
      <c r="P62" s="390" t="s">
        <v>1387</v>
      </c>
      <c r="Q62" s="388" t="s">
        <v>1383</v>
      </c>
      <c r="R62" s="390">
        <v>6</v>
      </c>
      <c r="S62" s="390" t="s">
        <v>1658</v>
      </c>
      <c r="T62" s="390">
        <v>42</v>
      </c>
      <c r="U62" s="390" t="s">
        <v>1659</v>
      </c>
      <c r="V62" s="390">
        <v>2404</v>
      </c>
      <c r="W62" s="390" t="s">
        <v>1659</v>
      </c>
      <c r="X62" s="390">
        <v>60032</v>
      </c>
      <c r="Y62" s="390" t="s">
        <v>1659</v>
      </c>
      <c r="Z62" s="391" t="s">
        <v>1665</v>
      </c>
    </row>
    <row r="63" spans="2:26" ht="15.75" customHeight="1" x14ac:dyDescent="0.3">
      <c r="B63" s="387" t="s">
        <v>1375</v>
      </c>
      <c r="C63" s="388">
        <v>173</v>
      </c>
      <c r="D63" s="388" t="s">
        <v>1666</v>
      </c>
      <c r="E63" s="388" t="s">
        <v>1377</v>
      </c>
      <c r="F63" s="388" t="s">
        <v>1378</v>
      </c>
      <c r="G63" s="388" t="s">
        <v>1379</v>
      </c>
      <c r="H63" s="388" t="s">
        <v>1380</v>
      </c>
      <c r="I63" s="388" t="s">
        <v>1393</v>
      </c>
      <c r="J63" s="388" t="s">
        <v>1382</v>
      </c>
      <c r="K63" s="388" t="s">
        <v>1383</v>
      </c>
      <c r="L63" s="389">
        <v>171</v>
      </c>
      <c r="M63" s="390" t="s">
        <v>1667</v>
      </c>
      <c r="N63" s="390" t="s">
        <v>1668</v>
      </c>
      <c r="O63" s="390" t="s">
        <v>1657</v>
      </c>
      <c r="P63" s="390" t="s">
        <v>1387</v>
      </c>
      <c r="Q63" s="388" t="s">
        <v>1383</v>
      </c>
      <c r="R63" s="390">
        <v>6</v>
      </c>
      <c r="S63" s="390" t="s">
        <v>1658</v>
      </c>
      <c r="T63" s="390">
        <v>42</v>
      </c>
      <c r="U63" s="390" t="s">
        <v>1659</v>
      </c>
      <c r="V63" s="390">
        <v>2408</v>
      </c>
      <c r="W63" s="390" t="s">
        <v>1669</v>
      </c>
      <c r="X63" s="390">
        <v>60010</v>
      </c>
      <c r="Y63" s="390" t="s">
        <v>1670</v>
      </c>
      <c r="Z63" s="391" t="s">
        <v>1671</v>
      </c>
    </row>
    <row r="64" spans="2:26" ht="15.75" customHeight="1" x14ac:dyDescent="0.3">
      <c r="B64" s="387" t="s">
        <v>1375</v>
      </c>
      <c r="C64" s="388">
        <v>174</v>
      </c>
      <c r="D64" s="388" t="s">
        <v>1672</v>
      </c>
      <c r="E64" s="388" t="s">
        <v>1377</v>
      </c>
      <c r="F64" s="388" t="s">
        <v>1378</v>
      </c>
      <c r="G64" s="388" t="s">
        <v>1379</v>
      </c>
      <c r="H64" s="388" t="s">
        <v>1380</v>
      </c>
      <c r="I64" s="388" t="s">
        <v>1393</v>
      </c>
      <c r="J64" s="388" t="s">
        <v>1382</v>
      </c>
      <c r="K64" s="388" t="s">
        <v>1383</v>
      </c>
      <c r="L64" s="389">
        <v>196</v>
      </c>
      <c r="M64" s="390" t="s">
        <v>1673</v>
      </c>
      <c r="N64" s="390" t="s">
        <v>1674</v>
      </c>
      <c r="O64" s="390" t="s">
        <v>1657</v>
      </c>
      <c r="P64" s="390" t="s">
        <v>1387</v>
      </c>
      <c r="Q64" s="388" t="s">
        <v>1383</v>
      </c>
      <c r="R64" s="390">
        <v>6</v>
      </c>
      <c r="S64" s="390" t="s">
        <v>1658</v>
      </c>
      <c r="T64" s="390">
        <v>62</v>
      </c>
      <c r="U64" s="390" t="s">
        <v>1658</v>
      </c>
      <c r="V64" s="390">
        <v>2509</v>
      </c>
      <c r="W64" s="390" t="s">
        <v>1672</v>
      </c>
      <c r="X64" s="390">
        <v>60022</v>
      </c>
      <c r="Y64" s="390" t="s">
        <v>1672</v>
      </c>
      <c r="Z64" s="391" t="s">
        <v>1675</v>
      </c>
    </row>
    <row r="65" spans="2:26" ht="15.75" customHeight="1" x14ac:dyDescent="0.3">
      <c r="B65" s="387" t="s">
        <v>1375</v>
      </c>
      <c r="C65" s="388">
        <v>175</v>
      </c>
      <c r="D65" s="388" t="s">
        <v>1676</v>
      </c>
      <c r="E65" s="388" t="s">
        <v>1377</v>
      </c>
      <c r="F65" s="388" t="s">
        <v>1378</v>
      </c>
      <c r="G65" s="388" t="s">
        <v>1379</v>
      </c>
      <c r="H65" s="388" t="s">
        <v>1380</v>
      </c>
      <c r="I65" s="388" t="s">
        <v>1393</v>
      </c>
      <c r="J65" s="388" t="s">
        <v>1382</v>
      </c>
      <c r="K65" s="388" t="s">
        <v>1383</v>
      </c>
      <c r="L65" s="389">
        <v>105</v>
      </c>
      <c r="M65" s="390" t="s">
        <v>1677</v>
      </c>
      <c r="N65" s="390" t="s">
        <v>1678</v>
      </c>
      <c r="O65" s="390" t="s">
        <v>1657</v>
      </c>
      <c r="P65" s="390" t="s">
        <v>1387</v>
      </c>
      <c r="Q65" s="388" t="s">
        <v>1383</v>
      </c>
      <c r="R65" s="390">
        <v>6</v>
      </c>
      <c r="S65" s="390" t="s">
        <v>1658</v>
      </c>
      <c r="T65" s="390">
        <v>62</v>
      </c>
      <c r="U65" s="390" t="s">
        <v>1658</v>
      </c>
      <c r="V65" s="390">
        <v>2205</v>
      </c>
      <c r="W65" s="390" t="s">
        <v>1676</v>
      </c>
      <c r="X65" s="390">
        <v>60036</v>
      </c>
      <c r="Y65" s="390" t="s">
        <v>1679</v>
      </c>
      <c r="Z65" s="391" t="s">
        <v>1680</v>
      </c>
    </row>
    <row r="66" spans="2:26" ht="15.75" customHeight="1" x14ac:dyDescent="0.3">
      <c r="B66" s="387" t="s">
        <v>1375</v>
      </c>
      <c r="C66" s="388">
        <v>176</v>
      </c>
      <c r="D66" s="388" t="s">
        <v>1658</v>
      </c>
      <c r="E66" s="388" t="s">
        <v>1377</v>
      </c>
      <c r="F66" s="388" t="s">
        <v>1378</v>
      </c>
      <c r="G66" s="388" t="s">
        <v>1379</v>
      </c>
      <c r="H66" s="388" t="s">
        <v>1380</v>
      </c>
      <c r="I66" s="388" t="s">
        <v>1393</v>
      </c>
      <c r="J66" s="388" t="s">
        <v>1382</v>
      </c>
      <c r="K66" s="388" t="s">
        <v>1383</v>
      </c>
      <c r="L66" s="389">
        <v>160</v>
      </c>
      <c r="M66" s="390" t="s">
        <v>1681</v>
      </c>
      <c r="N66" s="390" t="s">
        <v>1682</v>
      </c>
      <c r="O66" s="390" t="s">
        <v>1657</v>
      </c>
      <c r="P66" s="390" t="s">
        <v>1387</v>
      </c>
      <c r="Q66" s="388" t="s">
        <v>1383</v>
      </c>
      <c r="R66" s="390">
        <v>6</v>
      </c>
      <c r="S66" s="390" t="s">
        <v>1658</v>
      </c>
      <c r="T66" s="390">
        <v>62</v>
      </c>
      <c r="U66" s="390" t="s">
        <v>1658</v>
      </c>
      <c r="V66" s="390">
        <v>2508</v>
      </c>
      <c r="W66" s="390" t="s">
        <v>1658</v>
      </c>
      <c r="X66" s="390">
        <v>60031</v>
      </c>
      <c r="Y66" s="390" t="s">
        <v>1658</v>
      </c>
      <c r="Z66" s="391" t="s">
        <v>1683</v>
      </c>
    </row>
    <row r="67" spans="2:26" ht="15.75" customHeight="1" x14ac:dyDescent="0.3">
      <c r="B67" s="387" t="s">
        <v>1375</v>
      </c>
      <c r="C67" s="388">
        <v>196</v>
      </c>
      <c r="D67" s="388" t="s">
        <v>1684</v>
      </c>
      <c r="E67" s="388" t="s">
        <v>1377</v>
      </c>
      <c r="F67" s="388" t="s">
        <v>1378</v>
      </c>
      <c r="G67" s="388" t="s">
        <v>1379</v>
      </c>
      <c r="H67" s="388" t="s">
        <v>1380</v>
      </c>
      <c r="I67" s="388" t="s">
        <v>1393</v>
      </c>
      <c r="J67" s="388" t="s">
        <v>1382</v>
      </c>
      <c r="K67" s="388" t="s">
        <v>1383</v>
      </c>
      <c r="L67" s="389">
        <v>246</v>
      </c>
      <c r="M67" s="390" t="s">
        <v>1685</v>
      </c>
      <c r="N67" s="390" t="s">
        <v>1686</v>
      </c>
      <c r="O67" s="390" t="s">
        <v>1474</v>
      </c>
      <c r="P67" s="390" t="s">
        <v>1387</v>
      </c>
      <c r="Q67" s="388" t="s">
        <v>1383</v>
      </c>
      <c r="R67" s="390">
        <v>7</v>
      </c>
      <c r="S67" s="390" t="s">
        <v>1687</v>
      </c>
      <c r="T67" s="390">
        <v>85</v>
      </c>
      <c r="U67" s="390" t="s">
        <v>1688</v>
      </c>
      <c r="V67" s="390">
        <v>4539</v>
      </c>
      <c r="W67" s="390" t="s">
        <v>1689</v>
      </c>
      <c r="X67" s="390">
        <v>70111</v>
      </c>
      <c r="Y67" s="390" t="s">
        <v>1690</v>
      </c>
      <c r="Z67" s="391" t="s">
        <v>1691</v>
      </c>
    </row>
    <row r="68" spans="2:26" ht="15.75" customHeight="1" x14ac:dyDescent="0.3">
      <c r="B68" s="387" t="s">
        <v>1375</v>
      </c>
      <c r="C68" s="388">
        <v>210</v>
      </c>
      <c r="D68" s="388" t="s">
        <v>1692</v>
      </c>
      <c r="E68" s="388" t="s">
        <v>1377</v>
      </c>
      <c r="F68" s="388" t="s">
        <v>1378</v>
      </c>
      <c r="G68" s="388" t="s">
        <v>1379</v>
      </c>
      <c r="H68" s="388" t="s">
        <v>1380</v>
      </c>
      <c r="I68" s="388" t="s">
        <v>1381</v>
      </c>
      <c r="J68" s="388" t="s">
        <v>1382</v>
      </c>
      <c r="K68" s="388" t="s">
        <v>1383</v>
      </c>
      <c r="L68" s="389">
        <v>55</v>
      </c>
      <c r="M68" s="390" t="s">
        <v>1693</v>
      </c>
      <c r="N68" s="390" t="s">
        <v>1694</v>
      </c>
      <c r="O68" s="390" t="s">
        <v>1482</v>
      </c>
      <c r="P68" s="390" t="s">
        <v>1387</v>
      </c>
      <c r="Q68" s="388" t="s">
        <v>1383</v>
      </c>
      <c r="R68" s="390">
        <v>12</v>
      </c>
      <c r="S68" s="390" t="s">
        <v>1695</v>
      </c>
      <c r="T68" s="390">
        <v>103</v>
      </c>
      <c r="U68" s="390" t="s">
        <v>1696</v>
      </c>
      <c r="V68" s="390">
        <v>5104</v>
      </c>
      <c r="W68" s="390" t="s">
        <v>1692</v>
      </c>
      <c r="X68" s="390">
        <v>120009</v>
      </c>
      <c r="Y68" s="390" t="s">
        <v>1692</v>
      </c>
      <c r="Z68" s="391" t="s">
        <v>1697</v>
      </c>
    </row>
    <row r="69" spans="2:26" ht="15.75" customHeight="1" x14ac:dyDescent="0.3">
      <c r="B69" s="387" t="s">
        <v>1375</v>
      </c>
      <c r="C69" s="388">
        <v>211</v>
      </c>
      <c r="D69" s="388" t="s">
        <v>1698</v>
      </c>
      <c r="E69" s="388" t="s">
        <v>1377</v>
      </c>
      <c r="F69" s="388" t="s">
        <v>1378</v>
      </c>
      <c r="G69" s="388" t="s">
        <v>1439</v>
      </c>
      <c r="H69" s="388" t="s">
        <v>1380</v>
      </c>
      <c r="I69" s="388" t="s">
        <v>1699</v>
      </c>
      <c r="J69" s="388" t="s">
        <v>1382</v>
      </c>
      <c r="K69" s="388" t="s">
        <v>1383</v>
      </c>
      <c r="L69" s="389">
        <v>0</v>
      </c>
      <c r="M69" s="390" t="s">
        <v>1700</v>
      </c>
      <c r="N69" s="390" t="s">
        <v>1699</v>
      </c>
      <c r="O69" s="390" t="s">
        <v>1699</v>
      </c>
      <c r="P69" s="390" t="s">
        <v>1383</v>
      </c>
      <c r="Q69" s="388" t="s">
        <v>1383</v>
      </c>
      <c r="R69" s="390">
        <v>12</v>
      </c>
      <c r="S69" s="390" t="s">
        <v>1695</v>
      </c>
      <c r="T69" s="390">
        <v>22</v>
      </c>
      <c r="U69" s="390" t="s">
        <v>1701</v>
      </c>
      <c r="V69" s="390">
        <v>5202</v>
      </c>
      <c r="W69" s="390" t="s">
        <v>1701</v>
      </c>
      <c r="X69" s="390">
        <v>120007</v>
      </c>
      <c r="Y69" s="390" t="s">
        <v>1702</v>
      </c>
      <c r="Z69" s="391" t="s">
        <v>1703</v>
      </c>
    </row>
    <row r="70" spans="2:26" ht="15.75" customHeight="1" x14ac:dyDescent="0.3">
      <c r="B70" s="387" t="s">
        <v>1375</v>
      </c>
      <c r="C70" s="388">
        <v>212</v>
      </c>
      <c r="D70" s="388" t="s">
        <v>1704</v>
      </c>
      <c r="E70" s="388" t="s">
        <v>1377</v>
      </c>
      <c r="F70" s="388" t="s">
        <v>1378</v>
      </c>
      <c r="G70" s="388" t="s">
        <v>1379</v>
      </c>
      <c r="H70" s="388" t="s">
        <v>1380</v>
      </c>
      <c r="I70" s="388" t="s">
        <v>1393</v>
      </c>
      <c r="J70" s="388" t="s">
        <v>1382</v>
      </c>
      <c r="K70" s="388" t="s">
        <v>1383</v>
      </c>
      <c r="L70" s="389">
        <v>100</v>
      </c>
      <c r="M70" s="390" t="s">
        <v>1705</v>
      </c>
      <c r="N70" s="390" t="s">
        <v>1706</v>
      </c>
      <c r="O70" s="390" t="s">
        <v>1482</v>
      </c>
      <c r="P70" s="390" t="s">
        <v>1387</v>
      </c>
      <c r="Q70" s="388" t="s">
        <v>1383</v>
      </c>
      <c r="R70" s="390">
        <v>12</v>
      </c>
      <c r="S70" s="390" t="s">
        <v>1695</v>
      </c>
      <c r="T70" s="390">
        <v>21</v>
      </c>
      <c r="U70" s="390" t="s">
        <v>1707</v>
      </c>
      <c r="V70" s="390">
        <v>5307</v>
      </c>
      <c r="W70" s="390" t="s">
        <v>1707</v>
      </c>
      <c r="X70" s="390">
        <v>120030</v>
      </c>
      <c r="Y70" s="390" t="s">
        <v>1707</v>
      </c>
      <c r="Z70" s="391" t="s">
        <v>1708</v>
      </c>
    </row>
    <row r="71" spans="2:26" ht="15.75" customHeight="1" x14ac:dyDescent="0.3">
      <c r="B71" s="387" t="s">
        <v>1375</v>
      </c>
      <c r="C71" s="388">
        <v>213</v>
      </c>
      <c r="D71" s="388" t="s">
        <v>1709</v>
      </c>
      <c r="E71" s="388" t="s">
        <v>1377</v>
      </c>
      <c r="F71" s="388" t="s">
        <v>1378</v>
      </c>
      <c r="G71" s="388" t="s">
        <v>1379</v>
      </c>
      <c r="H71" s="388" t="s">
        <v>1380</v>
      </c>
      <c r="I71" s="388" t="s">
        <v>1393</v>
      </c>
      <c r="J71" s="388" t="s">
        <v>1382</v>
      </c>
      <c r="K71" s="388" t="s">
        <v>1383</v>
      </c>
      <c r="L71" s="389">
        <v>178</v>
      </c>
      <c r="M71" s="390" t="s">
        <v>1710</v>
      </c>
      <c r="N71" s="390" t="s">
        <v>1706</v>
      </c>
      <c r="O71" s="390" t="s">
        <v>1482</v>
      </c>
      <c r="P71" s="390" t="s">
        <v>1387</v>
      </c>
      <c r="Q71" s="388" t="s">
        <v>1383</v>
      </c>
      <c r="R71" s="390">
        <v>12</v>
      </c>
      <c r="S71" s="390" t="s">
        <v>1695</v>
      </c>
      <c r="T71" s="390">
        <v>98</v>
      </c>
      <c r="U71" s="390" t="s">
        <v>1711</v>
      </c>
      <c r="V71" s="390">
        <v>7405</v>
      </c>
      <c r="W71" s="390" t="s">
        <v>1712</v>
      </c>
      <c r="X71" s="390">
        <v>120066</v>
      </c>
      <c r="Y71" s="390" t="s">
        <v>1713</v>
      </c>
      <c r="Z71" s="391" t="s">
        <v>1714</v>
      </c>
    </row>
    <row r="72" spans="2:26" ht="15.75" customHeight="1" x14ac:dyDescent="0.3">
      <c r="B72" s="387" t="s">
        <v>1375</v>
      </c>
      <c r="C72" s="388">
        <v>218</v>
      </c>
      <c r="D72" s="388" t="s">
        <v>1715</v>
      </c>
      <c r="E72" s="388" t="s">
        <v>1377</v>
      </c>
      <c r="F72" s="388" t="s">
        <v>1378</v>
      </c>
      <c r="G72" s="388" t="s">
        <v>1379</v>
      </c>
      <c r="H72" s="388" t="s">
        <v>1380</v>
      </c>
      <c r="I72" s="388" t="s">
        <v>1393</v>
      </c>
      <c r="J72" s="388" t="s">
        <v>1382</v>
      </c>
      <c r="K72" s="388" t="s">
        <v>1383</v>
      </c>
      <c r="L72" s="389">
        <v>184</v>
      </c>
      <c r="M72" s="390" t="s">
        <v>1716</v>
      </c>
      <c r="N72" s="390" t="s">
        <v>1717</v>
      </c>
      <c r="O72" s="390" t="s">
        <v>1386</v>
      </c>
      <c r="P72" s="390" t="s">
        <v>1387</v>
      </c>
      <c r="Q72" s="388" t="s">
        <v>1383</v>
      </c>
      <c r="R72" s="390">
        <v>14</v>
      </c>
      <c r="S72" s="390" t="s">
        <v>1718</v>
      </c>
      <c r="T72" s="390">
        <v>102</v>
      </c>
      <c r="U72" s="390" t="s">
        <v>1719</v>
      </c>
      <c r="V72" s="390">
        <v>4101</v>
      </c>
      <c r="W72" s="390" t="s">
        <v>1720</v>
      </c>
      <c r="X72" s="390">
        <v>140014</v>
      </c>
      <c r="Y72" s="390" t="s">
        <v>1720</v>
      </c>
      <c r="Z72" s="391" t="s">
        <v>1721</v>
      </c>
    </row>
    <row r="73" spans="2:26" ht="15.75" customHeight="1" x14ac:dyDescent="0.3">
      <c r="B73" s="387" t="s">
        <v>1375</v>
      </c>
      <c r="C73" s="388">
        <v>222</v>
      </c>
      <c r="D73" s="388" t="s">
        <v>1722</v>
      </c>
      <c r="E73" s="388" t="s">
        <v>1377</v>
      </c>
      <c r="F73" s="388" t="s">
        <v>1418</v>
      </c>
      <c r="G73" s="388" t="s">
        <v>1379</v>
      </c>
      <c r="H73" s="388" t="s">
        <v>1380</v>
      </c>
      <c r="I73" s="388" t="s">
        <v>1419</v>
      </c>
      <c r="J73" s="388" t="s">
        <v>1420</v>
      </c>
      <c r="K73" s="388" t="s">
        <v>1383</v>
      </c>
      <c r="L73" s="389">
        <v>70</v>
      </c>
      <c r="M73" s="390" t="s">
        <v>1723</v>
      </c>
      <c r="N73" s="390" t="s">
        <v>1724</v>
      </c>
      <c r="O73" s="390" t="s">
        <v>1634</v>
      </c>
      <c r="P73" s="390" t="s">
        <v>1383</v>
      </c>
      <c r="Q73" s="388" t="s">
        <v>1383</v>
      </c>
      <c r="R73" s="390">
        <v>14</v>
      </c>
      <c r="S73" s="390" t="s">
        <v>1718</v>
      </c>
      <c r="T73" s="390">
        <v>102</v>
      </c>
      <c r="U73" s="390" t="s">
        <v>1719</v>
      </c>
      <c r="V73" s="390">
        <v>6104</v>
      </c>
      <c r="W73" s="390" t="s">
        <v>1725</v>
      </c>
      <c r="X73" s="390">
        <v>140009</v>
      </c>
      <c r="Y73" s="390" t="s">
        <v>1725</v>
      </c>
      <c r="Z73" s="391" t="s">
        <v>1726</v>
      </c>
    </row>
    <row r="74" spans="2:26" ht="15.75" customHeight="1" x14ac:dyDescent="0.3">
      <c r="B74" s="387" t="s">
        <v>1375</v>
      </c>
      <c r="C74" s="388">
        <v>224</v>
      </c>
      <c r="D74" s="388" t="s">
        <v>1727</v>
      </c>
      <c r="E74" s="388" t="s">
        <v>1377</v>
      </c>
      <c r="F74" s="388" t="s">
        <v>1418</v>
      </c>
      <c r="G74" s="388" t="s">
        <v>1379</v>
      </c>
      <c r="H74" s="388" t="s">
        <v>1380</v>
      </c>
      <c r="I74" s="388" t="s">
        <v>1419</v>
      </c>
      <c r="J74" s="388" t="s">
        <v>1420</v>
      </c>
      <c r="K74" s="388" t="s">
        <v>1383</v>
      </c>
      <c r="L74" s="389">
        <v>105</v>
      </c>
      <c r="M74" s="390" t="s">
        <v>1728</v>
      </c>
      <c r="N74" s="390" t="s">
        <v>1729</v>
      </c>
      <c r="O74" s="392" t="s">
        <v>1730</v>
      </c>
      <c r="P74" s="390" t="s">
        <v>1383</v>
      </c>
      <c r="Q74" s="388" t="s">
        <v>1383</v>
      </c>
      <c r="R74" s="390">
        <v>14</v>
      </c>
      <c r="S74" s="390" t="s">
        <v>1718</v>
      </c>
      <c r="T74" s="390">
        <v>102</v>
      </c>
      <c r="U74" s="390" t="s">
        <v>1719</v>
      </c>
      <c r="V74" s="390">
        <v>6104</v>
      </c>
      <c r="W74" s="390" t="s">
        <v>1725</v>
      </c>
      <c r="X74" s="390">
        <v>140009</v>
      </c>
      <c r="Y74" s="390" t="s">
        <v>1725</v>
      </c>
      <c r="Z74" s="391" t="s">
        <v>1731</v>
      </c>
    </row>
    <row r="75" spans="2:26" ht="15.75" customHeight="1" x14ac:dyDescent="0.3">
      <c r="B75" s="387" t="s">
        <v>1375</v>
      </c>
      <c r="C75" s="388">
        <v>229</v>
      </c>
      <c r="D75" s="388" t="s">
        <v>1732</v>
      </c>
      <c r="E75" s="388" t="s">
        <v>1377</v>
      </c>
      <c r="F75" s="388" t="s">
        <v>1378</v>
      </c>
      <c r="G75" s="388" t="s">
        <v>1379</v>
      </c>
      <c r="H75" s="388" t="s">
        <v>1380</v>
      </c>
      <c r="I75" s="388" t="s">
        <v>1381</v>
      </c>
      <c r="J75" s="388" t="s">
        <v>1382</v>
      </c>
      <c r="K75" s="388" t="s">
        <v>1383</v>
      </c>
      <c r="L75" s="389">
        <v>185</v>
      </c>
      <c r="M75" s="390" t="s">
        <v>1733</v>
      </c>
      <c r="N75" s="390" t="s">
        <v>1734</v>
      </c>
      <c r="O75" s="390" t="s">
        <v>1482</v>
      </c>
      <c r="P75" s="390" t="s">
        <v>1387</v>
      </c>
      <c r="Q75" s="388" t="s">
        <v>1383</v>
      </c>
      <c r="R75" s="390">
        <v>15</v>
      </c>
      <c r="S75" s="390" t="s">
        <v>1735</v>
      </c>
      <c r="T75" s="390">
        <v>38</v>
      </c>
      <c r="U75" s="390" t="s">
        <v>1736</v>
      </c>
      <c r="V75" s="390">
        <v>2302</v>
      </c>
      <c r="W75" s="390" t="s">
        <v>1737</v>
      </c>
      <c r="X75" s="390">
        <v>150024</v>
      </c>
      <c r="Y75" s="390" t="s">
        <v>1732</v>
      </c>
      <c r="Z75" s="391" t="s">
        <v>1738</v>
      </c>
    </row>
    <row r="76" spans="2:26" ht="15.75" customHeight="1" x14ac:dyDescent="0.3">
      <c r="B76" s="387" t="s">
        <v>1375</v>
      </c>
      <c r="C76" s="388">
        <v>230</v>
      </c>
      <c r="D76" s="388" t="s">
        <v>1736</v>
      </c>
      <c r="E76" s="388" t="s">
        <v>1377</v>
      </c>
      <c r="F76" s="388" t="s">
        <v>1378</v>
      </c>
      <c r="G76" s="388" t="s">
        <v>1379</v>
      </c>
      <c r="H76" s="388" t="s">
        <v>1380</v>
      </c>
      <c r="I76" s="388" t="s">
        <v>1530</v>
      </c>
      <c r="J76" s="388" t="s">
        <v>1382</v>
      </c>
      <c r="K76" s="388" t="s">
        <v>1383</v>
      </c>
      <c r="L76" s="389">
        <v>94</v>
      </c>
      <c r="M76" s="390" t="s">
        <v>1739</v>
      </c>
      <c r="N76" s="390" t="s">
        <v>1740</v>
      </c>
      <c r="O76" s="390" t="s">
        <v>1482</v>
      </c>
      <c r="P76" s="390" t="s">
        <v>1387</v>
      </c>
      <c r="Q76" s="388" t="s">
        <v>1383</v>
      </c>
      <c r="R76" s="390">
        <v>15</v>
      </c>
      <c r="S76" s="390" t="s">
        <v>1735</v>
      </c>
      <c r="T76" s="390">
        <v>38</v>
      </c>
      <c r="U76" s="390" t="s">
        <v>1736</v>
      </c>
      <c r="V76" s="390">
        <v>2104</v>
      </c>
      <c r="W76" s="390" t="s">
        <v>1741</v>
      </c>
      <c r="X76" s="390">
        <v>150014</v>
      </c>
      <c r="Y76" s="390" t="s">
        <v>1741</v>
      </c>
      <c r="Z76" s="391" t="s">
        <v>1742</v>
      </c>
    </row>
    <row r="77" spans="2:26" ht="15.75" customHeight="1" x14ac:dyDescent="0.3">
      <c r="B77" s="387" t="s">
        <v>1375</v>
      </c>
      <c r="C77" s="388">
        <v>232</v>
      </c>
      <c r="D77" s="388" t="s">
        <v>1743</v>
      </c>
      <c r="E77" s="388" t="s">
        <v>1377</v>
      </c>
      <c r="F77" s="388" t="s">
        <v>1378</v>
      </c>
      <c r="G77" s="388" t="s">
        <v>1379</v>
      </c>
      <c r="H77" s="388" t="s">
        <v>1380</v>
      </c>
      <c r="I77" s="388" t="s">
        <v>1393</v>
      </c>
      <c r="J77" s="388" t="s">
        <v>1382</v>
      </c>
      <c r="K77" s="388" t="s">
        <v>1383</v>
      </c>
      <c r="L77" s="389">
        <v>241</v>
      </c>
      <c r="M77" s="390" t="s">
        <v>1744</v>
      </c>
      <c r="N77" s="390" t="s">
        <v>1745</v>
      </c>
      <c r="O77" s="390" t="s">
        <v>1482</v>
      </c>
      <c r="P77" s="390" t="s">
        <v>1387</v>
      </c>
      <c r="Q77" s="388" t="s">
        <v>1383</v>
      </c>
      <c r="R77" s="390">
        <v>16</v>
      </c>
      <c r="S77" s="390" t="s">
        <v>1746</v>
      </c>
      <c r="T77" s="390">
        <v>40</v>
      </c>
      <c r="U77" s="390" t="s">
        <v>1747</v>
      </c>
      <c r="V77" s="390">
        <v>4209</v>
      </c>
      <c r="W77" s="390" t="s">
        <v>1748</v>
      </c>
      <c r="X77" s="390">
        <v>160058</v>
      </c>
      <c r="Y77" s="390" t="s">
        <v>1748</v>
      </c>
      <c r="Z77" s="391" t="s">
        <v>1749</v>
      </c>
    </row>
    <row r="78" spans="2:26" ht="15.75" customHeight="1" x14ac:dyDescent="0.3">
      <c r="B78" s="387" t="s">
        <v>1375</v>
      </c>
      <c r="C78" s="388">
        <v>233</v>
      </c>
      <c r="D78" s="388" t="s">
        <v>1750</v>
      </c>
      <c r="E78" s="388" t="s">
        <v>1377</v>
      </c>
      <c r="F78" s="388" t="s">
        <v>1378</v>
      </c>
      <c r="G78" s="388" t="s">
        <v>1379</v>
      </c>
      <c r="H78" s="388" t="s">
        <v>1380</v>
      </c>
      <c r="I78" s="388" t="s">
        <v>1393</v>
      </c>
      <c r="J78" s="388" t="s">
        <v>1382</v>
      </c>
      <c r="K78" s="388" t="s">
        <v>1383</v>
      </c>
      <c r="L78" s="389">
        <v>195</v>
      </c>
      <c r="M78" s="390" t="s">
        <v>1751</v>
      </c>
      <c r="N78" s="390" t="s">
        <v>1752</v>
      </c>
      <c r="O78" s="390" t="s">
        <v>1482</v>
      </c>
      <c r="P78" s="390" t="s">
        <v>1387</v>
      </c>
      <c r="Q78" s="388" t="s">
        <v>1383</v>
      </c>
      <c r="R78" s="390">
        <v>16</v>
      </c>
      <c r="S78" s="390" t="s">
        <v>1746</v>
      </c>
      <c r="T78" s="390">
        <v>43</v>
      </c>
      <c r="U78" s="390" t="s">
        <v>1753</v>
      </c>
      <c r="V78" s="390">
        <v>4305</v>
      </c>
      <c r="W78" s="390" t="s">
        <v>1754</v>
      </c>
      <c r="X78" s="390">
        <v>160035</v>
      </c>
      <c r="Y78" s="390" t="s">
        <v>1754</v>
      </c>
      <c r="Z78" s="391" t="s">
        <v>1755</v>
      </c>
    </row>
    <row r="79" spans="2:26" ht="15.75" customHeight="1" x14ac:dyDescent="0.3">
      <c r="B79" s="387" t="s">
        <v>1375</v>
      </c>
      <c r="C79" s="388">
        <v>234</v>
      </c>
      <c r="D79" s="388" t="s">
        <v>1756</v>
      </c>
      <c r="E79" s="388" t="s">
        <v>1377</v>
      </c>
      <c r="F79" s="388" t="s">
        <v>1378</v>
      </c>
      <c r="G79" s="388" t="s">
        <v>1379</v>
      </c>
      <c r="H79" s="388" t="s">
        <v>1380</v>
      </c>
      <c r="I79" s="388" t="s">
        <v>1393</v>
      </c>
      <c r="J79" s="388" t="s">
        <v>1382</v>
      </c>
      <c r="K79" s="388" t="s">
        <v>1383</v>
      </c>
      <c r="L79" s="389">
        <v>110</v>
      </c>
      <c r="M79" s="390" t="s">
        <v>1757</v>
      </c>
      <c r="N79" s="390" t="s">
        <v>1758</v>
      </c>
      <c r="O79" s="390" t="s">
        <v>1482</v>
      </c>
      <c r="P79" s="390" t="s">
        <v>1387</v>
      </c>
      <c r="Q79" s="388" t="s">
        <v>1383</v>
      </c>
      <c r="R79" s="390">
        <v>16</v>
      </c>
      <c r="S79" s="390" t="s">
        <v>1746</v>
      </c>
      <c r="T79" s="390">
        <v>41</v>
      </c>
      <c r="U79" s="390" t="s">
        <v>1759</v>
      </c>
      <c r="V79" s="390">
        <v>4409</v>
      </c>
      <c r="W79" s="390" t="s">
        <v>1760</v>
      </c>
      <c r="X79" s="390">
        <v>160028</v>
      </c>
      <c r="Y79" s="390" t="s">
        <v>1761</v>
      </c>
      <c r="Z79" s="391" t="s">
        <v>1762</v>
      </c>
    </row>
    <row r="80" spans="2:26" ht="15.75" customHeight="1" x14ac:dyDescent="0.3">
      <c r="B80" s="387" t="s">
        <v>1375</v>
      </c>
      <c r="C80" s="388">
        <v>235</v>
      </c>
      <c r="D80" s="388" t="s">
        <v>1735</v>
      </c>
      <c r="E80" s="388" t="s">
        <v>1377</v>
      </c>
      <c r="F80" s="388" t="s">
        <v>1378</v>
      </c>
      <c r="G80" s="388" t="s">
        <v>1379</v>
      </c>
      <c r="H80" s="388" t="s">
        <v>1380</v>
      </c>
      <c r="I80" s="388" t="s">
        <v>1393</v>
      </c>
      <c r="J80" s="388" t="s">
        <v>1382</v>
      </c>
      <c r="K80" s="388" t="s">
        <v>1383</v>
      </c>
      <c r="L80" s="389">
        <v>132</v>
      </c>
      <c r="M80" s="390" t="s">
        <v>1763</v>
      </c>
      <c r="N80" s="390" t="s">
        <v>1764</v>
      </c>
      <c r="O80" s="390" t="s">
        <v>1482</v>
      </c>
      <c r="P80" s="390" t="s">
        <v>1387</v>
      </c>
      <c r="Q80" s="388" t="s">
        <v>1383</v>
      </c>
      <c r="R80" s="390">
        <v>16</v>
      </c>
      <c r="S80" s="390" t="s">
        <v>1746</v>
      </c>
      <c r="T80" s="390">
        <v>111</v>
      </c>
      <c r="U80" s="390" t="s">
        <v>1746</v>
      </c>
      <c r="V80" s="390">
        <v>6215</v>
      </c>
      <c r="W80" s="390" t="s">
        <v>1746</v>
      </c>
      <c r="X80" s="390">
        <v>160048</v>
      </c>
      <c r="Y80" s="390" t="s">
        <v>1746</v>
      </c>
      <c r="Z80" s="391" t="s">
        <v>1765</v>
      </c>
    </row>
    <row r="81" spans="2:26" ht="15.75" customHeight="1" x14ac:dyDescent="0.3">
      <c r="B81" s="387" t="s">
        <v>1375</v>
      </c>
      <c r="C81" s="388">
        <v>237</v>
      </c>
      <c r="D81" s="388" t="s">
        <v>1766</v>
      </c>
      <c r="E81" s="388" t="s">
        <v>1377</v>
      </c>
      <c r="F81" s="388" t="s">
        <v>1378</v>
      </c>
      <c r="G81" s="388" t="s">
        <v>1379</v>
      </c>
      <c r="H81" s="388" t="s">
        <v>1380</v>
      </c>
      <c r="I81" s="388" t="s">
        <v>1393</v>
      </c>
      <c r="J81" s="388" t="s">
        <v>1382</v>
      </c>
      <c r="K81" s="388" t="s">
        <v>1383</v>
      </c>
      <c r="L81" s="389">
        <v>62</v>
      </c>
      <c r="M81" s="390" t="s">
        <v>1767</v>
      </c>
      <c r="N81" s="390" t="s">
        <v>1768</v>
      </c>
      <c r="O81" s="390" t="s">
        <v>1482</v>
      </c>
      <c r="P81" s="390" t="s">
        <v>1387</v>
      </c>
      <c r="Q81" s="388" t="s">
        <v>1383</v>
      </c>
      <c r="R81" s="390">
        <v>16</v>
      </c>
      <c r="S81" s="390" t="s">
        <v>1746</v>
      </c>
      <c r="T81" s="390">
        <v>40</v>
      </c>
      <c r="U81" s="390" t="s">
        <v>1747</v>
      </c>
      <c r="V81" s="390">
        <v>4205</v>
      </c>
      <c r="W81" s="390" t="s">
        <v>1769</v>
      </c>
      <c r="X81" s="390">
        <v>160047</v>
      </c>
      <c r="Y81" s="390" t="s">
        <v>1769</v>
      </c>
      <c r="Z81" s="391" t="s">
        <v>1770</v>
      </c>
    </row>
    <row r="82" spans="2:26" ht="15.75" customHeight="1" x14ac:dyDescent="0.3">
      <c r="B82" s="387" t="s">
        <v>1375</v>
      </c>
      <c r="C82" s="388">
        <v>238</v>
      </c>
      <c r="D82" s="388" t="s">
        <v>1771</v>
      </c>
      <c r="E82" s="388" t="s">
        <v>1377</v>
      </c>
      <c r="F82" s="388" t="s">
        <v>1378</v>
      </c>
      <c r="G82" s="388" t="s">
        <v>1379</v>
      </c>
      <c r="H82" s="388" t="s">
        <v>1380</v>
      </c>
      <c r="I82" s="388" t="s">
        <v>1393</v>
      </c>
      <c r="J82" s="388" t="s">
        <v>1382</v>
      </c>
      <c r="K82" s="388" t="s">
        <v>1383</v>
      </c>
      <c r="L82" s="389">
        <v>50</v>
      </c>
      <c r="M82" s="390" t="s">
        <v>1772</v>
      </c>
      <c r="N82" s="390" t="s">
        <v>1773</v>
      </c>
      <c r="O82" s="390" t="s">
        <v>1482</v>
      </c>
      <c r="P82" s="390" t="s">
        <v>1387</v>
      </c>
      <c r="Q82" s="388" t="s">
        <v>1383</v>
      </c>
      <c r="R82" s="390">
        <v>16</v>
      </c>
      <c r="S82" s="390" t="s">
        <v>1746</v>
      </c>
      <c r="T82" s="390">
        <v>40</v>
      </c>
      <c r="U82" s="390" t="s">
        <v>1747</v>
      </c>
      <c r="V82" s="390">
        <v>4205</v>
      </c>
      <c r="W82" s="390" t="s">
        <v>1769</v>
      </c>
      <c r="X82" s="390">
        <v>160047</v>
      </c>
      <c r="Y82" s="390" t="s">
        <v>1769</v>
      </c>
      <c r="Z82" s="391" t="s">
        <v>1774</v>
      </c>
    </row>
    <row r="83" spans="2:26" ht="15.75" customHeight="1" x14ac:dyDescent="0.3">
      <c r="B83" s="387" t="s">
        <v>1375</v>
      </c>
      <c r="C83" s="388">
        <v>239</v>
      </c>
      <c r="D83" s="388" t="s">
        <v>1775</v>
      </c>
      <c r="E83" s="388" t="s">
        <v>1377</v>
      </c>
      <c r="F83" s="388" t="s">
        <v>1378</v>
      </c>
      <c r="G83" s="388" t="s">
        <v>1379</v>
      </c>
      <c r="H83" s="388" t="s">
        <v>1380</v>
      </c>
      <c r="I83" s="388" t="s">
        <v>1393</v>
      </c>
      <c r="J83" s="388" t="s">
        <v>1382</v>
      </c>
      <c r="K83" s="388" t="s">
        <v>1383</v>
      </c>
      <c r="L83" s="389">
        <v>134</v>
      </c>
      <c r="M83" s="390" t="s">
        <v>1776</v>
      </c>
      <c r="N83" s="390" t="s">
        <v>1777</v>
      </c>
      <c r="O83" s="390" t="s">
        <v>1482</v>
      </c>
      <c r="P83" s="390" t="s">
        <v>1387</v>
      </c>
      <c r="Q83" s="388" t="s">
        <v>1383</v>
      </c>
      <c r="R83" s="390">
        <v>16</v>
      </c>
      <c r="S83" s="390" t="s">
        <v>1746</v>
      </c>
      <c r="T83" s="390">
        <v>43</v>
      </c>
      <c r="U83" s="390" t="s">
        <v>1753</v>
      </c>
      <c r="V83" s="390">
        <v>4307</v>
      </c>
      <c r="W83" s="390" t="s">
        <v>1778</v>
      </c>
      <c r="X83" s="390">
        <v>160053</v>
      </c>
      <c r="Y83" s="390" t="s">
        <v>1778</v>
      </c>
      <c r="Z83" s="391" t="s">
        <v>1779</v>
      </c>
    </row>
    <row r="84" spans="2:26" ht="15.75" customHeight="1" x14ac:dyDescent="0.3">
      <c r="B84" s="387" t="s">
        <v>1375</v>
      </c>
      <c r="C84" s="388">
        <v>245</v>
      </c>
      <c r="D84" s="388" t="s">
        <v>1780</v>
      </c>
      <c r="E84" s="388" t="s">
        <v>1377</v>
      </c>
      <c r="F84" s="388" t="s">
        <v>1418</v>
      </c>
      <c r="G84" s="388" t="s">
        <v>1379</v>
      </c>
      <c r="H84" s="388" t="s">
        <v>1380</v>
      </c>
      <c r="I84" s="388" t="s">
        <v>1419</v>
      </c>
      <c r="J84" s="388" t="s">
        <v>1420</v>
      </c>
      <c r="K84" s="388" t="s">
        <v>1383</v>
      </c>
      <c r="L84" s="389">
        <v>90</v>
      </c>
      <c r="M84" s="390" t="s">
        <v>1781</v>
      </c>
      <c r="N84" s="390" t="s">
        <v>1782</v>
      </c>
      <c r="O84" s="390" t="s">
        <v>1634</v>
      </c>
      <c r="P84" s="390" t="s">
        <v>1383</v>
      </c>
      <c r="Q84" s="388" t="s">
        <v>1383</v>
      </c>
      <c r="R84" s="390">
        <v>17</v>
      </c>
      <c r="S84" s="390" t="s">
        <v>1783</v>
      </c>
      <c r="T84" s="390">
        <v>94</v>
      </c>
      <c r="U84" s="390" t="s">
        <v>1784</v>
      </c>
      <c r="V84" s="390">
        <v>3106</v>
      </c>
      <c r="W84" s="390" t="s">
        <v>1785</v>
      </c>
      <c r="X84" s="390">
        <v>170002</v>
      </c>
      <c r="Y84" s="390" t="s">
        <v>1785</v>
      </c>
      <c r="Z84" s="391" t="s">
        <v>1786</v>
      </c>
    </row>
    <row r="85" spans="2:26" ht="15.75" customHeight="1" x14ac:dyDescent="0.3">
      <c r="B85" s="387" t="s">
        <v>1375</v>
      </c>
      <c r="C85" s="388">
        <v>251</v>
      </c>
      <c r="D85" s="388" t="s">
        <v>1787</v>
      </c>
      <c r="E85" s="388" t="s">
        <v>1377</v>
      </c>
      <c r="F85" s="388" t="s">
        <v>1378</v>
      </c>
      <c r="G85" s="388" t="s">
        <v>1379</v>
      </c>
      <c r="H85" s="388" t="s">
        <v>1380</v>
      </c>
      <c r="I85" s="388" t="s">
        <v>1381</v>
      </c>
      <c r="J85" s="388" t="s">
        <v>1382</v>
      </c>
      <c r="K85" s="388" t="s">
        <v>1383</v>
      </c>
      <c r="L85" s="389">
        <v>75</v>
      </c>
      <c r="M85" s="390" t="s">
        <v>1788</v>
      </c>
      <c r="N85" s="390" t="s">
        <v>1789</v>
      </c>
      <c r="O85" s="390" t="s">
        <v>1465</v>
      </c>
      <c r="P85" s="390" t="s">
        <v>1387</v>
      </c>
      <c r="Q85" s="388" t="s">
        <v>1383</v>
      </c>
      <c r="R85" s="390">
        <v>18</v>
      </c>
      <c r="S85" s="390" t="s">
        <v>1790</v>
      </c>
      <c r="T85" s="390">
        <v>54</v>
      </c>
      <c r="U85" s="390" t="s">
        <v>1791</v>
      </c>
      <c r="V85" s="390">
        <v>1415</v>
      </c>
      <c r="W85" s="390" t="s">
        <v>1792</v>
      </c>
      <c r="X85" s="390">
        <v>180041</v>
      </c>
      <c r="Y85" s="390" t="s">
        <v>1793</v>
      </c>
      <c r="Z85" s="391" t="s">
        <v>1794</v>
      </c>
    </row>
    <row r="86" spans="2:26" ht="15.75" customHeight="1" x14ac:dyDescent="0.3">
      <c r="B86" s="387" t="s">
        <v>1375</v>
      </c>
      <c r="C86" s="388">
        <v>256</v>
      </c>
      <c r="D86" s="388" t="s">
        <v>1795</v>
      </c>
      <c r="E86" s="388" t="s">
        <v>1377</v>
      </c>
      <c r="F86" s="388" t="s">
        <v>1378</v>
      </c>
      <c r="G86" s="388" t="s">
        <v>1379</v>
      </c>
      <c r="H86" s="388" t="s">
        <v>1471</v>
      </c>
      <c r="I86" s="388" t="s">
        <v>1440</v>
      </c>
      <c r="J86" s="388" t="s">
        <v>1382</v>
      </c>
      <c r="K86" s="388" t="s">
        <v>1383</v>
      </c>
      <c r="L86" s="389">
        <v>200</v>
      </c>
      <c r="M86" s="390" t="s">
        <v>1796</v>
      </c>
      <c r="N86" s="390" t="s">
        <v>1797</v>
      </c>
      <c r="O86" s="390" t="s">
        <v>1474</v>
      </c>
      <c r="P86" s="390" t="s">
        <v>1387</v>
      </c>
      <c r="Q86" s="388" t="s">
        <v>1383</v>
      </c>
      <c r="R86" s="390">
        <v>18</v>
      </c>
      <c r="S86" s="390" t="s">
        <v>1790</v>
      </c>
      <c r="T86" s="390">
        <v>36</v>
      </c>
      <c r="U86" s="390" t="s">
        <v>1798</v>
      </c>
      <c r="V86" s="390">
        <v>1402</v>
      </c>
      <c r="W86" s="390" t="s">
        <v>1799</v>
      </c>
      <c r="X86" s="390">
        <v>180053</v>
      </c>
      <c r="Y86" s="390" t="s">
        <v>1799</v>
      </c>
      <c r="Z86" s="391" t="s">
        <v>1800</v>
      </c>
    </row>
    <row r="87" spans="2:26" ht="15.75" customHeight="1" x14ac:dyDescent="0.3">
      <c r="B87" s="387" t="s">
        <v>1375</v>
      </c>
      <c r="C87" s="388">
        <v>257</v>
      </c>
      <c r="D87" s="388" t="s">
        <v>1801</v>
      </c>
      <c r="E87" s="388" t="s">
        <v>1377</v>
      </c>
      <c r="F87" s="388" t="s">
        <v>1378</v>
      </c>
      <c r="G87" s="388" t="s">
        <v>1379</v>
      </c>
      <c r="H87" s="388" t="s">
        <v>1380</v>
      </c>
      <c r="I87" s="388" t="s">
        <v>1381</v>
      </c>
      <c r="J87" s="388" t="s">
        <v>1382</v>
      </c>
      <c r="K87" s="388" t="s">
        <v>1383</v>
      </c>
      <c r="L87" s="389">
        <v>173</v>
      </c>
      <c r="M87" s="390" t="s">
        <v>1802</v>
      </c>
      <c r="N87" s="390" t="s">
        <v>1803</v>
      </c>
      <c r="O87" s="390" t="s">
        <v>1465</v>
      </c>
      <c r="P87" s="390" t="s">
        <v>1387</v>
      </c>
      <c r="Q87" s="388" t="s">
        <v>1383</v>
      </c>
      <c r="R87" s="390">
        <v>18</v>
      </c>
      <c r="S87" s="390" t="s">
        <v>1790</v>
      </c>
      <c r="T87" s="390">
        <v>36</v>
      </c>
      <c r="U87" s="390" t="s">
        <v>1798</v>
      </c>
      <c r="V87" s="390">
        <v>1426</v>
      </c>
      <c r="W87" s="390" t="s">
        <v>1410</v>
      </c>
      <c r="X87" s="390">
        <v>180083</v>
      </c>
      <c r="Y87" s="390" t="s">
        <v>1804</v>
      </c>
      <c r="Z87" s="391" t="s">
        <v>1805</v>
      </c>
    </row>
    <row r="88" spans="2:26" ht="15.75" customHeight="1" x14ac:dyDescent="0.3">
      <c r="B88" s="387" t="s">
        <v>1375</v>
      </c>
      <c r="C88" s="388">
        <v>258</v>
      </c>
      <c r="D88" s="388" t="s">
        <v>1806</v>
      </c>
      <c r="E88" s="388" t="s">
        <v>1377</v>
      </c>
      <c r="F88" s="388" t="s">
        <v>1378</v>
      </c>
      <c r="G88" s="388" t="s">
        <v>1379</v>
      </c>
      <c r="H88" s="388" t="s">
        <v>1380</v>
      </c>
      <c r="I88" s="388" t="s">
        <v>1440</v>
      </c>
      <c r="J88" s="388" t="s">
        <v>1382</v>
      </c>
      <c r="K88" s="388" t="s">
        <v>1383</v>
      </c>
      <c r="L88" s="389">
        <v>200</v>
      </c>
      <c r="M88" s="390" t="s">
        <v>1807</v>
      </c>
      <c r="N88" s="390" t="s">
        <v>1808</v>
      </c>
      <c r="O88" s="390" t="s">
        <v>1465</v>
      </c>
      <c r="P88" s="390" t="s">
        <v>1387</v>
      </c>
      <c r="Q88" s="388" t="s">
        <v>1383</v>
      </c>
      <c r="R88" s="390">
        <v>18</v>
      </c>
      <c r="S88" s="390" t="s">
        <v>1790</v>
      </c>
      <c r="T88" s="390">
        <v>39</v>
      </c>
      <c r="U88" s="390" t="s">
        <v>1809</v>
      </c>
      <c r="V88" s="390">
        <v>2201</v>
      </c>
      <c r="W88" s="390" t="s">
        <v>1810</v>
      </c>
      <c r="X88" s="390">
        <v>180138</v>
      </c>
      <c r="Y88" s="390" t="s">
        <v>1811</v>
      </c>
      <c r="Z88" s="391" t="s">
        <v>1812</v>
      </c>
    </row>
    <row r="89" spans="2:26" ht="15.75" customHeight="1" x14ac:dyDescent="0.3">
      <c r="B89" s="387" t="s">
        <v>1375</v>
      </c>
      <c r="C89" s="388">
        <v>259</v>
      </c>
      <c r="D89" s="388" t="s">
        <v>1810</v>
      </c>
      <c r="E89" s="388" t="s">
        <v>1377</v>
      </c>
      <c r="F89" s="388" t="s">
        <v>1378</v>
      </c>
      <c r="G89" s="388" t="s">
        <v>1379</v>
      </c>
      <c r="H89" s="388" t="s">
        <v>1380</v>
      </c>
      <c r="I89" s="388" t="s">
        <v>1530</v>
      </c>
      <c r="J89" s="388" t="s">
        <v>1382</v>
      </c>
      <c r="K89" s="388" t="s">
        <v>1383</v>
      </c>
      <c r="L89" s="389">
        <v>70</v>
      </c>
      <c r="M89" s="390" t="s">
        <v>1813</v>
      </c>
      <c r="N89" s="390" t="s">
        <v>1814</v>
      </c>
      <c r="O89" s="390" t="s">
        <v>1465</v>
      </c>
      <c r="P89" s="390" t="s">
        <v>1387</v>
      </c>
      <c r="Q89" s="388" t="s">
        <v>1383</v>
      </c>
      <c r="R89" s="390">
        <v>18</v>
      </c>
      <c r="S89" s="390" t="s">
        <v>1790</v>
      </c>
      <c r="T89" s="390">
        <v>39</v>
      </c>
      <c r="U89" s="390" t="s">
        <v>1809</v>
      </c>
      <c r="V89" s="390">
        <v>2307</v>
      </c>
      <c r="W89" s="390" t="s">
        <v>1815</v>
      </c>
      <c r="X89" s="390">
        <v>180127</v>
      </c>
      <c r="Y89" s="390" t="s">
        <v>1816</v>
      </c>
      <c r="Z89" s="391" t="s">
        <v>1817</v>
      </c>
    </row>
    <row r="90" spans="2:26" ht="15.75" customHeight="1" x14ac:dyDescent="0.3">
      <c r="B90" s="387" t="s">
        <v>1375</v>
      </c>
      <c r="C90" s="388">
        <v>260</v>
      </c>
      <c r="D90" s="388" t="s">
        <v>1660</v>
      </c>
      <c r="E90" s="388" t="s">
        <v>1377</v>
      </c>
      <c r="F90" s="388" t="s">
        <v>1378</v>
      </c>
      <c r="G90" s="388" t="s">
        <v>1379</v>
      </c>
      <c r="H90" s="388" t="s">
        <v>1380</v>
      </c>
      <c r="I90" s="388" t="s">
        <v>1393</v>
      </c>
      <c r="J90" s="388" t="s">
        <v>1382</v>
      </c>
      <c r="K90" s="388" t="s">
        <v>1383</v>
      </c>
      <c r="L90" s="389">
        <v>173</v>
      </c>
      <c r="M90" s="390" t="s">
        <v>1818</v>
      </c>
      <c r="N90" s="390" t="s">
        <v>1819</v>
      </c>
      <c r="O90" s="390" t="s">
        <v>1465</v>
      </c>
      <c r="P90" s="390" t="s">
        <v>1387</v>
      </c>
      <c r="Q90" s="388" t="s">
        <v>1383</v>
      </c>
      <c r="R90" s="390">
        <v>18</v>
      </c>
      <c r="S90" s="390" t="s">
        <v>1790</v>
      </c>
      <c r="T90" s="390">
        <v>39</v>
      </c>
      <c r="U90" s="390" t="s">
        <v>1809</v>
      </c>
      <c r="V90" s="390">
        <v>2307</v>
      </c>
      <c r="W90" s="390" t="s">
        <v>1815</v>
      </c>
      <c r="X90" s="390">
        <v>180127</v>
      </c>
      <c r="Y90" s="390" t="s">
        <v>1816</v>
      </c>
      <c r="Z90" s="391" t="s">
        <v>1820</v>
      </c>
    </row>
    <row r="91" spans="2:26" ht="15.75" customHeight="1" x14ac:dyDescent="0.3">
      <c r="B91" s="387" t="s">
        <v>1375</v>
      </c>
      <c r="C91" s="388">
        <v>261</v>
      </c>
      <c r="D91" s="388" t="s">
        <v>1821</v>
      </c>
      <c r="E91" s="388" t="s">
        <v>1377</v>
      </c>
      <c r="F91" s="388" t="s">
        <v>1378</v>
      </c>
      <c r="G91" s="388" t="s">
        <v>1379</v>
      </c>
      <c r="H91" s="388" t="s">
        <v>1380</v>
      </c>
      <c r="I91" s="388" t="s">
        <v>1393</v>
      </c>
      <c r="J91" s="388" t="s">
        <v>1382</v>
      </c>
      <c r="K91" s="388" t="s">
        <v>1383</v>
      </c>
      <c r="L91" s="389">
        <v>199</v>
      </c>
      <c r="M91" s="390" t="s">
        <v>1822</v>
      </c>
      <c r="N91" s="390" t="s">
        <v>1814</v>
      </c>
      <c r="O91" s="390" t="s">
        <v>1465</v>
      </c>
      <c r="P91" s="390" t="s">
        <v>1387</v>
      </c>
      <c r="Q91" s="388" t="s">
        <v>1383</v>
      </c>
      <c r="R91" s="390">
        <v>18</v>
      </c>
      <c r="S91" s="390" t="s">
        <v>1790</v>
      </c>
      <c r="T91" s="390">
        <v>53</v>
      </c>
      <c r="U91" s="390" t="s">
        <v>1823</v>
      </c>
      <c r="V91" s="390">
        <v>1411</v>
      </c>
      <c r="W91" s="390" t="s">
        <v>1824</v>
      </c>
      <c r="X91" s="390">
        <v>180174</v>
      </c>
      <c r="Y91" s="390" t="s">
        <v>1825</v>
      </c>
      <c r="Z91" s="391" t="s">
        <v>1826</v>
      </c>
    </row>
    <row r="92" spans="2:26" ht="15.75" customHeight="1" x14ac:dyDescent="0.3">
      <c r="B92" s="387" t="s">
        <v>1375</v>
      </c>
      <c r="C92" s="388">
        <v>262</v>
      </c>
      <c r="D92" s="388" t="s">
        <v>1827</v>
      </c>
      <c r="E92" s="388" t="s">
        <v>1377</v>
      </c>
      <c r="F92" s="388" t="s">
        <v>1378</v>
      </c>
      <c r="G92" s="388" t="s">
        <v>1379</v>
      </c>
      <c r="H92" s="388" t="s">
        <v>1380</v>
      </c>
      <c r="I92" s="388" t="s">
        <v>1393</v>
      </c>
      <c r="J92" s="388" t="s">
        <v>1382</v>
      </c>
      <c r="K92" s="388" t="s">
        <v>1383</v>
      </c>
      <c r="L92" s="389">
        <v>61</v>
      </c>
      <c r="M92" s="390" t="s">
        <v>1828</v>
      </c>
      <c r="N92" s="390" t="s">
        <v>1829</v>
      </c>
      <c r="O92" s="390" t="s">
        <v>1657</v>
      </c>
      <c r="P92" s="390" t="s">
        <v>1387</v>
      </c>
      <c r="Q92" s="388" t="s">
        <v>1383</v>
      </c>
      <c r="R92" s="390">
        <v>6</v>
      </c>
      <c r="S92" s="390" t="s">
        <v>1658</v>
      </c>
      <c r="T92" s="390">
        <v>62</v>
      </c>
      <c r="U92" s="390" t="s">
        <v>1658</v>
      </c>
      <c r="V92" s="390">
        <v>2507</v>
      </c>
      <c r="W92" s="390" t="s">
        <v>1830</v>
      </c>
      <c r="X92" s="390">
        <v>60001</v>
      </c>
      <c r="Y92" s="390" t="s">
        <v>1830</v>
      </c>
      <c r="Z92" s="391" t="s">
        <v>1831</v>
      </c>
    </row>
    <row r="93" spans="2:26" ht="15.75" customHeight="1" x14ac:dyDescent="0.3">
      <c r="B93" s="387" t="s">
        <v>1375</v>
      </c>
      <c r="C93" s="388">
        <v>263</v>
      </c>
      <c r="D93" s="388" t="s">
        <v>1832</v>
      </c>
      <c r="E93" s="388" t="s">
        <v>1377</v>
      </c>
      <c r="F93" s="388" t="s">
        <v>1378</v>
      </c>
      <c r="G93" s="388" t="s">
        <v>1379</v>
      </c>
      <c r="H93" s="388" t="s">
        <v>1380</v>
      </c>
      <c r="I93" s="388" t="s">
        <v>1381</v>
      </c>
      <c r="J93" s="388" t="s">
        <v>1382</v>
      </c>
      <c r="K93" s="388" t="s">
        <v>1383</v>
      </c>
      <c r="L93" s="389">
        <v>150</v>
      </c>
      <c r="M93" s="390" t="s">
        <v>1833</v>
      </c>
      <c r="N93" s="390" t="s">
        <v>1834</v>
      </c>
      <c r="O93" s="390" t="s">
        <v>1465</v>
      </c>
      <c r="P93" s="390" t="s">
        <v>1387</v>
      </c>
      <c r="Q93" s="388" t="s">
        <v>1383</v>
      </c>
      <c r="R93" s="390">
        <v>18</v>
      </c>
      <c r="S93" s="390" t="s">
        <v>1790</v>
      </c>
      <c r="T93" s="390">
        <v>53</v>
      </c>
      <c r="U93" s="390" t="s">
        <v>1823</v>
      </c>
      <c r="V93" s="390">
        <v>1412</v>
      </c>
      <c r="W93" s="390" t="s">
        <v>1835</v>
      </c>
      <c r="X93" s="390">
        <v>180051</v>
      </c>
      <c r="Y93" s="390" t="s">
        <v>1836</v>
      </c>
      <c r="Z93" s="391" t="s">
        <v>1837</v>
      </c>
    </row>
    <row r="94" spans="2:26" ht="15.75" customHeight="1" x14ac:dyDescent="0.3">
      <c r="B94" s="387" t="s">
        <v>1375</v>
      </c>
      <c r="C94" s="388">
        <v>277</v>
      </c>
      <c r="D94" s="388" t="s">
        <v>1838</v>
      </c>
      <c r="E94" s="388" t="s">
        <v>1377</v>
      </c>
      <c r="F94" s="388" t="s">
        <v>1378</v>
      </c>
      <c r="G94" s="388" t="s">
        <v>1379</v>
      </c>
      <c r="H94" s="388" t="s">
        <v>1380</v>
      </c>
      <c r="I94" s="388" t="s">
        <v>1393</v>
      </c>
      <c r="J94" s="388" t="s">
        <v>1382</v>
      </c>
      <c r="K94" s="388" t="s">
        <v>1383</v>
      </c>
      <c r="L94" s="389">
        <v>204</v>
      </c>
      <c r="M94" s="390" t="s">
        <v>1839</v>
      </c>
      <c r="N94" s="390" t="s">
        <v>1840</v>
      </c>
      <c r="O94" s="390" t="s">
        <v>1386</v>
      </c>
      <c r="P94" s="390" t="s">
        <v>1387</v>
      </c>
      <c r="Q94" s="388" t="s">
        <v>1383</v>
      </c>
      <c r="R94" s="390">
        <v>19</v>
      </c>
      <c r="S94" s="390" t="s">
        <v>1841</v>
      </c>
      <c r="T94" s="390">
        <v>70</v>
      </c>
      <c r="U94" s="390" t="s">
        <v>1842</v>
      </c>
      <c r="V94" s="390">
        <v>2573</v>
      </c>
      <c r="W94" s="390" t="s">
        <v>1838</v>
      </c>
      <c r="X94" s="390">
        <v>190009</v>
      </c>
      <c r="Y94" s="390" t="s">
        <v>1838</v>
      </c>
      <c r="Z94" s="391" t="s">
        <v>1843</v>
      </c>
    </row>
    <row r="95" spans="2:26" ht="15.75" customHeight="1" x14ac:dyDescent="0.3">
      <c r="B95" s="387" t="s">
        <v>1375</v>
      </c>
      <c r="C95" s="388">
        <v>278</v>
      </c>
      <c r="D95" s="388" t="s">
        <v>1844</v>
      </c>
      <c r="E95" s="388" t="s">
        <v>1377</v>
      </c>
      <c r="F95" s="388" t="s">
        <v>1378</v>
      </c>
      <c r="G95" s="388" t="s">
        <v>1845</v>
      </c>
      <c r="H95" s="388" t="s">
        <v>1380</v>
      </c>
      <c r="I95" s="388" t="s">
        <v>1393</v>
      </c>
      <c r="J95" s="388" t="s">
        <v>1382</v>
      </c>
      <c r="K95" s="388" t="s">
        <v>1383</v>
      </c>
      <c r="L95" s="389">
        <v>40</v>
      </c>
      <c r="M95" s="390" t="s">
        <v>1846</v>
      </c>
      <c r="N95" s="390" t="s">
        <v>1847</v>
      </c>
      <c r="O95" s="390" t="s">
        <v>1386</v>
      </c>
      <c r="P95" s="390" t="s">
        <v>1387</v>
      </c>
      <c r="Q95" s="388" t="s">
        <v>1383</v>
      </c>
      <c r="R95" s="390">
        <v>19</v>
      </c>
      <c r="S95" s="390" t="s">
        <v>1841</v>
      </c>
      <c r="T95" s="390">
        <v>66</v>
      </c>
      <c r="U95" s="390" t="s">
        <v>1844</v>
      </c>
      <c r="V95" s="390">
        <v>2515</v>
      </c>
      <c r="W95" s="390" t="s">
        <v>1844</v>
      </c>
      <c r="X95" s="390">
        <v>190211</v>
      </c>
      <c r="Y95" s="390" t="s">
        <v>1848</v>
      </c>
      <c r="Z95" s="391" t="s">
        <v>1849</v>
      </c>
    </row>
    <row r="96" spans="2:26" ht="15.75" customHeight="1" x14ac:dyDescent="0.3">
      <c r="B96" s="387" t="s">
        <v>1375</v>
      </c>
      <c r="C96" s="388">
        <v>279</v>
      </c>
      <c r="D96" s="388" t="s">
        <v>1850</v>
      </c>
      <c r="E96" s="388" t="s">
        <v>1377</v>
      </c>
      <c r="F96" s="388" t="s">
        <v>1378</v>
      </c>
      <c r="G96" s="388" t="s">
        <v>1379</v>
      </c>
      <c r="H96" s="388" t="s">
        <v>1380</v>
      </c>
      <c r="I96" s="388" t="s">
        <v>1393</v>
      </c>
      <c r="J96" s="388" t="s">
        <v>1382</v>
      </c>
      <c r="K96" s="388" t="s">
        <v>1383</v>
      </c>
      <c r="L96" s="389">
        <v>102</v>
      </c>
      <c r="M96" s="390" t="s">
        <v>1851</v>
      </c>
      <c r="N96" s="390" t="s">
        <v>1852</v>
      </c>
      <c r="O96" s="390" t="s">
        <v>1386</v>
      </c>
      <c r="P96" s="390" t="s">
        <v>1387</v>
      </c>
      <c r="Q96" s="388" t="s">
        <v>1383</v>
      </c>
      <c r="R96" s="390">
        <v>19</v>
      </c>
      <c r="S96" s="390" t="s">
        <v>1841</v>
      </c>
      <c r="T96" s="390">
        <v>69</v>
      </c>
      <c r="U96" s="390" t="s">
        <v>1853</v>
      </c>
      <c r="V96" s="390">
        <v>2418</v>
      </c>
      <c r="W96" s="390" t="s">
        <v>1850</v>
      </c>
      <c r="X96" s="390">
        <v>190098</v>
      </c>
      <c r="Y96" s="390" t="s">
        <v>1850</v>
      </c>
      <c r="Z96" s="391" t="s">
        <v>1854</v>
      </c>
    </row>
    <row r="97" spans="2:26" ht="15.75" customHeight="1" x14ac:dyDescent="0.3">
      <c r="B97" s="387" t="s">
        <v>1375</v>
      </c>
      <c r="C97" s="388">
        <v>1095</v>
      </c>
      <c r="D97" s="388" t="s">
        <v>1855</v>
      </c>
      <c r="E97" s="388" t="s">
        <v>1377</v>
      </c>
      <c r="F97" s="388" t="s">
        <v>1378</v>
      </c>
      <c r="G97" s="388" t="s">
        <v>1379</v>
      </c>
      <c r="H97" s="388" t="s">
        <v>1471</v>
      </c>
      <c r="I97" s="388" t="s">
        <v>1440</v>
      </c>
      <c r="J97" s="388" t="s">
        <v>1382</v>
      </c>
      <c r="K97" s="388" t="s">
        <v>1383</v>
      </c>
      <c r="L97" s="389">
        <v>375</v>
      </c>
      <c r="M97" s="390" t="s">
        <v>1856</v>
      </c>
      <c r="N97" s="390" t="s">
        <v>1857</v>
      </c>
      <c r="O97" s="390" t="s">
        <v>1474</v>
      </c>
      <c r="P97" s="390" t="s">
        <v>1387</v>
      </c>
      <c r="Q97" s="388" t="s">
        <v>1383</v>
      </c>
      <c r="R97" s="390">
        <v>8</v>
      </c>
      <c r="S97" s="390" t="s">
        <v>1483</v>
      </c>
      <c r="T97" s="390">
        <v>82</v>
      </c>
      <c r="U97" s="390" t="s">
        <v>1511</v>
      </c>
      <c r="V97" s="390">
        <v>4627</v>
      </c>
      <c r="W97" s="390" t="s">
        <v>1858</v>
      </c>
      <c r="X97" s="390">
        <v>80026</v>
      </c>
      <c r="Y97" s="390" t="s">
        <v>1855</v>
      </c>
      <c r="Z97" s="391" t="s">
        <v>1859</v>
      </c>
    </row>
    <row r="98" spans="2:26" ht="15.75" customHeight="1" x14ac:dyDescent="0.3">
      <c r="B98" s="387" t="s">
        <v>1375</v>
      </c>
      <c r="C98" s="388">
        <v>1097</v>
      </c>
      <c r="D98" s="388" t="s">
        <v>1860</v>
      </c>
      <c r="E98" s="388" t="s">
        <v>1377</v>
      </c>
      <c r="F98" s="388" t="s">
        <v>1378</v>
      </c>
      <c r="G98" s="388" t="s">
        <v>1379</v>
      </c>
      <c r="H98" s="388" t="s">
        <v>1471</v>
      </c>
      <c r="I98" s="388" t="s">
        <v>1861</v>
      </c>
      <c r="J98" s="388" t="s">
        <v>1382</v>
      </c>
      <c r="K98" s="388" t="s">
        <v>1383</v>
      </c>
      <c r="L98" s="389">
        <v>105</v>
      </c>
      <c r="M98" s="390" t="s">
        <v>1862</v>
      </c>
      <c r="N98" s="390" t="s">
        <v>1863</v>
      </c>
      <c r="O98" s="390" t="s">
        <v>1386</v>
      </c>
      <c r="P98" s="390" t="s">
        <v>1387</v>
      </c>
      <c r="Q98" s="388" t="s">
        <v>1383</v>
      </c>
      <c r="R98" s="390">
        <v>19</v>
      </c>
      <c r="S98" s="390" t="s">
        <v>1841</v>
      </c>
      <c r="T98" s="390">
        <v>69</v>
      </c>
      <c r="U98" s="390" t="s">
        <v>1853</v>
      </c>
      <c r="V98" s="390">
        <v>2446</v>
      </c>
      <c r="W98" s="390" t="s">
        <v>1864</v>
      </c>
      <c r="X98" s="390">
        <v>190032</v>
      </c>
      <c r="Y98" s="390" t="s">
        <v>1865</v>
      </c>
      <c r="Z98" s="391" t="s">
        <v>1866</v>
      </c>
    </row>
    <row r="99" spans="2:26" ht="15.75" customHeight="1" x14ac:dyDescent="0.3">
      <c r="B99" s="387" t="s">
        <v>1375</v>
      </c>
      <c r="C99" s="388">
        <v>10100</v>
      </c>
      <c r="D99" s="388" t="s">
        <v>1867</v>
      </c>
      <c r="E99" s="388" t="s">
        <v>1377</v>
      </c>
      <c r="F99" s="388" t="s">
        <v>1378</v>
      </c>
      <c r="G99" s="388" t="s">
        <v>1439</v>
      </c>
      <c r="H99" s="388" t="s">
        <v>1471</v>
      </c>
      <c r="I99" s="388" t="s">
        <v>1699</v>
      </c>
      <c r="J99" s="388" t="s">
        <v>1382</v>
      </c>
      <c r="K99" s="388" t="s">
        <v>1383</v>
      </c>
      <c r="L99" s="389">
        <v>0</v>
      </c>
      <c r="M99" s="390" t="s">
        <v>1868</v>
      </c>
      <c r="N99" s="390" t="s">
        <v>1699</v>
      </c>
      <c r="O99" s="390" t="s">
        <v>1699</v>
      </c>
      <c r="P99" s="390" t="s">
        <v>1383</v>
      </c>
      <c r="Q99" s="388" t="s">
        <v>1383</v>
      </c>
      <c r="R99" s="390">
        <v>11</v>
      </c>
      <c r="S99" s="390" t="s">
        <v>1608</v>
      </c>
      <c r="T99" s="390">
        <v>17</v>
      </c>
      <c r="U99" s="390" t="s">
        <v>1869</v>
      </c>
      <c r="V99" s="390">
        <v>9113</v>
      </c>
      <c r="W99" s="390" t="s">
        <v>1869</v>
      </c>
      <c r="X99" s="390">
        <v>110571</v>
      </c>
      <c r="Y99" s="390" t="s">
        <v>1870</v>
      </c>
      <c r="Z99" s="391" t="s">
        <v>1871</v>
      </c>
    </row>
    <row r="100" spans="2:26" ht="15.75" customHeight="1" x14ac:dyDescent="0.3">
      <c r="B100" s="387" t="s">
        <v>1375</v>
      </c>
      <c r="C100" s="388">
        <v>10102</v>
      </c>
      <c r="D100" s="388" t="s">
        <v>1872</v>
      </c>
      <c r="E100" s="388" t="s">
        <v>1377</v>
      </c>
      <c r="F100" s="388" t="s">
        <v>1378</v>
      </c>
      <c r="G100" s="388" t="s">
        <v>1439</v>
      </c>
      <c r="H100" s="388" t="s">
        <v>1380</v>
      </c>
      <c r="I100" s="388" t="s">
        <v>1419</v>
      </c>
      <c r="J100" s="388" t="s">
        <v>1382</v>
      </c>
      <c r="K100" s="388" t="s">
        <v>1383</v>
      </c>
      <c r="L100" s="389">
        <v>0</v>
      </c>
      <c r="M100" s="390" t="s">
        <v>1873</v>
      </c>
      <c r="N100" s="390" t="s">
        <v>1699</v>
      </c>
      <c r="O100" s="390" t="s">
        <v>1699</v>
      </c>
      <c r="P100" s="390" t="s">
        <v>1383</v>
      </c>
      <c r="Q100" s="388" t="s">
        <v>1383</v>
      </c>
      <c r="R100" s="390">
        <v>5</v>
      </c>
      <c r="S100" s="390" t="s">
        <v>1466</v>
      </c>
      <c r="T100" s="390">
        <v>57</v>
      </c>
      <c r="U100" s="390" t="s">
        <v>1639</v>
      </c>
      <c r="V100" s="390">
        <v>2525</v>
      </c>
      <c r="W100" s="390" t="s">
        <v>1872</v>
      </c>
      <c r="X100" s="390">
        <v>50013</v>
      </c>
      <c r="Y100" s="390" t="s">
        <v>1872</v>
      </c>
      <c r="Z100" s="391" t="s">
        <v>1874</v>
      </c>
    </row>
    <row r="101" spans="2:26" ht="15.75" customHeight="1" x14ac:dyDescent="0.3">
      <c r="B101" s="387" t="s">
        <v>1375</v>
      </c>
      <c r="C101" s="388">
        <v>10104</v>
      </c>
      <c r="D101" s="388" t="s">
        <v>1875</v>
      </c>
      <c r="E101" s="388" t="s">
        <v>1377</v>
      </c>
      <c r="F101" s="388" t="s">
        <v>1378</v>
      </c>
      <c r="G101" s="388" t="s">
        <v>1379</v>
      </c>
      <c r="H101" s="388" t="s">
        <v>1471</v>
      </c>
      <c r="I101" s="388" t="s">
        <v>1440</v>
      </c>
      <c r="J101" s="388" t="s">
        <v>1382</v>
      </c>
      <c r="K101" s="388" t="s">
        <v>1383</v>
      </c>
      <c r="L101" s="389">
        <v>395</v>
      </c>
      <c r="M101" s="390" t="s">
        <v>1876</v>
      </c>
      <c r="N101" s="390" t="s">
        <v>1877</v>
      </c>
      <c r="O101" s="390" t="s">
        <v>1474</v>
      </c>
      <c r="P101" s="390" t="s">
        <v>1387</v>
      </c>
      <c r="Q101" s="388" t="s">
        <v>1383</v>
      </c>
      <c r="R101" s="390">
        <v>5</v>
      </c>
      <c r="S101" s="390" t="s">
        <v>1466</v>
      </c>
      <c r="T101" s="390">
        <v>58</v>
      </c>
      <c r="U101" s="390" t="s">
        <v>1878</v>
      </c>
      <c r="V101" s="390">
        <v>2611</v>
      </c>
      <c r="W101" s="390" t="s">
        <v>1879</v>
      </c>
      <c r="X101" s="390">
        <v>50004</v>
      </c>
      <c r="Y101" s="390" t="s">
        <v>1880</v>
      </c>
      <c r="Z101" s="391" t="s">
        <v>1881</v>
      </c>
    </row>
    <row r="102" spans="2:26" ht="15.75" customHeight="1" x14ac:dyDescent="0.3">
      <c r="B102" s="387" t="s">
        <v>1375</v>
      </c>
      <c r="C102" s="388">
        <v>10108</v>
      </c>
      <c r="D102" s="388" t="s">
        <v>1882</v>
      </c>
      <c r="E102" s="388" t="s">
        <v>1377</v>
      </c>
      <c r="F102" s="388" t="s">
        <v>1378</v>
      </c>
      <c r="G102" s="388" t="s">
        <v>1379</v>
      </c>
      <c r="H102" s="388" t="s">
        <v>1471</v>
      </c>
      <c r="I102" s="388" t="s">
        <v>1393</v>
      </c>
      <c r="J102" s="388" t="s">
        <v>1382</v>
      </c>
      <c r="K102" s="388" t="s">
        <v>1383</v>
      </c>
      <c r="L102" s="389">
        <v>250</v>
      </c>
      <c r="M102" s="390" t="s">
        <v>1883</v>
      </c>
      <c r="N102" s="390" t="s">
        <v>1884</v>
      </c>
      <c r="O102" s="390" t="s">
        <v>1474</v>
      </c>
      <c r="P102" s="390" t="s">
        <v>1387</v>
      </c>
      <c r="Q102" s="388" t="s">
        <v>1383</v>
      </c>
      <c r="R102" s="390">
        <v>4</v>
      </c>
      <c r="S102" s="390" t="s">
        <v>1451</v>
      </c>
      <c r="T102" s="390">
        <v>51</v>
      </c>
      <c r="U102" s="390" t="s">
        <v>1885</v>
      </c>
      <c r="V102" s="390">
        <v>1332</v>
      </c>
      <c r="W102" s="390" t="s">
        <v>1886</v>
      </c>
      <c r="X102" s="390">
        <v>40230</v>
      </c>
      <c r="Y102" s="390" t="s">
        <v>1887</v>
      </c>
      <c r="Z102" s="391" t="s">
        <v>1888</v>
      </c>
    </row>
    <row r="103" spans="2:26" ht="15.75" customHeight="1" x14ac:dyDescent="0.3">
      <c r="B103" s="387" t="s">
        <v>1375</v>
      </c>
      <c r="C103" s="388">
        <v>10118</v>
      </c>
      <c r="D103" s="388" t="s">
        <v>1889</v>
      </c>
      <c r="E103" s="388" t="s">
        <v>1377</v>
      </c>
      <c r="F103" s="388" t="s">
        <v>1378</v>
      </c>
      <c r="G103" s="388" t="s">
        <v>1379</v>
      </c>
      <c r="H103" s="388" t="s">
        <v>1471</v>
      </c>
      <c r="I103" s="388" t="s">
        <v>1440</v>
      </c>
      <c r="J103" s="388" t="s">
        <v>1382</v>
      </c>
      <c r="K103" s="388" t="s">
        <v>1383</v>
      </c>
      <c r="L103" s="389">
        <v>400</v>
      </c>
      <c r="M103" s="390" t="s">
        <v>1890</v>
      </c>
      <c r="N103" s="390" t="s">
        <v>1891</v>
      </c>
      <c r="O103" s="390" t="s">
        <v>1474</v>
      </c>
      <c r="P103" s="390" t="s">
        <v>1387</v>
      </c>
      <c r="Q103" s="388" t="s">
        <v>1383</v>
      </c>
      <c r="R103" s="390">
        <v>1</v>
      </c>
      <c r="S103" s="390" t="s">
        <v>1388</v>
      </c>
      <c r="T103" s="390">
        <v>10</v>
      </c>
      <c r="U103" s="390" t="s">
        <v>1892</v>
      </c>
      <c r="V103" s="390">
        <v>8503</v>
      </c>
      <c r="W103" s="390" t="s">
        <v>1893</v>
      </c>
      <c r="X103" s="390">
        <v>10221</v>
      </c>
      <c r="Y103" s="390" t="s">
        <v>1893</v>
      </c>
      <c r="Z103" s="391" t="s">
        <v>1894</v>
      </c>
    </row>
    <row r="104" spans="2:26" ht="15.75" customHeight="1" x14ac:dyDescent="0.3">
      <c r="B104" s="387" t="s">
        <v>1375</v>
      </c>
      <c r="C104" s="388">
        <v>10122</v>
      </c>
      <c r="D104" s="388" t="s">
        <v>1895</v>
      </c>
      <c r="E104" s="388" t="s">
        <v>1377</v>
      </c>
      <c r="F104" s="388" t="s">
        <v>1378</v>
      </c>
      <c r="G104" s="388" t="s">
        <v>1379</v>
      </c>
      <c r="H104" s="388" t="s">
        <v>1471</v>
      </c>
      <c r="I104" s="388" t="s">
        <v>1393</v>
      </c>
      <c r="J104" s="388" t="s">
        <v>1382</v>
      </c>
      <c r="K104" s="388" t="s">
        <v>1383</v>
      </c>
      <c r="L104" s="389">
        <v>220</v>
      </c>
      <c r="M104" s="390" t="s">
        <v>1896</v>
      </c>
      <c r="N104" s="390" t="s">
        <v>1877</v>
      </c>
      <c r="O104" s="390" t="s">
        <v>1474</v>
      </c>
      <c r="P104" s="390" t="s">
        <v>1387</v>
      </c>
      <c r="Q104" s="388" t="s">
        <v>1383</v>
      </c>
      <c r="R104" s="390">
        <v>5</v>
      </c>
      <c r="S104" s="390" t="s">
        <v>1466</v>
      </c>
      <c r="T104" s="390">
        <v>52</v>
      </c>
      <c r="U104" s="390" t="s">
        <v>1467</v>
      </c>
      <c r="V104" s="390">
        <v>102312</v>
      </c>
      <c r="W104" s="390" t="s">
        <v>1897</v>
      </c>
      <c r="X104" s="390">
        <v>50235</v>
      </c>
      <c r="Y104" s="390" t="s">
        <v>1895</v>
      </c>
      <c r="Z104" s="391" t="s">
        <v>1898</v>
      </c>
    </row>
    <row r="105" spans="2:26" ht="15.75" customHeight="1" x14ac:dyDescent="0.3">
      <c r="B105" s="387" t="s">
        <v>1375</v>
      </c>
      <c r="C105" s="388">
        <v>10124</v>
      </c>
      <c r="D105" s="388" t="s">
        <v>1399</v>
      </c>
      <c r="E105" s="388" t="s">
        <v>1377</v>
      </c>
      <c r="F105" s="388" t="s">
        <v>1378</v>
      </c>
      <c r="G105" s="388" t="s">
        <v>1379</v>
      </c>
      <c r="H105" s="388" t="s">
        <v>1471</v>
      </c>
      <c r="I105" s="388" t="s">
        <v>1393</v>
      </c>
      <c r="J105" s="388" t="s">
        <v>1382</v>
      </c>
      <c r="K105" s="388" t="s">
        <v>1383</v>
      </c>
      <c r="L105" s="389">
        <v>305</v>
      </c>
      <c r="M105" s="390" t="s">
        <v>1899</v>
      </c>
      <c r="N105" s="390" t="s">
        <v>1900</v>
      </c>
      <c r="O105" s="390" t="s">
        <v>1474</v>
      </c>
      <c r="P105" s="390" t="s">
        <v>1387</v>
      </c>
      <c r="Q105" s="388" t="s">
        <v>1383</v>
      </c>
      <c r="R105" s="390">
        <v>19</v>
      </c>
      <c r="S105" s="390" t="s">
        <v>1841</v>
      </c>
      <c r="T105" s="390">
        <v>68</v>
      </c>
      <c r="U105" s="390" t="s">
        <v>1901</v>
      </c>
      <c r="V105" s="390">
        <v>2456</v>
      </c>
      <c r="W105" s="390" t="s">
        <v>1902</v>
      </c>
      <c r="X105" s="390">
        <v>190245</v>
      </c>
      <c r="Y105" s="390" t="s">
        <v>1903</v>
      </c>
      <c r="Z105" s="391" t="s">
        <v>1904</v>
      </c>
    </row>
    <row r="106" spans="2:26" ht="15.75" customHeight="1" x14ac:dyDescent="0.3">
      <c r="B106" s="387" t="s">
        <v>1375</v>
      </c>
      <c r="C106" s="388">
        <v>10125</v>
      </c>
      <c r="D106" s="388" t="s">
        <v>1905</v>
      </c>
      <c r="E106" s="388" t="s">
        <v>1377</v>
      </c>
      <c r="F106" s="388" t="s">
        <v>1378</v>
      </c>
      <c r="G106" s="388" t="s">
        <v>1379</v>
      </c>
      <c r="H106" s="388" t="s">
        <v>1471</v>
      </c>
      <c r="I106" s="388" t="s">
        <v>1393</v>
      </c>
      <c r="J106" s="388" t="s">
        <v>1382</v>
      </c>
      <c r="K106" s="388" t="s">
        <v>1383</v>
      </c>
      <c r="L106" s="389">
        <v>200</v>
      </c>
      <c r="M106" s="390" t="s">
        <v>1906</v>
      </c>
      <c r="N106" s="390" t="s">
        <v>1907</v>
      </c>
      <c r="O106" s="390" t="s">
        <v>1474</v>
      </c>
      <c r="P106" s="390" t="s">
        <v>1387</v>
      </c>
      <c r="Q106" s="388" t="s">
        <v>1383</v>
      </c>
      <c r="R106" s="390">
        <v>4</v>
      </c>
      <c r="S106" s="390" t="s">
        <v>1451</v>
      </c>
      <c r="T106" s="390">
        <v>32</v>
      </c>
      <c r="U106" s="390" t="s">
        <v>1908</v>
      </c>
      <c r="V106" s="390">
        <v>201317</v>
      </c>
      <c r="W106" s="390" t="s">
        <v>1909</v>
      </c>
      <c r="X106" s="390">
        <v>40169</v>
      </c>
      <c r="Y106" s="390" t="s">
        <v>1910</v>
      </c>
      <c r="Z106" s="391" t="s">
        <v>1911</v>
      </c>
    </row>
    <row r="107" spans="2:26" ht="15.75" customHeight="1" x14ac:dyDescent="0.3">
      <c r="B107" s="387" t="s">
        <v>1375</v>
      </c>
      <c r="C107" s="388">
        <v>10127</v>
      </c>
      <c r="D107" s="388" t="s">
        <v>1462</v>
      </c>
      <c r="E107" s="388" t="s">
        <v>1377</v>
      </c>
      <c r="F107" s="388" t="s">
        <v>1378</v>
      </c>
      <c r="G107" s="388" t="s">
        <v>1379</v>
      </c>
      <c r="H107" s="388" t="s">
        <v>1471</v>
      </c>
      <c r="I107" s="388" t="s">
        <v>1393</v>
      </c>
      <c r="J107" s="388" t="s">
        <v>1382</v>
      </c>
      <c r="K107" s="388" t="s">
        <v>1383</v>
      </c>
      <c r="L107" s="389">
        <v>417</v>
      </c>
      <c r="M107" s="390" t="s">
        <v>1912</v>
      </c>
      <c r="N107" s="390" t="s">
        <v>1913</v>
      </c>
      <c r="O107" s="390" t="s">
        <v>1474</v>
      </c>
      <c r="P107" s="390" t="s">
        <v>1387</v>
      </c>
      <c r="Q107" s="388" t="s">
        <v>1383</v>
      </c>
      <c r="R107" s="390">
        <v>7</v>
      </c>
      <c r="S107" s="390" t="s">
        <v>1687</v>
      </c>
      <c r="T107" s="390">
        <v>85</v>
      </c>
      <c r="U107" s="390" t="s">
        <v>1688</v>
      </c>
      <c r="V107" s="390">
        <v>4513</v>
      </c>
      <c r="W107" s="390" t="s">
        <v>1914</v>
      </c>
      <c r="X107" s="390">
        <v>70340</v>
      </c>
      <c r="Y107" s="390" t="s">
        <v>1915</v>
      </c>
      <c r="Z107" s="391" t="s">
        <v>1916</v>
      </c>
    </row>
    <row r="108" spans="2:26" ht="15.75" customHeight="1" x14ac:dyDescent="0.3">
      <c r="B108" s="387" t="s">
        <v>1375</v>
      </c>
      <c r="C108" s="388">
        <v>10128</v>
      </c>
      <c r="D108" s="388" t="s">
        <v>1917</v>
      </c>
      <c r="E108" s="388" t="s">
        <v>1377</v>
      </c>
      <c r="F108" s="388" t="s">
        <v>1378</v>
      </c>
      <c r="G108" s="388" t="s">
        <v>1379</v>
      </c>
      <c r="H108" s="388" t="s">
        <v>1471</v>
      </c>
      <c r="I108" s="388" t="s">
        <v>1393</v>
      </c>
      <c r="J108" s="388" t="s">
        <v>1382</v>
      </c>
      <c r="K108" s="388" t="s">
        <v>1383</v>
      </c>
      <c r="L108" s="389">
        <v>300</v>
      </c>
      <c r="M108" s="390" t="s">
        <v>1918</v>
      </c>
      <c r="N108" s="390" t="s">
        <v>1919</v>
      </c>
      <c r="O108" s="390" t="s">
        <v>1474</v>
      </c>
      <c r="P108" s="390" t="s">
        <v>1387</v>
      </c>
      <c r="Q108" s="388" t="s">
        <v>1383</v>
      </c>
      <c r="R108" s="390">
        <v>7</v>
      </c>
      <c r="S108" s="390" t="s">
        <v>1687</v>
      </c>
      <c r="T108" s="390">
        <v>84</v>
      </c>
      <c r="U108" s="390" t="s">
        <v>1920</v>
      </c>
      <c r="V108" s="390">
        <v>4637</v>
      </c>
      <c r="W108" s="390" t="s">
        <v>1921</v>
      </c>
      <c r="X108" s="390">
        <v>70261</v>
      </c>
      <c r="Y108" s="390" t="s">
        <v>1922</v>
      </c>
      <c r="Z108" s="391" t="s">
        <v>1923</v>
      </c>
    </row>
    <row r="109" spans="2:26" ht="15.75" customHeight="1" x14ac:dyDescent="0.3">
      <c r="B109" s="387" t="s">
        <v>1375</v>
      </c>
      <c r="C109" s="388">
        <v>10130</v>
      </c>
      <c r="D109" s="388" t="s">
        <v>1924</v>
      </c>
      <c r="E109" s="388" t="s">
        <v>1377</v>
      </c>
      <c r="F109" s="388" t="s">
        <v>1378</v>
      </c>
      <c r="G109" s="388" t="s">
        <v>1379</v>
      </c>
      <c r="H109" s="388" t="s">
        <v>1471</v>
      </c>
      <c r="I109" s="388" t="s">
        <v>1393</v>
      </c>
      <c r="J109" s="388" t="s">
        <v>1382</v>
      </c>
      <c r="K109" s="388" t="s">
        <v>1383</v>
      </c>
      <c r="L109" s="389">
        <v>350</v>
      </c>
      <c r="M109" s="390" t="s">
        <v>1925</v>
      </c>
      <c r="N109" s="390" t="s">
        <v>1926</v>
      </c>
      <c r="O109" s="390" t="s">
        <v>1474</v>
      </c>
      <c r="P109" s="390" t="s">
        <v>1387</v>
      </c>
      <c r="Q109" s="388" t="s">
        <v>1383</v>
      </c>
      <c r="R109" s="390">
        <v>7</v>
      </c>
      <c r="S109" s="390" t="s">
        <v>1687</v>
      </c>
      <c r="T109" s="390">
        <v>86</v>
      </c>
      <c r="U109" s="390" t="s">
        <v>1927</v>
      </c>
      <c r="V109" s="390">
        <v>4631</v>
      </c>
      <c r="W109" s="390" t="s">
        <v>1928</v>
      </c>
      <c r="X109" s="390">
        <v>70327</v>
      </c>
      <c r="Y109" s="390" t="s">
        <v>1924</v>
      </c>
      <c r="Z109" s="391" t="s">
        <v>1929</v>
      </c>
    </row>
    <row r="110" spans="2:26" ht="15.75" customHeight="1" x14ac:dyDescent="0.3">
      <c r="B110" s="387" t="s">
        <v>1375</v>
      </c>
      <c r="C110" s="388">
        <v>10133</v>
      </c>
      <c r="D110" s="388" t="s">
        <v>1930</v>
      </c>
      <c r="E110" s="388" t="s">
        <v>1377</v>
      </c>
      <c r="F110" s="388" t="s">
        <v>1378</v>
      </c>
      <c r="G110" s="388" t="s">
        <v>1379</v>
      </c>
      <c r="H110" s="388" t="s">
        <v>1380</v>
      </c>
      <c r="I110" s="388" t="s">
        <v>1393</v>
      </c>
      <c r="J110" s="388"/>
      <c r="K110" s="388" t="s">
        <v>1383</v>
      </c>
      <c r="L110" s="389">
        <v>253</v>
      </c>
      <c r="M110" s="390" t="s">
        <v>1931</v>
      </c>
      <c r="N110" s="390">
        <v>7903238</v>
      </c>
      <c r="O110" s="392" t="s">
        <v>1386</v>
      </c>
      <c r="P110" s="390" t="s">
        <v>1387</v>
      </c>
      <c r="Q110" s="388" t="s">
        <v>1383</v>
      </c>
      <c r="R110" s="390">
        <v>19</v>
      </c>
      <c r="S110" s="390" t="s">
        <v>1841</v>
      </c>
      <c r="T110" s="390">
        <v>67</v>
      </c>
      <c r="U110" s="390" t="s">
        <v>1932</v>
      </c>
      <c r="V110" s="390" t="s">
        <v>1383</v>
      </c>
      <c r="W110" s="390" t="s">
        <v>1933</v>
      </c>
      <c r="X110" s="390" t="s">
        <v>1383</v>
      </c>
      <c r="Y110" s="390" t="s">
        <v>1934</v>
      </c>
      <c r="Z110" s="391" t="e">
        <v>#N/A</v>
      </c>
    </row>
    <row r="111" spans="2:26" ht="15.75" customHeight="1" x14ac:dyDescent="0.3">
      <c r="B111" s="387" t="s">
        <v>1375</v>
      </c>
      <c r="C111" s="388">
        <v>111402</v>
      </c>
      <c r="D111" s="388" t="s">
        <v>1935</v>
      </c>
      <c r="E111" s="388" t="s">
        <v>1377</v>
      </c>
      <c r="F111" s="388" t="s">
        <v>1378</v>
      </c>
      <c r="G111" s="388" t="s">
        <v>1379</v>
      </c>
      <c r="H111" s="388" t="s">
        <v>1471</v>
      </c>
      <c r="I111" s="388" t="s">
        <v>1393</v>
      </c>
      <c r="J111" s="388" t="s">
        <v>1382</v>
      </c>
      <c r="K111" s="388" t="s">
        <v>1383</v>
      </c>
      <c r="L111" s="389">
        <v>430</v>
      </c>
      <c r="M111" s="390" t="s">
        <v>1936</v>
      </c>
      <c r="N111" s="390" t="s">
        <v>1937</v>
      </c>
      <c r="O111" s="390" t="s">
        <v>1474</v>
      </c>
      <c r="P111" s="390" t="s">
        <v>1387</v>
      </c>
      <c r="Q111" s="388" t="s">
        <v>1383</v>
      </c>
      <c r="R111" s="390">
        <v>11</v>
      </c>
      <c r="S111" s="390" t="s">
        <v>1608</v>
      </c>
      <c r="T111" s="390">
        <v>71</v>
      </c>
      <c r="U111" s="390" t="s">
        <v>1938</v>
      </c>
      <c r="V111" s="390">
        <v>9229</v>
      </c>
      <c r="W111" s="390" t="s">
        <v>1939</v>
      </c>
      <c r="X111" s="390">
        <v>110753</v>
      </c>
      <c r="Y111" s="390" t="s">
        <v>1940</v>
      </c>
      <c r="Z111" s="391" t="s">
        <v>1941</v>
      </c>
    </row>
    <row r="112" spans="2:26" ht="15.75" customHeight="1" x14ac:dyDescent="0.3">
      <c r="B112" s="387" t="s">
        <v>1375</v>
      </c>
      <c r="C112" s="388">
        <v>111403</v>
      </c>
      <c r="D112" s="388" t="s">
        <v>1942</v>
      </c>
      <c r="E112" s="388" t="s">
        <v>1377</v>
      </c>
      <c r="F112" s="388" t="s">
        <v>1378</v>
      </c>
      <c r="G112" s="388" t="s">
        <v>1379</v>
      </c>
      <c r="H112" s="388" t="s">
        <v>1471</v>
      </c>
      <c r="I112" s="388" t="s">
        <v>1393</v>
      </c>
      <c r="J112" s="388" t="s">
        <v>1382</v>
      </c>
      <c r="K112" s="388" t="s">
        <v>1383</v>
      </c>
      <c r="L112" s="389">
        <v>300</v>
      </c>
      <c r="M112" s="390" t="s">
        <v>1943</v>
      </c>
      <c r="N112" s="390" t="s">
        <v>1877</v>
      </c>
      <c r="O112" s="390" t="s">
        <v>1474</v>
      </c>
      <c r="P112" s="390" t="s">
        <v>1387</v>
      </c>
      <c r="Q112" s="388" t="s">
        <v>1383</v>
      </c>
      <c r="R112" s="390">
        <v>5</v>
      </c>
      <c r="S112" s="390" t="s">
        <v>1466</v>
      </c>
      <c r="T112" s="390">
        <v>58</v>
      </c>
      <c r="U112" s="390" t="s">
        <v>1878</v>
      </c>
      <c r="V112" s="390">
        <v>2586</v>
      </c>
      <c r="W112" s="390" t="s">
        <v>1944</v>
      </c>
      <c r="X112" s="390">
        <v>50232</v>
      </c>
      <c r="Y112" s="390" t="s">
        <v>1945</v>
      </c>
      <c r="Z112" s="391" t="s">
        <v>1946</v>
      </c>
    </row>
    <row r="113" spans="2:26" ht="15.75" customHeight="1" x14ac:dyDescent="0.3">
      <c r="B113" s="387" t="s">
        <v>1375</v>
      </c>
      <c r="C113" s="388">
        <v>111404</v>
      </c>
      <c r="D113" s="388" t="s">
        <v>1947</v>
      </c>
      <c r="E113" s="388" t="s">
        <v>1377</v>
      </c>
      <c r="F113" s="388" t="s">
        <v>1378</v>
      </c>
      <c r="G113" s="388" t="s">
        <v>1379</v>
      </c>
      <c r="H113" s="388" t="s">
        <v>1471</v>
      </c>
      <c r="I113" s="388" t="s">
        <v>1393</v>
      </c>
      <c r="J113" s="388" t="s">
        <v>1382</v>
      </c>
      <c r="K113" s="388" t="s">
        <v>1383</v>
      </c>
      <c r="L113" s="389">
        <v>315</v>
      </c>
      <c r="M113" s="390" t="s">
        <v>1948</v>
      </c>
      <c r="N113" s="390" t="s">
        <v>1877</v>
      </c>
      <c r="O113" s="390" t="s">
        <v>1474</v>
      </c>
      <c r="P113" s="390" t="s">
        <v>1387</v>
      </c>
      <c r="Q113" s="388" t="s">
        <v>1383</v>
      </c>
      <c r="R113" s="390">
        <v>5</v>
      </c>
      <c r="S113" s="390" t="s">
        <v>1466</v>
      </c>
      <c r="T113" s="390">
        <v>56</v>
      </c>
      <c r="U113" s="390" t="s">
        <v>1949</v>
      </c>
      <c r="V113" s="390">
        <v>2590</v>
      </c>
      <c r="W113" s="390" t="s">
        <v>1950</v>
      </c>
      <c r="X113" s="390">
        <v>50153</v>
      </c>
      <c r="Y113" s="390" t="s">
        <v>1947</v>
      </c>
      <c r="Z113" s="391" t="s">
        <v>1951</v>
      </c>
    </row>
    <row r="114" spans="2:26" ht="15.75" customHeight="1" x14ac:dyDescent="0.3">
      <c r="B114" s="387" t="s">
        <v>1375</v>
      </c>
      <c r="C114" s="388">
        <v>111472</v>
      </c>
      <c r="D114" s="388" t="s">
        <v>1952</v>
      </c>
      <c r="E114" s="388" t="s">
        <v>1377</v>
      </c>
      <c r="F114" s="388" t="s">
        <v>1378</v>
      </c>
      <c r="G114" s="388" t="s">
        <v>1379</v>
      </c>
      <c r="H114" s="388" t="s">
        <v>1471</v>
      </c>
      <c r="I114" s="388" t="s">
        <v>1393</v>
      </c>
      <c r="J114" s="388" t="s">
        <v>1382</v>
      </c>
      <c r="K114" s="388" t="s">
        <v>1383</v>
      </c>
      <c r="L114" s="389">
        <v>255</v>
      </c>
      <c r="M114" s="390" t="s">
        <v>1953</v>
      </c>
      <c r="N114" s="390" t="s">
        <v>1877</v>
      </c>
      <c r="O114" s="390" t="s">
        <v>1474</v>
      </c>
      <c r="P114" s="390" t="s">
        <v>1387</v>
      </c>
      <c r="Q114" s="388" t="s">
        <v>1383</v>
      </c>
      <c r="R114" s="390">
        <v>5</v>
      </c>
      <c r="S114" s="390" t="s">
        <v>1466</v>
      </c>
      <c r="T114" s="390">
        <v>57</v>
      </c>
      <c r="U114" s="390" t="s">
        <v>1639</v>
      </c>
      <c r="V114" s="390">
        <v>2607</v>
      </c>
      <c r="W114" s="390" t="s">
        <v>1954</v>
      </c>
      <c r="X114" s="390">
        <v>50256</v>
      </c>
      <c r="Y114" s="390" t="s">
        <v>1924</v>
      </c>
      <c r="Z114" s="391" t="s">
        <v>1955</v>
      </c>
    </row>
    <row r="115" spans="2:26" ht="15.75" customHeight="1" x14ac:dyDescent="0.3">
      <c r="B115" s="387" t="s">
        <v>1375</v>
      </c>
      <c r="C115" s="388">
        <v>111474</v>
      </c>
      <c r="D115" s="388" t="s">
        <v>1956</v>
      </c>
      <c r="E115" s="388" t="s">
        <v>1377</v>
      </c>
      <c r="F115" s="388" t="s">
        <v>1378</v>
      </c>
      <c r="G115" s="388" t="s">
        <v>1379</v>
      </c>
      <c r="H115" s="388" t="s">
        <v>1380</v>
      </c>
      <c r="I115" s="388" t="s">
        <v>1393</v>
      </c>
      <c r="J115" s="388" t="s">
        <v>1382</v>
      </c>
      <c r="K115" s="388" t="s">
        <v>1383</v>
      </c>
      <c r="L115" s="389">
        <v>55</v>
      </c>
      <c r="M115" s="390" t="s">
        <v>1957</v>
      </c>
      <c r="N115" s="390" t="s">
        <v>1958</v>
      </c>
      <c r="O115" s="390" t="s">
        <v>1386</v>
      </c>
      <c r="P115" s="390" t="s">
        <v>1387</v>
      </c>
      <c r="Q115" s="388" t="s">
        <v>1383</v>
      </c>
      <c r="R115" s="390">
        <v>19</v>
      </c>
      <c r="S115" s="390" t="s">
        <v>1841</v>
      </c>
      <c r="T115" s="390">
        <v>65</v>
      </c>
      <c r="U115" s="390" t="s">
        <v>1959</v>
      </c>
      <c r="V115" s="390">
        <v>2432</v>
      </c>
      <c r="W115" s="390" t="s">
        <v>1956</v>
      </c>
      <c r="X115" s="390">
        <v>190010</v>
      </c>
      <c r="Y115" s="390" t="s">
        <v>1956</v>
      </c>
      <c r="Z115" s="391" t="s">
        <v>1960</v>
      </c>
    </row>
    <row r="116" spans="2:26" ht="15.75" customHeight="1" x14ac:dyDescent="0.3">
      <c r="B116" s="387" t="s">
        <v>1375</v>
      </c>
      <c r="C116" s="388">
        <v>111505</v>
      </c>
      <c r="D116" s="388" t="s">
        <v>1961</v>
      </c>
      <c r="E116" s="388" t="s">
        <v>1377</v>
      </c>
      <c r="F116" s="388" t="s">
        <v>1378</v>
      </c>
      <c r="G116" s="388" t="s">
        <v>1379</v>
      </c>
      <c r="H116" s="388" t="s">
        <v>1471</v>
      </c>
      <c r="I116" s="388" t="s">
        <v>1393</v>
      </c>
      <c r="J116" s="388" t="s">
        <v>1382</v>
      </c>
      <c r="K116" s="388" t="s">
        <v>1383</v>
      </c>
      <c r="L116" s="389">
        <v>285</v>
      </c>
      <c r="M116" s="390" t="s">
        <v>1962</v>
      </c>
      <c r="N116" s="390" t="s">
        <v>1963</v>
      </c>
      <c r="O116" s="390" t="s">
        <v>1474</v>
      </c>
      <c r="P116" s="390" t="s">
        <v>1387</v>
      </c>
      <c r="Q116" s="388" t="s">
        <v>1383</v>
      </c>
      <c r="R116" s="390">
        <v>4</v>
      </c>
      <c r="S116" s="390" t="s">
        <v>1451</v>
      </c>
      <c r="T116" s="390">
        <v>32</v>
      </c>
      <c r="U116" s="390" t="s">
        <v>1908</v>
      </c>
      <c r="V116" s="390">
        <v>1308</v>
      </c>
      <c r="W116" s="390" t="s">
        <v>1964</v>
      </c>
      <c r="X116" s="390">
        <v>40190</v>
      </c>
      <c r="Y116" s="390" t="s">
        <v>1965</v>
      </c>
      <c r="Z116" s="391" t="s">
        <v>1966</v>
      </c>
    </row>
    <row r="117" spans="2:26" ht="15.75" customHeight="1" x14ac:dyDescent="0.3">
      <c r="B117" s="387" t="s">
        <v>1375</v>
      </c>
      <c r="C117" s="388">
        <v>111520</v>
      </c>
      <c r="D117" s="388" t="s">
        <v>1967</v>
      </c>
      <c r="E117" s="388" t="s">
        <v>1377</v>
      </c>
      <c r="F117" s="388" t="s">
        <v>1378</v>
      </c>
      <c r="G117" s="388" t="s">
        <v>1379</v>
      </c>
      <c r="H117" s="388" t="s">
        <v>1471</v>
      </c>
      <c r="I117" s="388" t="s">
        <v>1381</v>
      </c>
      <c r="J117" s="388" t="s">
        <v>1382</v>
      </c>
      <c r="K117" s="388" t="s">
        <v>1383</v>
      </c>
      <c r="L117" s="389">
        <v>260</v>
      </c>
      <c r="M117" s="390" t="s">
        <v>1968</v>
      </c>
      <c r="N117" s="390" t="s">
        <v>1969</v>
      </c>
      <c r="O117" s="390" t="s">
        <v>1474</v>
      </c>
      <c r="P117" s="390" t="s">
        <v>1387</v>
      </c>
      <c r="Q117" s="388" t="s">
        <v>1383</v>
      </c>
      <c r="R117" s="390">
        <v>3</v>
      </c>
      <c r="S117" s="390" t="s">
        <v>1430</v>
      </c>
      <c r="T117" s="390">
        <v>93</v>
      </c>
      <c r="U117" s="390" t="s">
        <v>1970</v>
      </c>
      <c r="V117" s="390">
        <v>3101</v>
      </c>
      <c r="W117" s="390" t="s">
        <v>1967</v>
      </c>
      <c r="X117" s="390">
        <v>30018</v>
      </c>
      <c r="Y117" s="390" t="s">
        <v>1967</v>
      </c>
      <c r="Z117" s="391" t="s">
        <v>1971</v>
      </c>
    </row>
    <row r="118" spans="2:26" ht="15.75" customHeight="1" x14ac:dyDescent="0.3">
      <c r="B118" s="387" t="s">
        <v>1375</v>
      </c>
      <c r="C118" s="388">
        <v>111526</v>
      </c>
      <c r="D118" s="388" t="s">
        <v>1972</v>
      </c>
      <c r="E118" s="388" t="s">
        <v>1377</v>
      </c>
      <c r="F118" s="388" t="s">
        <v>1378</v>
      </c>
      <c r="G118" s="388" t="s">
        <v>1379</v>
      </c>
      <c r="H118" s="388" t="s">
        <v>1471</v>
      </c>
      <c r="I118" s="388" t="s">
        <v>1440</v>
      </c>
      <c r="J118" s="388" t="s">
        <v>1382</v>
      </c>
      <c r="K118" s="388" t="s">
        <v>1383</v>
      </c>
      <c r="L118" s="389">
        <v>230</v>
      </c>
      <c r="M118" s="390" t="s">
        <v>1973</v>
      </c>
      <c r="N118" s="390" t="s">
        <v>1974</v>
      </c>
      <c r="O118" s="390" t="s">
        <v>1474</v>
      </c>
      <c r="P118" s="390" t="s">
        <v>1387</v>
      </c>
      <c r="Q118" s="388" t="s">
        <v>1383</v>
      </c>
      <c r="R118" s="390">
        <v>1</v>
      </c>
      <c r="S118" s="390" t="s">
        <v>1388</v>
      </c>
      <c r="T118" s="390">
        <v>9</v>
      </c>
      <c r="U118" s="390" t="s">
        <v>1392</v>
      </c>
      <c r="V118" s="390">
        <v>8537</v>
      </c>
      <c r="W118" s="390" t="s">
        <v>1975</v>
      </c>
      <c r="X118" s="390">
        <v>10186</v>
      </c>
      <c r="Y118" s="390" t="s">
        <v>1976</v>
      </c>
      <c r="Z118" s="391" t="s">
        <v>1977</v>
      </c>
    </row>
    <row r="119" spans="2:26" ht="15.75" customHeight="1" x14ac:dyDescent="0.3">
      <c r="B119" s="387" t="s">
        <v>1375</v>
      </c>
      <c r="C119" s="388">
        <v>111527</v>
      </c>
      <c r="D119" s="388" t="s">
        <v>1978</v>
      </c>
      <c r="E119" s="388" t="s">
        <v>1377</v>
      </c>
      <c r="F119" s="388" t="s">
        <v>1378</v>
      </c>
      <c r="G119" s="388" t="s">
        <v>1379</v>
      </c>
      <c r="H119" s="388" t="s">
        <v>1471</v>
      </c>
      <c r="I119" s="388" t="s">
        <v>1393</v>
      </c>
      <c r="J119" s="388" t="s">
        <v>1382</v>
      </c>
      <c r="K119" s="388" t="s">
        <v>1383</v>
      </c>
      <c r="L119" s="389">
        <v>271</v>
      </c>
      <c r="M119" s="390" t="s">
        <v>1979</v>
      </c>
      <c r="N119" s="390" t="s">
        <v>1650</v>
      </c>
      <c r="O119" s="390" t="s">
        <v>1474</v>
      </c>
      <c r="P119" s="390" t="s">
        <v>1387</v>
      </c>
      <c r="Q119" s="388" t="s">
        <v>1383</v>
      </c>
      <c r="R119" s="390">
        <v>18</v>
      </c>
      <c r="S119" s="390" t="s">
        <v>1790</v>
      </c>
      <c r="T119" s="390">
        <v>55</v>
      </c>
      <c r="U119" s="390" t="s">
        <v>1980</v>
      </c>
      <c r="V119" s="390">
        <v>2535</v>
      </c>
      <c r="W119" s="390" t="s">
        <v>1978</v>
      </c>
      <c r="X119" s="390">
        <v>180099</v>
      </c>
      <c r="Y119" s="390" t="s">
        <v>1978</v>
      </c>
      <c r="Z119" s="391" t="s">
        <v>1981</v>
      </c>
    </row>
    <row r="120" spans="2:26" ht="15.75" customHeight="1" x14ac:dyDescent="0.3">
      <c r="B120" s="387" t="s">
        <v>1375</v>
      </c>
      <c r="C120" s="388">
        <v>113264</v>
      </c>
      <c r="D120" s="388" t="s">
        <v>1982</v>
      </c>
      <c r="E120" s="388" t="s">
        <v>1377</v>
      </c>
      <c r="F120" s="388" t="s">
        <v>1378</v>
      </c>
      <c r="G120" s="388" t="s">
        <v>1379</v>
      </c>
      <c r="H120" s="388" t="s">
        <v>1471</v>
      </c>
      <c r="I120" s="388" t="s">
        <v>1861</v>
      </c>
      <c r="J120" s="388" t="s">
        <v>1382</v>
      </c>
      <c r="K120" s="388" t="s">
        <v>1383</v>
      </c>
      <c r="L120" s="389">
        <v>217</v>
      </c>
      <c r="M120" s="390" t="s">
        <v>1983</v>
      </c>
      <c r="N120" s="390" t="s">
        <v>1984</v>
      </c>
      <c r="O120" s="390" t="s">
        <v>1386</v>
      </c>
      <c r="P120" s="390" t="s">
        <v>1387</v>
      </c>
      <c r="Q120" s="388" t="s">
        <v>1383</v>
      </c>
      <c r="R120" s="390">
        <v>19</v>
      </c>
      <c r="S120" s="390" t="s">
        <v>1841</v>
      </c>
      <c r="T120" s="390">
        <v>69</v>
      </c>
      <c r="U120" s="390" t="s">
        <v>1853</v>
      </c>
      <c r="V120" s="390">
        <v>2442</v>
      </c>
      <c r="W120" s="390" t="s">
        <v>1985</v>
      </c>
      <c r="X120" s="390">
        <v>190229</v>
      </c>
      <c r="Y120" s="390" t="s">
        <v>1985</v>
      </c>
      <c r="Z120" s="391" t="s">
        <v>1986</v>
      </c>
    </row>
    <row r="121" spans="2:26" ht="15.75" customHeight="1" x14ac:dyDescent="0.3">
      <c r="B121" s="387" t="s">
        <v>1375</v>
      </c>
      <c r="C121" s="388">
        <v>113267</v>
      </c>
      <c r="D121" s="388" t="s">
        <v>1987</v>
      </c>
      <c r="E121" s="388" t="s">
        <v>1377</v>
      </c>
      <c r="F121" s="388" t="s">
        <v>1378</v>
      </c>
      <c r="G121" s="388" t="s">
        <v>1845</v>
      </c>
      <c r="H121" s="388" t="s">
        <v>1380</v>
      </c>
      <c r="I121" s="388" t="s">
        <v>1393</v>
      </c>
      <c r="J121" s="388" t="s">
        <v>1382</v>
      </c>
      <c r="K121" s="388" t="s">
        <v>1383</v>
      </c>
      <c r="L121" s="389">
        <v>60</v>
      </c>
      <c r="M121" s="390" t="s">
        <v>1988</v>
      </c>
      <c r="N121" s="390" t="s">
        <v>1706</v>
      </c>
      <c r="O121" s="390" t="s">
        <v>1482</v>
      </c>
      <c r="P121" s="390" t="s">
        <v>1387</v>
      </c>
      <c r="Q121" s="388" t="s">
        <v>1383</v>
      </c>
      <c r="R121" s="390">
        <v>12</v>
      </c>
      <c r="S121" s="390" t="s">
        <v>1695</v>
      </c>
      <c r="T121" s="390">
        <v>22</v>
      </c>
      <c r="U121" s="390" t="s">
        <v>1701</v>
      </c>
      <c r="V121" s="390">
        <v>5102</v>
      </c>
      <c r="W121" s="390" t="s">
        <v>1989</v>
      </c>
      <c r="X121" s="390">
        <v>120045</v>
      </c>
      <c r="Y121" s="390" t="s">
        <v>1989</v>
      </c>
      <c r="Z121" s="391" t="s">
        <v>1990</v>
      </c>
    </row>
    <row r="122" spans="2:26" ht="15.75" customHeight="1" x14ac:dyDescent="0.3">
      <c r="B122" s="387" t="s">
        <v>1375</v>
      </c>
      <c r="C122" s="388">
        <v>113304</v>
      </c>
      <c r="D122" s="388" t="s">
        <v>1991</v>
      </c>
      <c r="E122" s="388" t="s">
        <v>1377</v>
      </c>
      <c r="F122" s="388" t="s">
        <v>1378</v>
      </c>
      <c r="G122" s="388" t="s">
        <v>1379</v>
      </c>
      <c r="H122" s="388" t="s">
        <v>1471</v>
      </c>
      <c r="I122" s="388" t="s">
        <v>1393</v>
      </c>
      <c r="J122" s="388" t="s">
        <v>1382</v>
      </c>
      <c r="K122" s="388" t="s">
        <v>1383</v>
      </c>
      <c r="L122" s="389">
        <v>300</v>
      </c>
      <c r="M122" s="390" t="s">
        <v>1992</v>
      </c>
      <c r="N122" s="390" t="s">
        <v>1993</v>
      </c>
      <c r="O122" s="390" t="s">
        <v>1474</v>
      </c>
      <c r="P122" s="390" t="s">
        <v>1387</v>
      </c>
      <c r="Q122" s="388" t="s">
        <v>1383</v>
      </c>
      <c r="R122" s="390">
        <v>8</v>
      </c>
      <c r="S122" s="390" t="s">
        <v>1483</v>
      </c>
      <c r="T122" s="390">
        <v>82</v>
      </c>
      <c r="U122" s="390" t="s">
        <v>1511</v>
      </c>
      <c r="V122" s="390">
        <v>4614</v>
      </c>
      <c r="W122" s="390" t="s">
        <v>1994</v>
      </c>
      <c r="X122" s="390">
        <v>80223</v>
      </c>
      <c r="Y122" s="390" t="s">
        <v>1995</v>
      </c>
      <c r="Z122" s="391" t="s">
        <v>1996</v>
      </c>
    </row>
    <row r="123" spans="2:26" ht="15.75" customHeight="1" x14ac:dyDescent="0.3">
      <c r="B123" s="387" t="s">
        <v>1375</v>
      </c>
      <c r="C123" s="388">
        <v>113315</v>
      </c>
      <c r="D123" s="388" t="s">
        <v>1997</v>
      </c>
      <c r="E123" s="388" t="s">
        <v>1377</v>
      </c>
      <c r="F123" s="388" t="s">
        <v>1418</v>
      </c>
      <c r="G123" s="388" t="s">
        <v>1379</v>
      </c>
      <c r="H123" s="388" t="s">
        <v>1380</v>
      </c>
      <c r="I123" s="388" t="s">
        <v>1530</v>
      </c>
      <c r="J123" s="388" t="s">
        <v>1420</v>
      </c>
      <c r="K123" s="388" t="s">
        <v>1383</v>
      </c>
      <c r="L123" s="389">
        <v>70</v>
      </c>
      <c r="M123" s="390" t="s">
        <v>1998</v>
      </c>
      <c r="N123" s="390" t="s">
        <v>1999</v>
      </c>
      <c r="O123" s="390" t="s">
        <v>1634</v>
      </c>
      <c r="P123" s="390" t="s">
        <v>1383</v>
      </c>
      <c r="Q123" s="388" t="s">
        <v>1383</v>
      </c>
      <c r="R123" s="390">
        <v>11</v>
      </c>
      <c r="S123" s="390" t="s">
        <v>1608</v>
      </c>
      <c r="T123" s="390">
        <v>28</v>
      </c>
      <c r="U123" s="390" t="s">
        <v>1609</v>
      </c>
      <c r="V123" s="390">
        <v>9221</v>
      </c>
      <c r="W123" s="390" t="s">
        <v>2000</v>
      </c>
      <c r="X123" s="390">
        <v>110271</v>
      </c>
      <c r="Y123" s="390" t="s">
        <v>2001</v>
      </c>
      <c r="Z123" s="391" t="s">
        <v>2002</v>
      </c>
    </row>
    <row r="124" spans="2:26" ht="15.75" customHeight="1" x14ac:dyDescent="0.3">
      <c r="B124" s="387" t="s">
        <v>1375</v>
      </c>
      <c r="C124" s="388">
        <v>113318</v>
      </c>
      <c r="D124" s="388" t="s">
        <v>2003</v>
      </c>
      <c r="E124" s="388" t="s">
        <v>1377</v>
      </c>
      <c r="F124" s="388" t="s">
        <v>1378</v>
      </c>
      <c r="G124" s="388" t="s">
        <v>1379</v>
      </c>
      <c r="H124" s="388" t="s">
        <v>1471</v>
      </c>
      <c r="I124" s="388" t="s">
        <v>1861</v>
      </c>
      <c r="J124" s="388" t="s">
        <v>1382</v>
      </c>
      <c r="K124" s="388" t="s">
        <v>1383</v>
      </c>
      <c r="L124" s="389">
        <v>115</v>
      </c>
      <c r="M124" s="390" t="s">
        <v>2004</v>
      </c>
      <c r="N124" s="390" t="s">
        <v>2005</v>
      </c>
      <c r="O124" s="390" t="s">
        <v>1482</v>
      </c>
      <c r="P124" s="390" t="s">
        <v>1387</v>
      </c>
      <c r="Q124" s="388" t="s">
        <v>1383</v>
      </c>
      <c r="R124" s="390">
        <v>8</v>
      </c>
      <c r="S124" s="390" t="s">
        <v>1483</v>
      </c>
      <c r="T124" s="390">
        <v>82</v>
      </c>
      <c r="U124" s="390" t="s">
        <v>1511</v>
      </c>
      <c r="V124" s="390">
        <v>4609</v>
      </c>
      <c r="W124" s="390" t="s">
        <v>2006</v>
      </c>
      <c r="X124" s="390">
        <v>80180</v>
      </c>
      <c r="Y124" s="390" t="s">
        <v>2006</v>
      </c>
      <c r="Z124" s="391" t="s">
        <v>2007</v>
      </c>
    </row>
    <row r="125" spans="2:26" ht="15.75" customHeight="1" x14ac:dyDescent="0.3">
      <c r="B125" s="387" t="s">
        <v>1375</v>
      </c>
      <c r="C125" s="388">
        <v>113370</v>
      </c>
      <c r="D125" s="388" t="s">
        <v>2008</v>
      </c>
      <c r="E125" s="388" t="s">
        <v>1377</v>
      </c>
      <c r="F125" s="388" t="s">
        <v>1418</v>
      </c>
      <c r="G125" s="388" t="s">
        <v>1379</v>
      </c>
      <c r="H125" s="388" t="s">
        <v>1380</v>
      </c>
      <c r="I125" s="388" t="s">
        <v>2009</v>
      </c>
      <c r="J125" s="388" t="s">
        <v>1420</v>
      </c>
      <c r="K125" s="388" t="s">
        <v>1383</v>
      </c>
      <c r="L125" s="389">
        <v>70</v>
      </c>
      <c r="M125" s="390" t="s">
        <v>2010</v>
      </c>
      <c r="N125" s="390" t="s">
        <v>2011</v>
      </c>
      <c r="O125" s="390" t="s">
        <v>1634</v>
      </c>
      <c r="P125" s="390" t="s">
        <v>1383</v>
      </c>
      <c r="Q125" s="388" t="s">
        <v>1383</v>
      </c>
      <c r="R125" s="390">
        <v>5</v>
      </c>
      <c r="S125" s="390" t="s">
        <v>1466</v>
      </c>
      <c r="T125" s="390">
        <v>57</v>
      </c>
      <c r="U125" s="390" t="s">
        <v>1639</v>
      </c>
      <c r="V125" s="390">
        <v>2524</v>
      </c>
      <c r="W125" s="390" t="s">
        <v>2012</v>
      </c>
      <c r="X125" s="390">
        <v>50248</v>
      </c>
      <c r="Y125" s="390" t="s">
        <v>2013</v>
      </c>
      <c r="Z125" s="391" t="s">
        <v>2014</v>
      </c>
    </row>
    <row r="126" spans="2:26" ht="15.75" customHeight="1" x14ac:dyDescent="0.3">
      <c r="B126" s="387" t="s">
        <v>1375</v>
      </c>
      <c r="C126" s="388">
        <v>113372</v>
      </c>
      <c r="D126" s="388" t="s">
        <v>2015</v>
      </c>
      <c r="E126" s="388" t="s">
        <v>1377</v>
      </c>
      <c r="F126" s="388" t="s">
        <v>1418</v>
      </c>
      <c r="G126" s="388" t="s">
        <v>1379</v>
      </c>
      <c r="H126" s="388" t="s">
        <v>1380</v>
      </c>
      <c r="I126" s="388" t="s">
        <v>1530</v>
      </c>
      <c r="J126" s="388" t="s">
        <v>1420</v>
      </c>
      <c r="K126" s="388" t="s">
        <v>1383</v>
      </c>
      <c r="L126" s="389">
        <v>70</v>
      </c>
      <c r="M126" s="390" t="s">
        <v>2016</v>
      </c>
      <c r="N126" s="390" t="s">
        <v>2017</v>
      </c>
      <c r="O126" s="390" t="s">
        <v>1634</v>
      </c>
      <c r="P126" s="390" t="s">
        <v>1383</v>
      </c>
      <c r="Q126" s="388" t="s">
        <v>1383</v>
      </c>
      <c r="R126" s="390">
        <v>1</v>
      </c>
      <c r="S126" s="390" t="s">
        <v>1388</v>
      </c>
      <c r="T126" s="390">
        <v>12</v>
      </c>
      <c r="U126" s="390" t="s">
        <v>2018</v>
      </c>
      <c r="V126" s="390">
        <v>8519</v>
      </c>
      <c r="W126" s="390" t="s">
        <v>2019</v>
      </c>
      <c r="X126" s="390">
        <v>10094</v>
      </c>
      <c r="Y126" s="390" t="s">
        <v>2019</v>
      </c>
      <c r="Z126" s="391" t="s">
        <v>2020</v>
      </c>
    </row>
    <row r="127" spans="2:26" ht="15.75" customHeight="1" x14ac:dyDescent="0.3">
      <c r="B127" s="387" t="s">
        <v>1375</v>
      </c>
      <c r="C127" s="388">
        <v>113373</v>
      </c>
      <c r="D127" s="388" t="s">
        <v>2021</v>
      </c>
      <c r="E127" s="388" t="s">
        <v>1377</v>
      </c>
      <c r="F127" s="388" t="s">
        <v>1418</v>
      </c>
      <c r="G127" s="388" t="s">
        <v>1379</v>
      </c>
      <c r="H127" s="388" t="s">
        <v>1380</v>
      </c>
      <c r="I127" s="388" t="s">
        <v>1440</v>
      </c>
      <c r="J127" s="388" t="s">
        <v>1420</v>
      </c>
      <c r="K127" s="388" t="s">
        <v>1383</v>
      </c>
      <c r="L127" s="389">
        <v>95</v>
      </c>
      <c r="M127" s="390" t="s">
        <v>2022</v>
      </c>
      <c r="N127" s="390" t="s">
        <v>2023</v>
      </c>
      <c r="O127" s="392" t="s">
        <v>2024</v>
      </c>
      <c r="P127" s="390" t="s">
        <v>1387</v>
      </c>
      <c r="Q127" s="388" t="s">
        <v>1383</v>
      </c>
      <c r="R127" s="390">
        <v>7</v>
      </c>
      <c r="S127" s="390" t="s">
        <v>1687</v>
      </c>
      <c r="T127" s="390">
        <v>87</v>
      </c>
      <c r="U127" s="390" t="s">
        <v>2025</v>
      </c>
      <c r="V127" s="390">
        <v>4602</v>
      </c>
      <c r="W127" s="390" t="s">
        <v>2026</v>
      </c>
      <c r="X127" s="390">
        <v>70071</v>
      </c>
      <c r="Y127" s="390" t="s">
        <v>2027</v>
      </c>
      <c r="Z127" s="391" t="s">
        <v>2028</v>
      </c>
    </row>
    <row r="128" spans="2:26" ht="15.75" customHeight="1" x14ac:dyDescent="0.3">
      <c r="B128" s="387" t="s">
        <v>1375</v>
      </c>
      <c r="C128" s="388">
        <v>113528</v>
      </c>
      <c r="D128" s="388" t="s">
        <v>2029</v>
      </c>
      <c r="E128" s="388" t="s">
        <v>1377</v>
      </c>
      <c r="F128" s="388" t="s">
        <v>1378</v>
      </c>
      <c r="G128" s="388" t="s">
        <v>1379</v>
      </c>
      <c r="H128" s="388" t="s">
        <v>1471</v>
      </c>
      <c r="I128" s="388" t="s">
        <v>1861</v>
      </c>
      <c r="J128" s="388" t="s">
        <v>1382</v>
      </c>
      <c r="K128" s="388" t="s">
        <v>1383</v>
      </c>
      <c r="L128" s="389">
        <v>192</v>
      </c>
      <c r="M128" s="390" t="s">
        <v>2030</v>
      </c>
      <c r="N128" s="390" t="s">
        <v>2031</v>
      </c>
      <c r="O128" s="390" t="s">
        <v>1482</v>
      </c>
      <c r="P128" s="390" t="s">
        <v>1387</v>
      </c>
      <c r="Q128" s="388" t="s">
        <v>1383</v>
      </c>
      <c r="R128" s="390">
        <v>7</v>
      </c>
      <c r="S128" s="390" t="s">
        <v>1687</v>
      </c>
      <c r="T128" s="390">
        <v>84</v>
      </c>
      <c r="U128" s="390" t="s">
        <v>1920</v>
      </c>
      <c r="V128" s="390">
        <v>4623</v>
      </c>
      <c r="W128" s="390" t="s">
        <v>2032</v>
      </c>
      <c r="X128" s="390">
        <v>70226</v>
      </c>
      <c r="Y128" s="390" t="s">
        <v>2033</v>
      </c>
      <c r="Z128" s="391" t="s">
        <v>2034</v>
      </c>
    </row>
    <row r="129" spans="2:26" ht="15.75" customHeight="1" x14ac:dyDescent="0.3">
      <c r="B129" s="387" t="s">
        <v>1375</v>
      </c>
      <c r="C129" s="388">
        <v>113936</v>
      </c>
      <c r="D129" s="388" t="s">
        <v>2035</v>
      </c>
      <c r="E129" s="388" t="s">
        <v>1377</v>
      </c>
      <c r="F129" s="388" t="s">
        <v>1378</v>
      </c>
      <c r="G129" s="388" t="s">
        <v>1379</v>
      </c>
      <c r="H129" s="388" t="s">
        <v>1471</v>
      </c>
      <c r="I129" s="388" t="s">
        <v>1393</v>
      </c>
      <c r="J129" s="388" t="s">
        <v>1382</v>
      </c>
      <c r="K129" s="388" t="s">
        <v>1383</v>
      </c>
      <c r="L129" s="389">
        <v>300</v>
      </c>
      <c r="M129" s="390" t="s">
        <v>2036</v>
      </c>
      <c r="N129" s="390" t="s">
        <v>1877</v>
      </c>
      <c r="O129" s="390" t="s">
        <v>1474</v>
      </c>
      <c r="P129" s="390" t="s">
        <v>1387</v>
      </c>
      <c r="Q129" s="388" t="s">
        <v>1383</v>
      </c>
      <c r="R129" s="390">
        <v>5</v>
      </c>
      <c r="S129" s="390" t="s">
        <v>1466</v>
      </c>
      <c r="T129" s="390">
        <v>59</v>
      </c>
      <c r="U129" s="390" t="s">
        <v>2037</v>
      </c>
      <c r="V129" s="390">
        <v>2618</v>
      </c>
      <c r="W129" s="390" t="s">
        <v>2038</v>
      </c>
      <c r="X129" s="390">
        <v>50086</v>
      </c>
      <c r="Y129" s="390" t="s">
        <v>2039</v>
      </c>
      <c r="Z129" s="391" t="s">
        <v>2040</v>
      </c>
    </row>
    <row r="130" spans="2:26" ht="15.75" customHeight="1" x14ac:dyDescent="0.3">
      <c r="B130" s="387" t="s">
        <v>1375</v>
      </c>
      <c r="C130" s="388">
        <v>113938</v>
      </c>
      <c r="D130" s="388" t="s">
        <v>1927</v>
      </c>
      <c r="E130" s="388" t="s">
        <v>1377</v>
      </c>
      <c r="F130" s="388" t="s">
        <v>1378</v>
      </c>
      <c r="G130" s="388" t="s">
        <v>1379</v>
      </c>
      <c r="H130" s="388" t="s">
        <v>1471</v>
      </c>
      <c r="I130" s="388" t="s">
        <v>1393</v>
      </c>
      <c r="J130" s="388" t="s">
        <v>1382</v>
      </c>
      <c r="K130" s="388" t="s">
        <v>1383</v>
      </c>
      <c r="L130" s="389">
        <v>289</v>
      </c>
      <c r="M130" s="390" t="s">
        <v>2041</v>
      </c>
      <c r="N130" s="390" t="s">
        <v>2042</v>
      </c>
      <c r="O130" s="390" t="s">
        <v>1474</v>
      </c>
      <c r="P130" s="390" t="s">
        <v>1387</v>
      </c>
      <c r="Q130" s="388" t="s">
        <v>1383</v>
      </c>
      <c r="R130" s="390">
        <v>7</v>
      </c>
      <c r="S130" s="390" t="s">
        <v>1687</v>
      </c>
      <c r="T130" s="390">
        <v>86</v>
      </c>
      <c r="U130" s="390" t="s">
        <v>1927</v>
      </c>
      <c r="V130" s="390">
        <v>4630</v>
      </c>
      <c r="W130" s="390" t="s">
        <v>2043</v>
      </c>
      <c r="X130" s="390">
        <v>70265</v>
      </c>
      <c r="Y130" s="390" t="s">
        <v>2044</v>
      </c>
      <c r="Z130" s="391" t="s">
        <v>2045</v>
      </c>
    </row>
    <row r="131" spans="2:26" ht="15.75" customHeight="1" x14ac:dyDescent="0.3">
      <c r="B131" s="387" t="s">
        <v>1375</v>
      </c>
      <c r="C131" s="388">
        <v>113940</v>
      </c>
      <c r="D131" s="388" t="s">
        <v>2046</v>
      </c>
      <c r="E131" s="388" t="s">
        <v>1377</v>
      </c>
      <c r="F131" s="388" t="s">
        <v>1378</v>
      </c>
      <c r="G131" s="388" t="s">
        <v>1379</v>
      </c>
      <c r="H131" s="388" t="s">
        <v>1471</v>
      </c>
      <c r="I131" s="388" t="s">
        <v>1393</v>
      </c>
      <c r="J131" s="388" t="s">
        <v>1382</v>
      </c>
      <c r="K131" s="388" t="s">
        <v>1383</v>
      </c>
      <c r="L131" s="389">
        <v>275</v>
      </c>
      <c r="M131" s="390" t="s">
        <v>2047</v>
      </c>
      <c r="N131" s="390" t="s">
        <v>2048</v>
      </c>
      <c r="O131" s="390" t="s">
        <v>1474</v>
      </c>
      <c r="P131" s="390" t="s">
        <v>1387</v>
      </c>
      <c r="Q131" s="388" t="s">
        <v>1383</v>
      </c>
      <c r="R131" s="390">
        <v>19</v>
      </c>
      <c r="S131" s="390" t="s">
        <v>1841</v>
      </c>
      <c r="T131" s="390">
        <v>67</v>
      </c>
      <c r="U131" s="390" t="s">
        <v>2049</v>
      </c>
      <c r="V131" s="390">
        <v>2504</v>
      </c>
      <c r="W131" s="390" t="s">
        <v>2050</v>
      </c>
      <c r="X131" s="390">
        <v>190108</v>
      </c>
      <c r="Y131" s="390" t="s">
        <v>2051</v>
      </c>
      <c r="Z131" s="391" t="s">
        <v>2052</v>
      </c>
    </row>
    <row r="132" spans="2:26" ht="15.75" customHeight="1" x14ac:dyDescent="0.3">
      <c r="B132" s="387" t="s">
        <v>1375</v>
      </c>
      <c r="C132" s="388">
        <v>117888</v>
      </c>
      <c r="D132" s="388" t="s">
        <v>2053</v>
      </c>
      <c r="E132" s="388" t="s">
        <v>1377</v>
      </c>
      <c r="F132" s="388" t="s">
        <v>1378</v>
      </c>
      <c r="G132" s="388" t="s">
        <v>1379</v>
      </c>
      <c r="H132" s="388" t="s">
        <v>1380</v>
      </c>
      <c r="I132" s="388" t="s">
        <v>1530</v>
      </c>
      <c r="J132" s="388" t="s">
        <v>1382</v>
      </c>
      <c r="K132" s="388" t="s">
        <v>1383</v>
      </c>
      <c r="L132" s="389">
        <v>140</v>
      </c>
      <c r="M132" s="390" t="s">
        <v>2054</v>
      </c>
      <c r="N132" s="390" t="s">
        <v>2055</v>
      </c>
      <c r="O132" s="390" t="s">
        <v>1482</v>
      </c>
      <c r="P132" s="390" t="s">
        <v>1387</v>
      </c>
      <c r="Q132" s="388" t="s">
        <v>1383</v>
      </c>
      <c r="R132" s="390">
        <v>8</v>
      </c>
      <c r="S132" s="390" t="s">
        <v>1483</v>
      </c>
      <c r="T132" s="390">
        <v>47</v>
      </c>
      <c r="U132" s="390" t="s">
        <v>1503</v>
      </c>
      <c r="V132" s="390">
        <v>4508</v>
      </c>
      <c r="W132" s="390" t="s">
        <v>1504</v>
      </c>
      <c r="X132" s="390">
        <v>80141</v>
      </c>
      <c r="Y132" s="390" t="s">
        <v>2056</v>
      </c>
      <c r="Z132" s="391" t="s">
        <v>2057</v>
      </c>
    </row>
    <row r="133" spans="2:26" ht="15.75" customHeight="1" x14ac:dyDescent="0.3">
      <c r="B133" s="387" t="s">
        <v>1375</v>
      </c>
      <c r="C133" s="388">
        <v>118698</v>
      </c>
      <c r="D133" s="388" t="s">
        <v>2058</v>
      </c>
      <c r="E133" s="388" t="s">
        <v>1377</v>
      </c>
      <c r="F133" s="388" t="s">
        <v>1378</v>
      </c>
      <c r="G133" s="388" t="s">
        <v>1439</v>
      </c>
      <c r="H133" s="388" t="s">
        <v>1471</v>
      </c>
      <c r="I133" s="388" t="s">
        <v>1699</v>
      </c>
      <c r="J133" s="388" t="s">
        <v>1382</v>
      </c>
      <c r="K133" s="388" t="s">
        <v>1383</v>
      </c>
      <c r="L133" s="389">
        <v>0</v>
      </c>
      <c r="M133" s="390" t="s">
        <v>2059</v>
      </c>
      <c r="N133" s="390" t="s">
        <v>1699</v>
      </c>
      <c r="O133" s="390" t="s">
        <v>1699</v>
      </c>
      <c r="P133" s="390" t="s">
        <v>1383</v>
      </c>
      <c r="Q133" s="388" t="s">
        <v>1383</v>
      </c>
      <c r="R133" s="390">
        <v>7</v>
      </c>
      <c r="S133" s="390" t="s">
        <v>1687</v>
      </c>
      <c r="T133" s="390">
        <v>85</v>
      </c>
      <c r="U133" s="390" t="s">
        <v>1688</v>
      </c>
      <c r="V133" s="390">
        <v>4539</v>
      </c>
      <c r="W133" s="390" t="s">
        <v>1689</v>
      </c>
      <c r="X133" s="390">
        <v>70317</v>
      </c>
      <c r="Y133" s="390" t="s">
        <v>2058</v>
      </c>
      <c r="Z133" s="391" t="s">
        <v>2060</v>
      </c>
    </row>
    <row r="134" spans="2:26" ht="15.75" customHeight="1" x14ac:dyDescent="0.3">
      <c r="B134" s="387" t="s">
        <v>1375</v>
      </c>
      <c r="C134" s="388">
        <v>120042</v>
      </c>
      <c r="D134" s="388" t="s">
        <v>2061</v>
      </c>
      <c r="E134" s="388" t="s">
        <v>1377</v>
      </c>
      <c r="F134" s="388" t="s">
        <v>1378</v>
      </c>
      <c r="G134" s="388" t="s">
        <v>1439</v>
      </c>
      <c r="H134" s="388" t="s">
        <v>1380</v>
      </c>
      <c r="I134" s="388" t="s">
        <v>1530</v>
      </c>
      <c r="J134" s="388" t="s">
        <v>1382</v>
      </c>
      <c r="K134" s="388" t="s">
        <v>1383</v>
      </c>
      <c r="L134" s="389">
        <v>0</v>
      </c>
      <c r="M134" s="390" t="s">
        <v>2062</v>
      </c>
      <c r="N134" s="390" t="s">
        <v>1607</v>
      </c>
      <c r="O134" s="390" t="s">
        <v>1474</v>
      </c>
      <c r="P134" s="390" t="s">
        <v>1387</v>
      </c>
      <c r="Q134" s="388" t="s">
        <v>1383</v>
      </c>
      <c r="R134" s="390">
        <v>7</v>
      </c>
      <c r="S134" s="390" t="s">
        <v>1687</v>
      </c>
      <c r="T134" s="390">
        <v>85</v>
      </c>
      <c r="U134" s="390" t="s">
        <v>1688</v>
      </c>
      <c r="V134" s="390">
        <v>4524</v>
      </c>
      <c r="W134" s="390" t="s">
        <v>2063</v>
      </c>
      <c r="X134" s="390">
        <v>70223</v>
      </c>
      <c r="Y134" s="390" t="s">
        <v>2064</v>
      </c>
      <c r="Z134" s="391" t="s">
        <v>2065</v>
      </c>
    </row>
    <row r="135" spans="2:26" ht="15.75" customHeight="1" x14ac:dyDescent="0.3">
      <c r="B135" s="387" t="s">
        <v>1375</v>
      </c>
      <c r="C135" s="388">
        <v>120519</v>
      </c>
      <c r="D135" s="388" t="s">
        <v>2066</v>
      </c>
      <c r="E135" s="388" t="s">
        <v>1377</v>
      </c>
      <c r="F135" s="388" t="s">
        <v>1378</v>
      </c>
      <c r="G135" s="388" t="s">
        <v>1379</v>
      </c>
      <c r="H135" s="388" t="s">
        <v>1471</v>
      </c>
      <c r="I135" s="388" t="s">
        <v>1861</v>
      </c>
      <c r="J135" s="388" t="s">
        <v>1382</v>
      </c>
      <c r="K135" s="388" t="s">
        <v>1383</v>
      </c>
      <c r="L135" s="389">
        <v>103</v>
      </c>
      <c r="M135" s="390" t="s">
        <v>2067</v>
      </c>
      <c r="N135" s="390" t="s">
        <v>2068</v>
      </c>
      <c r="O135" s="390" t="s">
        <v>1386</v>
      </c>
      <c r="P135" s="390" t="s">
        <v>1387</v>
      </c>
      <c r="Q135" s="388" t="s">
        <v>1383</v>
      </c>
      <c r="R135" s="390">
        <v>19</v>
      </c>
      <c r="S135" s="390" t="s">
        <v>1841</v>
      </c>
      <c r="T135" s="390">
        <v>70</v>
      </c>
      <c r="U135" s="390" t="s">
        <v>1842</v>
      </c>
      <c r="V135" s="390">
        <v>2430</v>
      </c>
      <c r="W135" s="390" t="s">
        <v>2069</v>
      </c>
      <c r="X135" s="390">
        <v>190084</v>
      </c>
      <c r="Y135" s="390" t="s">
        <v>2070</v>
      </c>
      <c r="Z135" s="391" t="s">
        <v>2071</v>
      </c>
    </row>
    <row r="136" spans="2:26" ht="15.75" customHeight="1" x14ac:dyDescent="0.3">
      <c r="B136" s="387" t="s">
        <v>1375</v>
      </c>
      <c r="C136" s="388">
        <v>120522</v>
      </c>
      <c r="D136" s="388" t="s">
        <v>2072</v>
      </c>
      <c r="E136" s="388" t="s">
        <v>1377</v>
      </c>
      <c r="F136" s="388" t="s">
        <v>1378</v>
      </c>
      <c r="G136" s="388" t="s">
        <v>1379</v>
      </c>
      <c r="H136" s="388" t="s">
        <v>1471</v>
      </c>
      <c r="I136" s="388" t="s">
        <v>1861</v>
      </c>
      <c r="J136" s="388" t="s">
        <v>1382</v>
      </c>
      <c r="K136" s="388" t="s">
        <v>1383</v>
      </c>
      <c r="L136" s="389">
        <v>130</v>
      </c>
      <c r="M136" s="390" t="s">
        <v>2073</v>
      </c>
      <c r="N136" s="390" t="s">
        <v>2074</v>
      </c>
      <c r="O136" s="390" t="s">
        <v>1474</v>
      </c>
      <c r="P136" s="390" t="s">
        <v>1387</v>
      </c>
      <c r="Q136" s="388" t="s">
        <v>1383</v>
      </c>
      <c r="R136" s="390">
        <v>7</v>
      </c>
      <c r="S136" s="390" t="s">
        <v>1687</v>
      </c>
      <c r="T136" s="390">
        <v>85</v>
      </c>
      <c r="U136" s="390" t="s">
        <v>1688</v>
      </c>
      <c r="V136" s="390">
        <v>4552</v>
      </c>
      <c r="W136" s="390" t="s">
        <v>2075</v>
      </c>
      <c r="X136" s="390">
        <v>70308</v>
      </c>
      <c r="Y136" s="390" t="s">
        <v>2076</v>
      </c>
      <c r="Z136" s="391" t="s">
        <v>2077</v>
      </c>
    </row>
    <row r="137" spans="2:26" ht="15.75" customHeight="1" x14ac:dyDescent="0.3">
      <c r="B137" s="387" t="s">
        <v>1375</v>
      </c>
      <c r="C137" s="388">
        <v>120525</v>
      </c>
      <c r="D137" s="388" t="s">
        <v>2078</v>
      </c>
      <c r="E137" s="388" t="s">
        <v>1377</v>
      </c>
      <c r="F137" s="388" t="s">
        <v>1378</v>
      </c>
      <c r="G137" s="388" t="s">
        <v>1439</v>
      </c>
      <c r="H137" s="388" t="s">
        <v>1471</v>
      </c>
      <c r="I137" s="388">
        <v>0</v>
      </c>
      <c r="J137" s="388" t="s">
        <v>1382</v>
      </c>
      <c r="K137" s="388" t="s">
        <v>1383</v>
      </c>
      <c r="L137" s="389">
        <v>0</v>
      </c>
      <c r="M137" s="390" t="s">
        <v>2079</v>
      </c>
      <c r="N137" s="390" t="s">
        <v>1699</v>
      </c>
      <c r="O137" s="390" t="s">
        <v>1699</v>
      </c>
      <c r="P137" s="390" t="s">
        <v>1383</v>
      </c>
      <c r="Q137" s="388" t="s">
        <v>1383</v>
      </c>
      <c r="R137" s="390">
        <v>7</v>
      </c>
      <c r="S137" s="390" t="s">
        <v>1687</v>
      </c>
      <c r="T137" s="390">
        <v>87</v>
      </c>
      <c r="U137" s="390" t="s">
        <v>2025</v>
      </c>
      <c r="V137" s="390">
        <v>205320</v>
      </c>
      <c r="W137" s="390" t="s">
        <v>2080</v>
      </c>
      <c r="X137" s="390">
        <v>70241</v>
      </c>
      <c r="Y137" s="390" t="s">
        <v>2081</v>
      </c>
      <c r="Z137" s="391" t="s">
        <v>2082</v>
      </c>
    </row>
    <row r="138" spans="2:26" ht="15.75" customHeight="1" x14ac:dyDescent="0.3">
      <c r="B138" s="387" t="s">
        <v>1375</v>
      </c>
      <c r="C138" s="388">
        <v>120526</v>
      </c>
      <c r="D138" s="388" t="s">
        <v>2083</v>
      </c>
      <c r="E138" s="388" t="s">
        <v>1377</v>
      </c>
      <c r="F138" s="388" t="s">
        <v>1378</v>
      </c>
      <c r="G138" s="388" t="s">
        <v>1379</v>
      </c>
      <c r="H138" s="388" t="s">
        <v>1471</v>
      </c>
      <c r="I138" s="388" t="s">
        <v>1861</v>
      </c>
      <c r="J138" s="388" t="s">
        <v>1382</v>
      </c>
      <c r="K138" s="388" t="s">
        <v>1383</v>
      </c>
      <c r="L138" s="389">
        <v>76</v>
      </c>
      <c r="M138" s="390" t="s">
        <v>2084</v>
      </c>
      <c r="N138" s="390" t="s">
        <v>2085</v>
      </c>
      <c r="O138" s="390" t="s">
        <v>1474</v>
      </c>
      <c r="P138" s="390" t="s">
        <v>1387</v>
      </c>
      <c r="Q138" s="388" t="s">
        <v>1383</v>
      </c>
      <c r="R138" s="390">
        <v>9</v>
      </c>
      <c r="S138" s="390" t="s">
        <v>1533</v>
      </c>
      <c r="T138" s="390">
        <v>77</v>
      </c>
      <c r="U138" s="390" t="s">
        <v>2086</v>
      </c>
      <c r="V138" s="390">
        <v>6532</v>
      </c>
      <c r="W138" s="390" t="s">
        <v>2087</v>
      </c>
      <c r="X138" s="390">
        <v>90058</v>
      </c>
      <c r="Y138" s="390" t="s">
        <v>2087</v>
      </c>
      <c r="Z138" s="391" t="s">
        <v>2088</v>
      </c>
    </row>
    <row r="139" spans="2:26" ht="15.75" customHeight="1" x14ac:dyDescent="0.3">
      <c r="B139" s="387" t="s">
        <v>1375</v>
      </c>
      <c r="C139" s="388">
        <v>120529</v>
      </c>
      <c r="D139" s="388" t="s">
        <v>2089</v>
      </c>
      <c r="E139" s="388" t="s">
        <v>1377</v>
      </c>
      <c r="F139" s="388" t="s">
        <v>1378</v>
      </c>
      <c r="G139" s="388" t="s">
        <v>1379</v>
      </c>
      <c r="H139" s="388" t="s">
        <v>1471</v>
      </c>
      <c r="I139" s="388" t="s">
        <v>1861</v>
      </c>
      <c r="J139" s="388" t="s">
        <v>1382</v>
      </c>
      <c r="K139" s="388" t="s">
        <v>1383</v>
      </c>
      <c r="L139" s="389">
        <v>112</v>
      </c>
      <c r="M139" s="390" t="s">
        <v>2090</v>
      </c>
      <c r="N139" s="390" t="s">
        <v>2091</v>
      </c>
      <c r="O139" s="390" t="s">
        <v>1386</v>
      </c>
      <c r="P139" s="390" t="s">
        <v>1387</v>
      </c>
      <c r="Q139" s="388" t="s">
        <v>1383</v>
      </c>
      <c r="R139" s="390">
        <v>10</v>
      </c>
      <c r="S139" s="390" t="s">
        <v>1552</v>
      </c>
      <c r="T139" s="390">
        <v>74</v>
      </c>
      <c r="U139" s="390" t="s">
        <v>1552</v>
      </c>
      <c r="V139" s="390">
        <v>5636</v>
      </c>
      <c r="W139" s="390" t="s">
        <v>1559</v>
      </c>
      <c r="X139" s="390">
        <v>100192</v>
      </c>
      <c r="Y139" s="390" t="s">
        <v>1560</v>
      </c>
      <c r="Z139" s="391" t="s">
        <v>2092</v>
      </c>
    </row>
    <row r="140" spans="2:26" ht="15.75" customHeight="1" x14ac:dyDescent="0.3">
      <c r="B140" s="387" t="s">
        <v>1375</v>
      </c>
      <c r="C140" s="388">
        <v>120532</v>
      </c>
      <c r="D140" s="388" t="s">
        <v>2093</v>
      </c>
      <c r="E140" s="388" t="s">
        <v>1377</v>
      </c>
      <c r="F140" s="388" t="s">
        <v>1378</v>
      </c>
      <c r="G140" s="388" t="s">
        <v>1439</v>
      </c>
      <c r="H140" s="388" t="s">
        <v>1471</v>
      </c>
      <c r="I140" s="388" t="s">
        <v>2009</v>
      </c>
      <c r="J140" s="388" t="s">
        <v>1382</v>
      </c>
      <c r="K140" s="388" t="s">
        <v>1383</v>
      </c>
      <c r="L140" s="389">
        <v>0</v>
      </c>
      <c r="M140" s="390" t="s">
        <v>2094</v>
      </c>
      <c r="N140" s="390" t="s">
        <v>2095</v>
      </c>
      <c r="O140" s="390" t="s">
        <v>2096</v>
      </c>
      <c r="P140" s="390" t="s">
        <v>1383</v>
      </c>
      <c r="Q140" s="388" t="s">
        <v>1383</v>
      </c>
      <c r="R140" s="390">
        <v>4</v>
      </c>
      <c r="S140" s="390" t="s">
        <v>1451</v>
      </c>
      <c r="T140" s="390">
        <v>50</v>
      </c>
      <c r="U140" s="390" t="s">
        <v>1458</v>
      </c>
      <c r="V140" s="390">
        <v>1315</v>
      </c>
      <c r="W140" s="390" t="s">
        <v>2097</v>
      </c>
      <c r="X140" s="390">
        <v>40002</v>
      </c>
      <c r="Y140" s="390" t="s">
        <v>2098</v>
      </c>
      <c r="Z140" s="391" t="s">
        <v>2099</v>
      </c>
    </row>
    <row r="141" spans="2:26" ht="15.75" customHeight="1" x14ac:dyDescent="0.3">
      <c r="B141" s="387" t="s">
        <v>1375</v>
      </c>
      <c r="C141" s="388">
        <v>120533</v>
      </c>
      <c r="D141" s="388" t="s">
        <v>2100</v>
      </c>
      <c r="E141" s="388" t="s">
        <v>1377</v>
      </c>
      <c r="F141" s="388" t="s">
        <v>1378</v>
      </c>
      <c r="G141" s="388" t="s">
        <v>1439</v>
      </c>
      <c r="H141" s="388" t="s">
        <v>1471</v>
      </c>
      <c r="I141" s="388" t="s">
        <v>1699</v>
      </c>
      <c r="J141" s="388" t="s">
        <v>1382</v>
      </c>
      <c r="K141" s="388" t="s">
        <v>1383</v>
      </c>
      <c r="L141" s="389">
        <v>0</v>
      </c>
      <c r="M141" s="390" t="s">
        <v>2101</v>
      </c>
      <c r="N141" s="390" t="s">
        <v>1699</v>
      </c>
      <c r="O141" s="390" t="s">
        <v>1699</v>
      </c>
      <c r="P141" s="390" t="s">
        <v>1383</v>
      </c>
      <c r="Q141" s="388" t="s">
        <v>1383</v>
      </c>
      <c r="R141" s="390">
        <v>4</v>
      </c>
      <c r="S141" s="390" t="s">
        <v>1451</v>
      </c>
      <c r="T141" s="390">
        <v>51</v>
      </c>
      <c r="U141" s="390" t="s">
        <v>1885</v>
      </c>
      <c r="V141" s="390">
        <v>1325</v>
      </c>
      <c r="W141" s="390" t="s">
        <v>2102</v>
      </c>
      <c r="X141" s="390">
        <v>40147</v>
      </c>
      <c r="Y141" s="390" t="s">
        <v>2103</v>
      </c>
      <c r="Z141" s="391" t="s">
        <v>2104</v>
      </c>
    </row>
    <row r="142" spans="2:26" ht="15.75" customHeight="1" x14ac:dyDescent="0.3">
      <c r="B142" s="387" t="s">
        <v>1375</v>
      </c>
      <c r="C142" s="388">
        <v>120535</v>
      </c>
      <c r="D142" s="388" t="s">
        <v>2105</v>
      </c>
      <c r="E142" s="388" t="s">
        <v>1377</v>
      </c>
      <c r="F142" s="388" t="s">
        <v>1378</v>
      </c>
      <c r="G142" s="388" t="s">
        <v>1379</v>
      </c>
      <c r="H142" s="388" t="s">
        <v>1471</v>
      </c>
      <c r="I142" s="388" t="s">
        <v>1861</v>
      </c>
      <c r="J142" s="388" t="s">
        <v>1382</v>
      </c>
      <c r="K142" s="388" t="s">
        <v>1383</v>
      </c>
      <c r="L142" s="389">
        <v>210</v>
      </c>
      <c r="M142" s="390" t="s">
        <v>2106</v>
      </c>
      <c r="N142" s="390" t="s">
        <v>2107</v>
      </c>
      <c r="O142" s="390" t="s">
        <v>1465</v>
      </c>
      <c r="P142" s="390" t="s">
        <v>1387</v>
      </c>
      <c r="Q142" s="388" t="s">
        <v>1383</v>
      </c>
      <c r="R142" s="390">
        <v>11</v>
      </c>
      <c r="S142" s="390" t="s">
        <v>1608</v>
      </c>
      <c r="T142" s="390">
        <v>27</v>
      </c>
      <c r="U142" s="390" t="s">
        <v>1608</v>
      </c>
      <c r="V142" s="390">
        <v>9226</v>
      </c>
      <c r="W142" s="390" t="s">
        <v>2108</v>
      </c>
      <c r="X142" s="390">
        <v>110024</v>
      </c>
      <c r="Y142" s="390" t="s">
        <v>2109</v>
      </c>
      <c r="Z142" s="391" t="s">
        <v>2110</v>
      </c>
    </row>
    <row r="143" spans="2:26" ht="15.75" customHeight="1" x14ac:dyDescent="0.3">
      <c r="B143" s="387" t="s">
        <v>1375</v>
      </c>
      <c r="C143" s="388">
        <v>120931</v>
      </c>
      <c r="D143" s="388" t="s">
        <v>2111</v>
      </c>
      <c r="E143" s="388" t="s">
        <v>1377</v>
      </c>
      <c r="F143" s="388" t="s">
        <v>1378</v>
      </c>
      <c r="G143" s="388" t="s">
        <v>1379</v>
      </c>
      <c r="H143" s="388" t="s">
        <v>1471</v>
      </c>
      <c r="I143" s="388" t="s">
        <v>1861</v>
      </c>
      <c r="J143" s="388" t="s">
        <v>1382</v>
      </c>
      <c r="K143" s="388" t="s">
        <v>1383</v>
      </c>
      <c r="L143" s="389">
        <v>60</v>
      </c>
      <c r="M143" s="390" t="s">
        <v>2112</v>
      </c>
      <c r="N143" s="390" t="s">
        <v>1852</v>
      </c>
      <c r="O143" s="390" t="s">
        <v>1386</v>
      </c>
      <c r="P143" s="390" t="s">
        <v>1387</v>
      </c>
      <c r="Q143" s="388" t="s">
        <v>1383</v>
      </c>
      <c r="R143" s="390">
        <v>19</v>
      </c>
      <c r="S143" s="390" t="s">
        <v>1841</v>
      </c>
      <c r="T143" s="390">
        <v>69</v>
      </c>
      <c r="U143" s="390" t="s">
        <v>1853</v>
      </c>
      <c r="V143" s="390">
        <v>2440</v>
      </c>
      <c r="W143" s="390" t="s">
        <v>2113</v>
      </c>
      <c r="X143" s="390">
        <v>190233</v>
      </c>
      <c r="Y143" s="390" t="s">
        <v>2113</v>
      </c>
      <c r="Z143" s="391" t="s">
        <v>2114</v>
      </c>
    </row>
    <row r="144" spans="2:26" ht="15.75" customHeight="1" x14ac:dyDescent="0.3">
      <c r="B144" s="387" t="s">
        <v>1375</v>
      </c>
      <c r="C144" s="388">
        <v>120937</v>
      </c>
      <c r="D144" s="388" t="s">
        <v>2115</v>
      </c>
      <c r="E144" s="388" t="s">
        <v>1377</v>
      </c>
      <c r="F144" s="388" t="s">
        <v>1378</v>
      </c>
      <c r="G144" s="388" t="s">
        <v>1379</v>
      </c>
      <c r="H144" s="388" t="s">
        <v>1471</v>
      </c>
      <c r="I144" s="388" t="s">
        <v>1861</v>
      </c>
      <c r="J144" s="388" t="s">
        <v>1382</v>
      </c>
      <c r="K144" s="388" t="s">
        <v>1383</v>
      </c>
      <c r="L144" s="389">
        <v>165</v>
      </c>
      <c r="M144" s="390" t="s">
        <v>2116</v>
      </c>
      <c r="N144" s="390" t="s">
        <v>2117</v>
      </c>
      <c r="O144" s="390" t="s">
        <v>1474</v>
      </c>
      <c r="P144" s="390" t="s">
        <v>1387</v>
      </c>
      <c r="Q144" s="388" t="s">
        <v>1383</v>
      </c>
      <c r="R144" s="390">
        <v>9</v>
      </c>
      <c r="S144" s="390" t="s">
        <v>1533</v>
      </c>
      <c r="T144" s="390">
        <v>75</v>
      </c>
      <c r="U144" s="390" t="s">
        <v>1533</v>
      </c>
      <c r="V144" s="390">
        <v>6409</v>
      </c>
      <c r="W144" s="390" t="s">
        <v>2118</v>
      </c>
      <c r="X144" s="390">
        <v>90094</v>
      </c>
      <c r="Y144" s="390" t="s">
        <v>2119</v>
      </c>
      <c r="Z144" s="391" t="s">
        <v>2120</v>
      </c>
    </row>
    <row r="145" spans="2:26" ht="15.75" customHeight="1" x14ac:dyDescent="0.3">
      <c r="B145" s="387" t="s">
        <v>1375</v>
      </c>
      <c r="C145" s="388">
        <v>120939</v>
      </c>
      <c r="D145" s="388" t="s">
        <v>2121</v>
      </c>
      <c r="E145" s="388" t="s">
        <v>1377</v>
      </c>
      <c r="F145" s="388" t="s">
        <v>1378</v>
      </c>
      <c r="G145" s="388" t="s">
        <v>1379</v>
      </c>
      <c r="H145" s="388" t="s">
        <v>1471</v>
      </c>
      <c r="I145" s="388" t="s">
        <v>1861</v>
      </c>
      <c r="J145" s="388" t="s">
        <v>1382</v>
      </c>
      <c r="K145" s="388" t="s">
        <v>1383</v>
      </c>
      <c r="L145" s="389">
        <v>117</v>
      </c>
      <c r="M145" s="390" t="s">
        <v>2122</v>
      </c>
      <c r="N145" s="390" t="s">
        <v>2123</v>
      </c>
      <c r="O145" s="390" t="s">
        <v>1474</v>
      </c>
      <c r="P145" s="390" t="s">
        <v>1387</v>
      </c>
      <c r="Q145" s="388" t="s">
        <v>1383</v>
      </c>
      <c r="R145" s="390">
        <v>9</v>
      </c>
      <c r="S145" s="390" t="s">
        <v>1533</v>
      </c>
      <c r="T145" s="390">
        <v>75</v>
      </c>
      <c r="U145" s="390" t="s">
        <v>1533</v>
      </c>
      <c r="V145" s="390">
        <v>6402</v>
      </c>
      <c r="W145" s="390" t="s">
        <v>1547</v>
      </c>
      <c r="X145" s="390">
        <v>90063</v>
      </c>
      <c r="Y145" s="390" t="s">
        <v>2124</v>
      </c>
      <c r="Z145" s="391" t="s">
        <v>2125</v>
      </c>
    </row>
    <row r="146" spans="2:26" ht="15.75" customHeight="1" x14ac:dyDescent="0.3">
      <c r="B146" s="387" t="s">
        <v>1375</v>
      </c>
      <c r="C146" s="388">
        <v>120940</v>
      </c>
      <c r="D146" s="388" t="s">
        <v>2126</v>
      </c>
      <c r="E146" s="388" t="s">
        <v>1377</v>
      </c>
      <c r="F146" s="388" t="s">
        <v>1378</v>
      </c>
      <c r="G146" s="388" t="s">
        <v>1379</v>
      </c>
      <c r="H146" s="388" t="s">
        <v>1471</v>
      </c>
      <c r="I146" s="388" t="s">
        <v>1861</v>
      </c>
      <c r="J146" s="388" t="s">
        <v>1382</v>
      </c>
      <c r="K146" s="388" t="s">
        <v>1383</v>
      </c>
      <c r="L146" s="389">
        <v>117</v>
      </c>
      <c r="M146" s="390" t="s">
        <v>2127</v>
      </c>
      <c r="N146" s="390" t="s">
        <v>2128</v>
      </c>
      <c r="O146" s="390" t="s">
        <v>1386</v>
      </c>
      <c r="P146" s="390" t="s">
        <v>1387</v>
      </c>
      <c r="Q146" s="388" t="s">
        <v>1383</v>
      </c>
      <c r="R146" s="390">
        <v>10</v>
      </c>
      <c r="S146" s="390" t="s">
        <v>1552</v>
      </c>
      <c r="T146" s="390">
        <v>29</v>
      </c>
      <c r="U146" s="390" t="s">
        <v>1575</v>
      </c>
      <c r="V146" s="390">
        <v>5639</v>
      </c>
      <c r="W146" s="390" t="s">
        <v>2129</v>
      </c>
      <c r="X146" s="390">
        <v>100204</v>
      </c>
      <c r="Y146" s="390" t="s">
        <v>2130</v>
      </c>
      <c r="Z146" s="391" t="s">
        <v>2131</v>
      </c>
    </row>
    <row r="147" spans="2:26" ht="15.75" customHeight="1" x14ac:dyDescent="0.3">
      <c r="B147" s="387" t="s">
        <v>1375</v>
      </c>
      <c r="C147" s="388">
        <v>120941</v>
      </c>
      <c r="D147" s="388" t="s">
        <v>2132</v>
      </c>
      <c r="E147" s="388" t="s">
        <v>1377</v>
      </c>
      <c r="F147" s="388" t="s">
        <v>1378</v>
      </c>
      <c r="G147" s="388" t="s">
        <v>1379</v>
      </c>
      <c r="H147" s="388" t="s">
        <v>1471</v>
      </c>
      <c r="I147" s="388" t="s">
        <v>1861</v>
      </c>
      <c r="J147" s="388" t="s">
        <v>1382</v>
      </c>
      <c r="K147" s="388" t="s">
        <v>1383</v>
      </c>
      <c r="L147" s="389">
        <v>127</v>
      </c>
      <c r="M147" s="390" t="s">
        <v>2133</v>
      </c>
      <c r="N147" s="390" t="s">
        <v>2134</v>
      </c>
      <c r="O147" s="390" t="s">
        <v>1386</v>
      </c>
      <c r="P147" s="390" t="s">
        <v>1387</v>
      </c>
      <c r="Q147" s="388" t="s">
        <v>1383</v>
      </c>
      <c r="R147" s="390">
        <v>10</v>
      </c>
      <c r="S147" s="390" t="s">
        <v>1552</v>
      </c>
      <c r="T147" s="390">
        <v>74</v>
      </c>
      <c r="U147" s="390" t="s">
        <v>1552</v>
      </c>
      <c r="V147" s="390">
        <v>5660</v>
      </c>
      <c r="W147" s="390" t="s">
        <v>2135</v>
      </c>
      <c r="X147" s="390">
        <v>100260</v>
      </c>
      <c r="Y147" s="390" t="s">
        <v>2132</v>
      </c>
      <c r="Z147" s="391" t="s">
        <v>2136</v>
      </c>
    </row>
    <row r="148" spans="2:26" ht="15.75" customHeight="1" x14ac:dyDescent="0.3">
      <c r="B148" s="387" t="s">
        <v>1375</v>
      </c>
      <c r="C148" s="388">
        <v>120944</v>
      </c>
      <c r="D148" s="388" t="s">
        <v>2137</v>
      </c>
      <c r="E148" s="388" t="s">
        <v>1377</v>
      </c>
      <c r="F148" s="388" t="s">
        <v>1378</v>
      </c>
      <c r="G148" s="388" t="s">
        <v>1379</v>
      </c>
      <c r="H148" s="388" t="s">
        <v>1471</v>
      </c>
      <c r="I148" s="388" t="s">
        <v>1861</v>
      </c>
      <c r="J148" s="388" t="s">
        <v>1382</v>
      </c>
      <c r="K148" s="388" t="s">
        <v>1383</v>
      </c>
      <c r="L148" s="389">
        <v>126</v>
      </c>
      <c r="M148" s="390" t="s">
        <v>2138</v>
      </c>
      <c r="N148" s="390" t="s">
        <v>2139</v>
      </c>
      <c r="O148" s="390" t="s">
        <v>1386</v>
      </c>
      <c r="P148" s="390" t="s">
        <v>1387</v>
      </c>
      <c r="Q148" s="388" t="s">
        <v>1383</v>
      </c>
      <c r="R148" s="390">
        <v>10</v>
      </c>
      <c r="S148" s="390" t="s">
        <v>1552</v>
      </c>
      <c r="T148" s="390">
        <v>30</v>
      </c>
      <c r="U148" s="390" t="s">
        <v>1585</v>
      </c>
      <c r="V148" s="390">
        <v>5621</v>
      </c>
      <c r="W148" s="390" t="s">
        <v>2140</v>
      </c>
      <c r="X148" s="390">
        <v>100078</v>
      </c>
      <c r="Y148" s="390" t="s">
        <v>2140</v>
      </c>
      <c r="Z148" s="391" t="s">
        <v>2141</v>
      </c>
    </row>
    <row r="149" spans="2:26" ht="15.75" customHeight="1" x14ac:dyDescent="0.3">
      <c r="B149" s="387" t="s">
        <v>1375</v>
      </c>
      <c r="C149" s="388">
        <v>120947</v>
      </c>
      <c r="D149" s="388" t="s">
        <v>2142</v>
      </c>
      <c r="E149" s="388" t="s">
        <v>1377</v>
      </c>
      <c r="F149" s="388" t="s">
        <v>1378</v>
      </c>
      <c r="G149" s="388" t="s">
        <v>1379</v>
      </c>
      <c r="H149" s="388" t="s">
        <v>1471</v>
      </c>
      <c r="I149" s="388" t="s">
        <v>1861</v>
      </c>
      <c r="J149" s="388" t="s">
        <v>1382</v>
      </c>
      <c r="K149" s="388" t="s">
        <v>1383</v>
      </c>
      <c r="L149" s="389">
        <v>107</v>
      </c>
      <c r="M149" s="390" t="s">
        <v>2143</v>
      </c>
      <c r="N149" s="390" t="s">
        <v>2144</v>
      </c>
      <c r="O149" s="390" t="s">
        <v>1386</v>
      </c>
      <c r="P149" s="390" t="s">
        <v>1387</v>
      </c>
      <c r="Q149" s="388" t="s">
        <v>1383</v>
      </c>
      <c r="R149" s="390">
        <v>10</v>
      </c>
      <c r="S149" s="390" t="s">
        <v>1552</v>
      </c>
      <c r="T149" s="390">
        <v>73</v>
      </c>
      <c r="U149" s="390" t="s">
        <v>1562</v>
      </c>
      <c r="V149" s="390">
        <v>5679</v>
      </c>
      <c r="W149" s="390" t="s">
        <v>2145</v>
      </c>
      <c r="X149" s="390">
        <v>100269</v>
      </c>
      <c r="Y149" s="390" t="s">
        <v>2146</v>
      </c>
      <c r="Z149" s="391" t="s">
        <v>2147</v>
      </c>
    </row>
    <row r="150" spans="2:26" ht="15.75" customHeight="1" x14ac:dyDescent="0.3">
      <c r="B150" s="387" t="s">
        <v>1375</v>
      </c>
      <c r="C150" s="388">
        <v>120948</v>
      </c>
      <c r="D150" s="388" t="s">
        <v>1778</v>
      </c>
      <c r="E150" s="388" t="s">
        <v>1377</v>
      </c>
      <c r="F150" s="388" t="s">
        <v>1378</v>
      </c>
      <c r="G150" s="388" t="s">
        <v>1439</v>
      </c>
      <c r="H150" s="388" t="s">
        <v>1471</v>
      </c>
      <c r="I150" s="388" t="s">
        <v>1699</v>
      </c>
      <c r="J150" s="388" t="s">
        <v>1382</v>
      </c>
      <c r="K150" s="388" t="s">
        <v>1383</v>
      </c>
      <c r="L150" s="389">
        <v>0</v>
      </c>
      <c r="M150" s="390" t="s">
        <v>2148</v>
      </c>
      <c r="N150" s="390" t="s">
        <v>1699</v>
      </c>
      <c r="O150" s="390" t="s">
        <v>1699</v>
      </c>
      <c r="P150" s="390" t="s">
        <v>1383</v>
      </c>
      <c r="Q150" s="388" t="s">
        <v>1383</v>
      </c>
      <c r="R150" s="390">
        <v>1</v>
      </c>
      <c r="S150" s="390" t="s">
        <v>1388</v>
      </c>
      <c r="T150" s="390">
        <v>9</v>
      </c>
      <c r="U150" s="390" t="s">
        <v>1392</v>
      </c>
      <c r="V150" s="390">
        <v>8521</v>
      </c>
      <c r="W150" s="390" t="s">
        <v>2149</v>
      </c>
      <c r="X150" s="390">
        <v>10234</v>
      </c>
      <c r="Y150" s="390" t="s">
        <v>2150</v>
      </c>
      <c r="Z150" s="391" t="s">
        <v>2151</v>
      </c>
    </row>
    <row r="151" spans="2:26" ht="15.75" customHeight="1" x14ac:dyDescent="0.3">
      <c r="B151" s="387" t="s">
        <v>1375</v>
      </c>
      <c r="C151" s="388">
        <v>120953</v>
      </c>
      <c r="D151" s="388" t="s">
        <v>2152</v>
      </c>
      <c r="E151" s="388" t="s">
        <v>1377</v>
      </c>
      <c r="F151" s="388" t="s">
        <v>1378</v>
      </c>
      <c r="G151" s="388" t="s">
        <v>1439</v>
      </c>
      <c r="H151" s="388" t="s">
        <v>1471</v>
      </c>
      <c r="I151" s="388" t="s">
        <v>1861</v>
      </c>
      <c r="J151" s="388" t="s">
        <v>1382</v>
      </c>
      <c r="K151" s="388" t="s">
        <v>1383</v>
      </c>
      <c r="L151" s="389">
        <v>0</v>
      </c>
      <c r="M151" s="390" t="s">
        <v>2153</v>
      </c>
      <c r="N151" s="390" t="s">
        <v>2154</v>
      </c>
      <c r="O151" s="390" t="s">
        <v>1482</v>
      </c>
      <c r="P151" s="390" t="s">
        <v>1387</v>
      </c>
      <c r="Q151" s="388" t="s">
        <v>1383</v>
      </c>
      <c r="R151" s="390">
        <v>16</v>
      </c>
      <c r="S151" s="390" t="s">
        <v>1746</v>
      </c>
      <c r="T151" s="390">
        <v>43</v>
      </c>
      <c r="U151" s="390" t="s">
        <v>1753</v>
      </c>
      <c r="V151" s="390">
        <v>4304</v>
      </c>
      <c r="W151" s="390" t="s">
        <v>1858</v>
      </c>
      <c r="X151" s="390">
        <v>160021</v>
      </c>
      <c r="Y151" s="390" t="s">
        <v>2155</v>
      </c>
      <c r="Z151" s="391" t="s">
        <v>2156</v>
      </c>
    </row>
    <row r="152" spans="2:26" ht="15.75" customHeight="1" x14ac:dyDescent="0.3">
      <c r="B152" s="387" t="s">
        <v>1375</v>
      </c>
      <c r="C152" s="388">
        <v>120959</v>
      </c>
      <c r="D152" s="388" t="s">
        <v>2157</v>
      </c>
      <c r="E152" s="388" t="s">
        <v>1377</v>
      </c>
      <c r="F152" s="388" t="s">
        <v>1378</v>
      </c>
      <c r="G152" s="388" t="s">
        <v>1439</v>
      </c>
      <c r="H152" s="388" t="s">
        <v>1471</v>
      </c>
      <c r="I152" s="388" t="s">
        <v>2009</v>
      </c>
      <c r="J152" s="388" t="s">
        <v>1382</v>
      </c>
      <c r="K152" s="388" t="s">
        <v>1383</v>
      </c>
      <c r="L152" s="389">
        <v>0</v>
      </c>
      <c r="M152" s="390" t="s">
        <v>2158</v>
      </c>
      <c r="N152" s="390" t="s">
        <v>2159</v>
      </c>
      <c r="O152" s="390" t="s">
        <v>1465</v>
      </c>
      <c r="P152" s="390" t="s">
        <v>1383</v>
      </c>
      <c r="Q152" s="388" t="s">
        <v>1383</v>
      </c>
      <c r="R152" s="390">
        <v>11</v>
      </c>
      <c r="S152" s="390" t="s">
        <v>1608</v>
      </c>
      <c r="T152" s="390">
        <v>28</v>
      </c>
      <c r="U152" s="390" t="s">
        <v>1609</v>
      </c>
      <c r="V152" s="390">
        <v>9240</v>
      </c>
      <c r="W152" s="390" t="s">
        <v>2160</v>
      </c>
      <c r="X152" s="390">
        <v>110761</v>
      </c>
      <c r="Y152" s="390" t="s">
        <v>2161</v>
      </c>
      <c r="Z152" s="391" t="s">
        <v>2162</v>
      </c>
    </row>
    <row r="153" spans="2:26" ht="15.75" customHeight="1" x14ac:dyDescent="0.3">
      <c r="B153" s="387" t="s">
        <v>1375</v>
      </c>
      <c r="C153" s="388">
        <v>120960</v>
      </c>
      <c r="D153" s="388" t="s">
        <v>2163</v>
      </c>
      <c r="E153" s="388" t="s">
        <v>1377</v>
      </c>
      <c r="F153" s="388" t="s">
        <v>1378</v>
      </c>
      <c r="G153" s="388" t="s">
        <v>1845</v>
      </c>
      <c r="H153" s="388" t="s">
        <v>1471</v>
      </c>
      <c r="I153" s="388" t="s">
        <v>1861</v>
      </c>
      <c r="J153" s="388" t="s">
        <v>1382</v>
      </c>
      <c r="K153" s="388" t="s">
        <v>1383</v>
      </c>
      <c r="L153" s="389">
        <v>0</v>
      </c>
      <c r="M153" s="390" t="s">
        <v>2164</v>
      </c>
      <c r="N153" s="390" t="s">
        <v>2165</v>
      </c>
      <c r="O153" s="390" t="s">
        <v>1465</v>
      </c>
      <c r="P153" s="390" t="s">
        <v>1387</v>
      </c>
      <c r="Q153" s="388" t="s">
        <v>1383</v>
      </c>
      <c r="R153" s="390">
        <v>11</v>
      </c>
      <c r="S153" s="390" t="s">
        <v>1608</v>
      </c>
      <c r="T153" s="390">
        <v>28</v>
      </c>
      <c r="U153" s="390" t="s">
        <v>1609</v>
      </c>
      <c r="V153" s="390">
        <v>9202</v>
      </c>
      <c r="W153" s="390" t="s">
        <v>1609</v>
      </c>
      <c r="X153" s="390">
        <v>110474</v>
      </c>
      <c r="Y153" s="390" t="s">
        <v>2166</v>
      </c>
      <c r="Z153" s="391" t="s">
        <v>2167</v>
      </c>
    </row>
    <row r="154" spans="2:26" ht="15.75" customHeight="1" x14ac:dyDescent="0.3">
      <c r="B154" s="387" t="s">
        <v>1375</v>
      </c>
      <c r="C154" s="388">
        <v>120962</v>
      </c>
      <c r="D154" s="388" t="s">
        <v>2168</v>
      </c>
      <c r="E154" s="388" t="s">
        <v>1377</v>
      </c>
      <c r="F154" s="388" t="s">
        <v>1378</v>
      </c>
      <c r="G154" s="388" t="s">
        <v>1439</v>
      </c>
      <c r="H154" s="388" t="s">
        <v>1471</v>
      </c>
      <c r="I154" s="388" t="s">
        <v>1699</v>
      </c>
      <c r="J154" s="388" t="s">
        <v>1382</v>
      </c>
      <c r="K154" s="388" t="s">
        <v>1383</v>
      </c>
      <c r="L154" s="389">
        <v>0</v>
      </c>
      <c r="M154" s="390" t="s">
        <v>2169</v>
      </c>
      <c r="N154" s="390" t="s">
        <v>1699</v>
      </c>
      <c r="O154" s="390" t="s">
        <v>1699</v>
      </c>
      <c r="P154" s="390" t="s">
        <v>1383</v>
      </c>
      <c r="Q154" s="388" t="s">
        <v>1383</v>
      </c>
      <c r="R154" s="390">
        <v>11</v>
      </c>
      <c r="S154" s="390" t="s">
        <v>1608</v>
      </c>
      <c r="T154" s="390">
        <v>27</v>
      </c>
      <c r="U154" s="390" t="s">
        <v>1608</v>
      </c>
      <c r="V154" s="390">
        <v>9226</v>
      </c>
      <c r="W154" s="390" t="s">
        <v>2108</v>
      </c>
      <c r="X154" s="390">
        <v>110413</v>
      </c>
      <c r="Y154" s="390" t="s">
        <v>2170</v>
      </c>
      <c r="Z154" s="391" t="s">
        <v>2171</v>
      </c>
    </row>
    <row r="155" spans="2:26" ht="15.75" customHeight="1" x14ac:dyDescent="0.3">
      <c r="B155" s="387" t="s">
        <v>1375</v>
      </c>
      <c r="C155" s="388">
        <v>120965</v>
      </c>
      <c r="D155" s="388" t="s">
        <v>2172</v>
      </c>
      <c r="E155" s="388" t="s">
        <v>1377</v>
      </c>
      <c r="F155" s="388" t="s">
        <v>1378</v>
      </c>
      <c r="G155" s="388" t="s">
        <v>1439</v>
      </c>
      <c r="H155" s="388" t="s">
        <v>1471</v>
      </c>
      <c r="I155" s="388" t="s">
        <v>1699</v>
      </c>
      <c r="J155" s="388" t="s">
        <v>1382</v>
      </c>
      <c r="K155" s="388" t="s">
        <v>1383</v>
      </c>
      <c r="L155" s="389">
        <v>0</v>
      </c>
      <c r="M155" s="390" t="s">
        <v>2173</v>
      </c>
      <c r="N155" s="390" t="s">
        <v>1699</v>
      </c>
      <c r="O155" s="390" t="s">
        <v>1699</v>
      </c>
      <c r="P155" s="390" t="s">
        <v>1383</v>
      </c>
      <c r="Q155" s="388" t="s">
        <v>1383</v>
      </c>
      <c r="R155" s="390">
        <v>8</v>
      </c>
      <c r="S155" s="390" t="s">
        <v>1483</v>
      </c>
      <c r="T155" s="390">
        <v>47</v>
      </c>
      <c r="U155" s="390" t="s">
        <v>1503</v>
      </c>
      <c r="V155" s="390">
        <v>4511</v>
      </c>
      <c r="W155" s="390" t="s">
        <v>2174</v>
      </c>
      <c r="X155" s="390">
        <v>80073</v>
      </c>
      <c r="Y155" s="390" t="s">
        <v>2175</v>
      </c>
      <c r="Z155" s="391" t="s">
        <v>2176</v>
      </c>
    </row>
    <row r="156" spans="2:26" ht="15.75" customHeight="1" x14ac:dyDescent="0.3">
      <c r="B156" s="387" t="s">
        <v>1375</v>
      </c>
      <c r="C156" s="388">
        <v>120966</v>
      </c>
      <c r="D156" s="388" t="s">
        <v>2177</v>
      </c>
      <c r="E156" s="388" t="s">
        <v>1377</v>
      </c>
      <c r="F156" s="388" t="s">
        <v>1378</v>
      </c>
      <c r="G156" s="388" t="s">
        <v>1379</v>
      </c>
      <c r="H156" s="388" t="s">
        <v>1471</v>
      </c>
      <c r="I156" s="388" t="s">
        <v>1861</v>
      </c>
      <c r="J156" s="388" t="s">
        <v>1382</v>
      </c>
      <c r="K156" s="388" t="s">
        <v>1383</v>
      </c>
      <c r="L156" s="389">
        <v>87</v>
      </c>
      <c r="M156" s="390" t="s">
        <v>2178</v>
      </c>
      <c r="N156" s="390" t="s">
        <v>2179</v>
      </c>
      <c r="O156" s="390" t="s">
        <v>1465</v>
      </c>
      <c r="P156" s="390" t="s">
        <v>1387</v>
      </c>
      <c r="Q156" s="388" t="s">
        <v>1383</v>
      </c>
      <c r="R156" s="390">
        <v>5</v>
      </c>
      <c r="S156" s="390" t="s">
        <v>1466</v>
      </c>
      <c r="T156" s="390">
        <v>56</v>
      </c>
      <c r="U156" s="390" t="s">
        <v>1949</v>
      </c>
      <c r="V156" s="390">
        <v>2566</v>
      </c>
      <c r="W156" s="390" t="s">
        <v>2180</v>
      </c>
      <c r="X156" s="390">
        <v>50115</v>
      </c>
      <c r="Y156" s="390" t="s">
        <v>2181</v>
      </c>
      <c r="Z156" s="391" t="s">
        <v>2182</v>
      </c>
    </row>
    <row r="157" spans="2:26" ht="15.75" customHeight="1" x14ac:dyDescent="0.3">
      <c r="B157" s="387" t="s">
        <v>1375</v>
      </c>
      <c r="C157" s="388">
        <v>121041</v>
      </c>
      <c r="D157" s="388" t="s">
        <v>2183</v>
      </c>
      <c r="E157" s="388" t="s">
        <v>1377</v>
      </c>
      <c r="F157" s="388" t="s">
        <v>1378</v>
      </c>
      <c r="G157" s="388" t="s">
        <v>1379</v>
      </c>
      <c r="H157" s="388" t="s">
        <v>1380</v>
      </c>
      <c r="I157" s="388" t="s">
        <v>1440</v>
      </c>
      <c r="J157" s="388" t="s">
        <v>1382</v>
      </c>
      <c r="K157" s="388" t="s">
        <v>1383</v>
      </c>
      <c r="L157" s="389">
        <v>60</v>
      </c>
      <c r="M157" s="390" t="s">
        <v>2184</v>
      </c>
      <c r="N157" s="390" t="s">
        <v>2185</v>
      </c>
      <c r="O157" s="390" t="s">
        <v>1386</v>
      </c>
      <c r="P157" s="390" t="s">
        <v>1387</v>
      </c>
      <c r="Q157" s="388" t="s">
        <v>1383</v>
      </c>
      <c r="R157" s="390">
        <v>4</v>
      </c>
      <c r="S157" s="390" t="s">
        <v>1451</v>
      </c>
      <c r="T157" s="390">
        <v>50</v>
      </c>
      <c r="U157" s="390" t="s">
        <v>1458</v>
      </c>
      <c r="V157" s="390">
        <v>1355</v>
      </c>
      <c r="W157" s="390" t="s">
        <v>2186</v>
      </c>
      <c r="X157" s="390">
        <v>40091</v>
      </c>
      <c r="Y157" s="390" t="s">
        <v>2187</v>
      </c>
      <c r="Z157" s="391" t="s">
        <v>2188</v>
      </c>
    </row>
    <row r="158" spans="2:26" ht="15.75" customHeight="1" x14ac:dyDescent="0.3">
      <c r="B158" s="387" t="s">
        <v>1375</v>
      </c>
      <c r="C158" s="388">
        <v>121042</v>
      </c>
      <c r="D158" s="388" t="s">
        <v>2189</v>
      </c>
      <c r="E158" s="388" t="s">
        <v>1377</v>
      </c>
      <c r="F158" s="388" t="s">
        <v>1378</v>
      </c>
      <c r="G158" s="388" t="s">
        <v>1379</v>
      </c>
      <c r="H158" s="388" t="s">
        <v>1380</v>
      </c>
      <c r="I158" s="388" t="s">
        <v>1393</v>
      </c>
      <c r="J158" s="388" t="s">
        <v>1382</v>
      </c>
      <c r="K158" s="388" t="s">
        <v>1383</v>
      </c>
      <c r="L158" s="389">
        <v>132</v>
      </c>
      <c r="M158" s="390" t="s">
        <v>2190</v>
      </c>
      <c r="N158" s="390" t="s">
        <v>2191</v>
      </c>
      <c r="O158" s="390" t="s">
        <v>1386</v>
      </c>
      <c r="P158" s="390" t="s">
        <v>1387</v>
      </c>
      <c r="Q158" s="388" t="s">
        <v>1383</v>
      </c>
      <c r="R158" s="390">
        <v>19</v>
      </c>
      <c r="S158" s="390" t="s">
        <v>1841</v>
      </c>
      <c r="T158" s="390">
        <v>70</v>
      </c>
      <c r="U158" s="390" t="s">
        <v>1842</v>
      </c>
      <c r="V158" s="390">
        <v>2412</v>
      </c>
      <c r="W158" s="390" t="s">
        <v>2192</v>
      </c>
      <c r="X158" s="390">
        <v>190029</v>
      </c>
      <c r="Y158" s="390" t="s">
        <v>2193</v>
      </c>
      <c r="Z158" s="391" t="s">
        <v>2194</v>
      </c>
    </row>
    <row r="159" spans="2:26" ht="15.75" customHeight="1" x14ac:dyDescent="0.3">
      <c r="B159" s="387" t="s">
        <v>1375</v>
      </c>
      <c r="C159" s="388">
        <v>121043</v>
      </c>
      <c r="D159" s="388" t="s">
        <v>2195</v>
      </c>
      <c r="E159" s="388" t="s">
        <v>1377</v>
      </c>
      <c r="F159" s="388" t="s">
        <v>1378</v>
      </c>
      <c r="G159" s="388" t="s">
        <v>1379</v>
      </c>
      <c r="H159" s="388" t="s">
        <v>1380</v>
      </c>
      <c r="I159" s="388" t="s">
        <v>1381</v>
      </c>
      <c r="J159" s="388" t="s">
        <v>1382</v>
      </c>
      <c r="K159" s="388" t="s">
        <v>1383</v>
      </c>
      <c r="L159" s="389">
        <v>56</v>
      </c>
      <c r="M159" s="390" t="s">
        <v>2196</v>
      </c>
      <c r="N159" s="390" t="s">
        <v>2197</v>
      </c>
      <c r="O159" s="390" t="s">
        <v>1386</v>
      </c>
      <c r="P159" s="390" t="s">
        <v>1387</v>
      </c>
      <c r="Q159" s="388" t="s">
        <v>1383</v>
      </c>
      <c r="R159" s="390">
        <v>19</v>
      </c>
      <c r="S159" s="390" t="s">
        <v>1841</v>
      </c>
      <c r="T159" s="390">
        <v>67</v>
      </c>
      <c r="U159" s="390" t="s">
        <v>2049</v>
      </c>
      <c r="V159" s="390">
        <v>2539</v>
      </c>
      <c r="W159" s="390" t="s">
        <v>1753</v>
      </c>
      <c r="X159" s="390">
        <v>190140</v>
      </c>
      <c r="Y159" s="390" t="s">
        <v>2198</v>
      </c>
      <c r="Z159" s="391" t="s">
        <v>2199</v>
      </c>
    </row>
    <row r="160" spans="2:26" ht="15.75" customHeight="1" x14ac:dyDescent="0.3">
      <c r="B160" s="387" t="s">
        <v>1375</v>
      </c>
      <c r="C160" s="388">
        <v>121048</v>
      </c>
      <c r="D160" s="388" t="s">
        <v>2200</v>
      </c>
      <c r="E160" s="388" t="s">
        <v>1377</v>
      </c>
      <c r="F160" s="388" t="s">
        <v>1378</v>
      </c>
      <c r="G160" s="388" t="s">
        <v>1439</v>
      </c>
      <c r="H160" s="388" t="s">
        <v>1471</v>
      </c>
      <c r="I160" s="388" t="s">
        <v>1699</v>
      </c>
      <c r="J160" s="388" t="s">
        <v>1382</v>
      </c>
      <c r="K160" s="388" t="s">
        <v>1383</v>
      </c>
      <c r="L160" s="389">
        <v>0</v>
      </c>
      <c r="M160" s="390" t="s">
        <v>2201</v>
      </c>
      <c r="N160" s="390" t="s">
        <v>1699</v>
      </c>
      <c r="O160" s="390" t="s">
        <v>1699</v>
      </c>
      <c r="P160" s="390" t="s">
        <v>1383</v>
      </c>
      <c r="Q160" s="388" t="s">
        <v>1383</v>
      </c>
      <c r="R160" s="390">
        <v>9</v>
      </c>
      <c r="S160" s="390" t="s">
        <v>1533</v>
      </c>
      <c r="T160" s="390">
        <v>75</v>
      </c>
      <c r="U160" s="390" t="s">
        <v>1533</v>
      </c>
      <c r="V160" s="390">
        <v>6408</v>
      </c>
      <c r="W160" s="390" t="s">
        <v>2202</v>
      </c>
      <c r="X160" s="390">
        <v>90017</v>
      </c>
      <c r="Y160" s="390" t="s">
        <v>1542</v>
      </c>
      <c r="Z160" s="391" t="s">
        <v>2203</v>
      </c>
    </row>
    <row r="161" spans="2:26" ht="15.75" customHeight="1" x14ac:dyDescent="0.3">
      <c r="B161" s="387" t="s">
        <v>1375</v>
      </c>
      <c r="C161" s="388">
        <v>121050</v>
      </c>
      <c r="D161" s="388" t="s">
        <v>2204</v>
      </c>
      <c r="E161" s="388" t="s">
        <v>1377</v>
      </c>
      <c r="F161" s="388" t="s">
        <v>1378</v>
      </c>
      <c r="G161" s="388" t="s">
        <v>1379</v>
      </c>
      <c r="H161" s="388" t="s">
        <v>1471</v>
      </c>
      <c r="I161" s="388" t="s">
        <v>1861</v>
      </c>
      <c r="J161" s="388" t="s">
        <v>1382</v>
      </c>
      <c r="K161" s="388" t="s">
        <v>1383</v>
      </c>
      <c r="L161" s="389">
        <v>125</v>
      </c>
      <c r="M161" s="390" t="s">
        <v>2205</v>
      </c>
      <c r="N161" s="390" t="s">
        <v>1852</v>
      </c>
      <c r="O161" s="390" t="s">
        <v>1386</v>
      </c>
      <c r="P161" s="390" t="s">
        <v>1387</v>
      </c>
      <c r="Q161" s="388" t="s">
        <v>1383</v>
      </c>
      <c r="R161" s="390">
        <v>19</v>
      </c>
      <c r="S161" s="390" t="s">
        <v>1841</v>
      </c>
      <c r="T161" s="390">
        <v>66</v>
      </c>
      <c r="U161" s="390" t="s">
        <v>1844</v>
      </c>
      <c r="V161" s="390">
        <v>2513</v>
      </c>
      <c r="W161" s="390" t="s">
        <v>2206</v>
      </c>
      <c r="X161" s="390">
        <v>190003</v>
      </c>
      <c r="Y161" s="390" t="s">
        <v>2207</v>
      </c>
      <c r="Z161" s="391" t="s">
        <v>2208</v>
      </c>
    </row>
    <row r="162" spans="2:26" ht="15.75" customHeight="1" x14ac:dyDescent="0.3">
      <c r="B162" s="387" t="s">
        <v>1375</v>
      </c>
      <c r="C162" s="388">
        <v>121051</v>
      </c>
      <c r="D162" s="388" t="s">
        <v>2209</v>
      </c>
      <c r="E162" s="388" t="s">
        <v>1377</v>
      </c>
      <c r="F162" s="388" t="s">
        <v>1378</v>
      </c>
      <c r="G162" s="388" t="s">
        <v>1379</v>
      </c>
      <c r="H162" s="388" t="s">
        <v>1471</v>
      </c>
      <c r="I162" s="388" t="s">
        <v>1861</v>
      </c>
      <c r="J162" s="388" t="s">
        <v>1382</v>
      </c>
      <c r="K162" s="388" t="s">
        <v>1383</v>
      </c>
      <c r="L162" s="389">
        <v>80</v>
      </c>
      <c r="M162" s="390" t="s">
        <v>2210</v>
      </c>
      <c r="N162" s="390" t="s">
        <v>2211</v>
      </c>
      <c r="O162" s="390" t="s">
        <v>1465</v>
      </c>
      <c r="P162" s="390" t="s">
        <v>1387</v>
      </c>
      <c r="Q162" s="388" t="s">
        <v>1383</v>
      </c>
      <c r="R162" s="390">
        <v>18</v>
      </c>
      <c r="S162" s="390" t="s">
        <v>1790</v>
      </c>
      <c r="T162" s="390">
        <v>55</v>
      </c>
      <c r="U162" s="390" t="s">
        <v>1980</v>
      </c>
      <c r="V162" s="390">
        <v>2625</v>
      </c>
      <c r="W162" s="390" t="s">
        <v>2212</v>
      </c>
      <c r="X162" s="390">
        <v>180158</v>
      </c>
      <c r="Y162" s="390" t="s">
        <v>2213</v>
      </c>
      <c r="Z162" s="391" t="s">
        <v>2214</v>
      </c>
    </row>
    <row r="163" spans="2:26" ht="15.75" customHeight="1" x14ac:dyDescent="0.3">
      <c r="B163" s="387" t="s">
        <v>1375</v>
      </c>
      <c r="C163" s="388">
        <v>121052</v>
      </c>
      <c r="D163" s="388" t="s">
        <v>2215</v>
      </c>
      <c r="E163" s="388" t="s">
        <v>1377</v>
      </c>
      <c r="F163" s="388" t="s">
        <v>1378</v>
      </c>
      <c r="G163" s="388" t="s">
        <v>1379</v>
      </c>
      <c r="H163" s="388" t="s">
        <v>1471</v>
      </c>
      <c r="I163" s="388" t="s">
        <v>1861</v>
      </c>
      <c r="J163" s="388" t="s">
        <v>1382</v>
      </c>
      <c r="K163" s="388" t="s">
        <v>1383</v>
      </c>
      <c r="L163" s="389">
        <v>109</v>
      </c>
      <c r="M163" s="390" t="s">
        <v>2216</v>
      </c>
      <c r="N163" s="390" t="s">
        <v>2217</v>
      </c>
      <c r="O163" s="390" t="s">
        <v>1386</v>
      </c>
      <c r="P163" s="390" t="s">
        <v>1387</v>
      </c>
      <c r="Q163" s="388" t="s">
        <v>1383</v>
      </c>
      <c r="R163" s="390">
        <v>19</v>
      </c>
      <c r="S163" s="390" t="s">
        <v>1841</v>
      </c>
      <c r="T163" s="390">
        <v>69</v>
      </c>
      <c r="U163" s="390" t="s">
        <v>1853</v>
      </c>
      <c r="V163" s="390">
        <v>2439</v>
      </c>
      <c r="W163" s="390" t="s">
        <v>2113</v>
      </c>
      <c r="X163" s="390">
        <v>190233</v>
      </c>
      <c r="Y163" s="390" t="s">
        <v>2113</v>
      </c>
      <c r="Z163" s="391" t="s">
        <v>2218</v>
      </c>
    </row>
    <row r="164" spans="2:26" ht="15.75" customHeight="1" x14ac:dyDescent="0.3">
      <c r="B164" s="387" t="s">
        <v>1375</v>
      </c>
      <c r="C164" s="388">
        <v>121059</v>
      </c>
      <c r="D164" s="388" t="s">
        <v>2219</v>
      </c>
      <c r="E164" s="388" t="s">
        <v>1377</v>
      </c>
      <c r="F164" s="388" t="s">
        <v>1378</v>
      </c>
      <c r="G164" s="388" t="s">
        <v>1379</v>
      </c>
      <c r="H164" s="388" t="s">
        <v>1471</v>
      </c>
      <c r="I164" s="388" t="s">
        <v>1861</v>
      </c>
      <c r="J164" s="388" t="s">
        <v>1382</v>
      </c>
      <c r="K164" s="388" t="s">
        <v>1383</v>
      </c>
      <c r="L164" s="389">
        <v>106</v>
      </c>
      <c r="M164" s="390" t="s">
        <v>2220</v>
      </c>
      <c r="N164" s="390" t="s">
        <v>2221</v>
      </c>
      <c r="O164" s="390" t="s">
        <v>1386</v>
      </c>
      <c r="P164" s="390" t="s">
        <v>1387</v>
      </c>
      <c r="Q164" s="388" t="s">
        <v>1383</v>
      </c>
      <c r="R164" s="390">
        <v>4</v>
      </c>
      <c r="S164" s="390" t="s">
        <v>1451</v>
      </c>
      <c r="T164" s="390">
        <v>32</v>
      </c>
      <c r="U164" s="390" t="s">
        <v>1908</v>
      </c>
      <c r="V164" s="390">
        <v>1107</v>
      </c>
      <c r="W164" s="390" t="s">
        <v>2222</v>
      </c>
      <c r="X164" s="390">
        <v>40156</v>
      </c>
      <c r="Y164" s="390" t="s">
        <v>2223</v>
      </c>
      <c r="Z164" s="391" t="s">
        <v>2224</v>
      </c>
    </row>
    <row r="165" spans="2:26" ht="15.75" customHeight="1" x14ac:dyDescent="0.3">
      <c r="B165" s="387" t="s">
        <v>1375</v>
      </c>
      <c r="C165" s="388">
        <v>121062</v>
      </c>
      <c r="D165" s="388" t="s">
        <v>2225</v>
      </c>
      <c r="E165" s="388" t="s">
        <v>1377</v>
      </c>
      <c r="F165" s="388" t="s">
        <v>1378</v>
      </c>
      <c r="G165" s="388" t="s">
        <v>1439</v>
      </c>
      <c r="H165" s="388" t="s">
        <v>1471</v>
      </c>
      <c r="I165" s="388" t="s">
        <v>1699</v>
      </c>
      <c r="J165" s="388" t="s">
        <v>1382</v>
      </c>
      <c r="K165" s="388" t="s">
        <v>1383</v>
      </c>
      <c r="L165" s="389">
        <v>0</v>
      </c>
      <c r="M165" s="390" t="s">
        <v>2226</v>
      </c>
      <c r="N165" s="390" t="s">
        <v>1699</v>
      </c>
      <c r="O165" s="390" t="s">
        <v>1699</v>
      </c>
      <c r="P165" s="390" t="s">
        <v>1383</v>
      </c>
      <c r="Q165" s="388" t="s">
        <v>1383</v>
      </c>
      <c r="R165" s="390">
        <v>9</v>
      </c>
      <c r="S165" s="390" t="s">
        <v>1533</v>
      </c>
      <c r="T165" s="390">
        <v>75</v>
      </c>
      <c r="U165" s="390" t="s">
        <v>1533</v>
      </c>
      <c r="V165" s="390">
        <v>6401</v>
      </c>
      <c r="W165" s="390" t="s">
        <v>2227</v>
      </c>
      <c r="X165" s="390">
        <v>90005</v>
      </c>
      <c r="Y165" s="390" t="s">
        <v>2225</v>
      </c>
      <c r="Z165" s="391" t="s">
        <v>2228</v>
      </c>
    </row>
    <row r="166" spans="2:26" ht="15.75" customHeight="1" x14ac:dyDescent="0.3">
      <c r="B166" s="387" t="s">
        <v>1375</v>
      </c>
      <c r="C166" s="388">
        <v>121064</v>
      </c>
      <c r="D166" s="388" t="s">
        <v>2229</v>
      </c>
      <c r="E166" s="388" t="s">
        <v>1377</v>
      </c>
      <c r="F166" s="388" t="s">
        <v>1378</v>
      </c>
      <c r="G166" s="388" t="s">
        <v>1379</v>
      </c>
      <c r="H166" s="388" t="s">
        <v>1471</v>
      </c>
      <c r="I166" s="388" t="s">
        <v>1861</v>
      </c>
      <c r="J166" s="388" t="s">
        <v>1382</v>
      </c>
      <c r="K166" s="388" t="s">
        <v>1383</v>
      </c>
      <c r="L166" s="389">
        <v>169</v>
      </c>
      <c r="M166" s="390" t="s">
        <v>2230</v>
      </c>
      <c r="N166" s="390" t="s">
        <v>2231</v>
      </c>
      <c r="O166" s="390" t="s">
        <v>1482</v>
      </c>
      <c r="P166" s="390" t="s">
        <v>1387</v>
      </c>
      <c r="Q166" s="388" t="s">
        <v>1383</v>
      </c>
      <c r="R166" s="390">
        <v>7</v>
      </c>
      <c r="S166" s="390" t="s">
        <v>1687</v>
      </c>
      <c r="T166" s="390">
        <v>85</v>
      </c>
      <c r="U166" s="390" t="s">
        <v>1688</v>
      </c>
      <c r="V166" s="390">
        <v>4552</v>
      </c>
      <c r="W166" s="390" t="s">
        <v>2075</v>
      </c>
      <c r="X166" s="390">
        <v>70067</v>
      </c>
      <c r="Y166" s="390" t="s">
        <v>2232</v>
      </c>
      <c r="Z166" s="391" t="s">
        <v>2233</v>
      </c>
    </row>
    <row r="167" spans="2:26" ht="15.75" customHeight="1" x14ac:dyDescent="0.3">
      <c r="B167" s="387" t="s">
        <v>1375</v>
      </c>
      <c r="C167" s="388">
        <v>121070</v>
      </c>
      <c r="D167" s="388" t="s">
        <v>2234</v>
      </c>
      <c r="E167" s="388" t="s">
        <v>1377</v>
      </c>
      <c r="F167" s="388" t="s">
        <v>1378</v>
      </c>
      <c r="G167" s="388" t="s">
        <v>1439</v>
      </c>
      <c r="H167" s="388" t="s">
        <v>1471</v>
      </c>
      <c r="I167" s="388" t="s">
        <v>1699</v>
      </c>
      <c r="J167" s="388" t="s">
        <v>1382</v>
      </c>
      <c r="K167" s="388" t="s">
        <v>1383</v>
      </c>
      <c r="L167" s="389">
        <v>0</v>
      </c>
      <c r="M167" s="390" t="s">
        <v>2235</v>
      </c>
      <c r="N167" s="390" t="s">
        <v>1699</v>
      </c>
      <c r="O167" s="390" t="s">
        <v>1699</v>
      </c>
      <c r="P167" s="390" t="s">
        <v>1383</v>
      </c>
      <c r="Q167" s="388" t="s">
        <v>1383</v>
      </c>
      <c r="R167" s="390">
        <v>19</v>
      </c>
      <c r="S167" s="390" t="s">
        <v>1841</v>
      </c>
      <c r="T167" s="390">
        <v>1003</v>
      </c>
      <c r="U167" s="390" t="s">
        <v>2236</v>
      </c>
      <c r="V167" s="390">
        <v>104110</v>
      </c>
      <c r="W167" s="390" t="s">
        <v>2237</v>
      </c>
      <c r="X167" s="390">
        <v>190196</v>
      </c>
      <c r="Y167" s="390" t="s">
        <v>2238</v>
      </c>
      <c r="Z167" s="391" t="s">
        <v>2239</v>
      </c>
    </row>
    <row r="168" spans="2:26" ht="15.75" customHeight="1" x14ac:dyDescent="0.3">
      <c r="B168" s="387" t="s">
        <v>1375</v>
      </c>
      <c r="C168" s="388">
        <v>121074</v>
      </c>
      <c r="D168" s="388" t="s">
        <v>2240</v>
      </c>
      <c r="E168" s="388" t="s">
        <v>1377</v>
      </c>
      <c r="F168" s="388" t="s">
        <v>1378</v>
      </c>
      <c r="G168" s="388" t="s">
        <v>1379</v>
      </c>
      <c r="H168" s="388" t="s">
        <v>1471</v>
      </c>
      <c r="I168" s="388" t="s">
        <v>1861</v>
      </c>
      <c r="J168" s="388" t="s">
        <v>1382</v>
      </c>
      <c r="K168" s="388" t="s">
        <v>1383</v>
      </c>
      <c r="L168" s="389">
        <v>84</v>
      </c>
      <c r="M168" s="390" t="s">
        <v>2241</v>
      </c>
      <c r="N168" s="390" t="s">
        <v>1852</v>
      </c>
      <c r="O168" s="390" t="s">
        <v>1386</v>
      </c>
      <c r="P168" s="390" t="s">
        <v>1387</v>
      </c>
      <c r="Q168" s="388" t="s">
        <v>1383</v>
      </c>
      <c r="R168" s="390">
        <v>19</v>
      </c>
      <c r="S168" s="390" t="s">
        <v>1841</v>
      </c>
      <c r="T168" s="390">
        <v>69</v>
      </c>
      <c r="U168" s="390" t="s">
        <v>1853</v>
      </c>
      <c r="V168" s="390">
        <v>2429</v>
      </c>
      <c r="W168" s="390" t="s">
        <v>2242</v>
      </c>
      <c r="X168" s="390">
        <v>190127</v>
      </c>
      <c r="Y168" s="390" t="s">
        <v>2242</v>
      </c>
      <c r="Z168" s="391" t="s">
        <v>2243</v>
      </c>
    </row>
    <row r="169" spans="2:26" ht="15.75" customHeight="1" x14ac:dyDescent="0.3">
      <c r="B169" s="387" t="s">
        <v>1375</v>
      </c>
      <c r="C169" s="388">
        <v>121102</v>
      </c>
      <c r="D169" s="388" t="s">
        <v>2244</v>
      </c>
      <c r="E169" s="388" t="s">
        <v>1377</v>
      </c>
      <c r="F169" s="388" t="s">
        <v>1418</v>
      </c>
      <c r="G169" s="388" t="s">
        <v>1379</v>
      </c>
      <c r="H169" s="388" t="s">
        <v>1380</v>
      </c>
      <c r="I169" s="388" t="s">
        <v>1530</v>
      </c>
      <c r="J169" s="388" t="s">
        <v>1420</v>
      </c>
      <c r="K169" s="388" t="s">
        <v>1383</v>
      </c>
      <c r="L169" s="389">
        <v>105</v>
      </c>
      <c r="M169" s="390" t="s">
        <v>2245</v>
      </c>
      <c r="N169" s="390" t="s">
        <v>2246</v>
      </c>
      <c r="O169" s="392" t="s">
        <v>2247</v>
      </c>
      <c r="P169" s="390" t="s">
        <v>1383</v>
      </c>
      <c r="Q169" s="388" t="s">
        <v>1383</v>
      </c>
      <c r="R169" s="390">
        <v>19</v>
      </c>
      <c r="S169" s="390" t="s">
        <v>1841</v>
      </c>
      <c r="T169" s="390">
        <v>67</v>
      </c>
      <c r="U169" s="390" t="s">
        <v>2049</v>
      </c>
      <c r="V169" s="390">
        <v>2517</v>
      </c>
      <c r="W169" s="390" t="s">
        <v>2248</v>
      </c>
      <c r="X169" s="390">
        <v>190279</v>
      </c>
      <c r="Y169" s="390" t="s">
        <v>2249</v>
      </c>
      <c r="Z169" s="391" t="s">
        <v>2250</v>
      </c>
    </row>
    <row r="170" spans="2:26" ht="15.75" customHeight="1" x14ac:dyDescent="0.3">
      <c r="B170" s="387" t="s">
        <v>1375</v>
      </c>
      <c r="C170" s="388">
        <v>121106</v>
      </c>
      <c r="D170" s="388" t="s">
        <v>2251</v>
      </c>
      <c r="E170" s="388" t="s">
        <v>1377</v>
      </c>
      <c r="F170" s="388" t="s">
        <v>1418</v>
      </c>
      <c r="G170" s="388" t="s">
        <v>1379</v>
      </c>
      <c r="H170" s="388" t="s">
        <v>1380</v>
      </c>
      <c r="I170" s="388" t="s">
        <v>1440</v>
      </c>
      <c r="J170" s="388" t="s">
        <v>1420</v>
      </c>
      <c r="K170" s="388" t="s">
        <v>1383</v>
      </c>
      <c r="L170" s="389">
        <v>70</v>
      </c>
      <c r="M170" s="390" t="s">
        <v>2252</v>
      </c>
      <c r="N170" s="390" t="s">
        <v>2253</v>
      </c>
      <c r="O170" s="390" t="s">
        <v>1634</v>
      </c>
      <c r="P170" s="390" t="s">
        <v>1383</v>
      </c>
      <c r="Q170" s="388" t="s">
        <v>1383</v>
      </c>
      <c r="R170" s="390">
        <v>9</v>
      </c>
      <c r="S170" s="390" t="s">
        <v>1533</v>
      </c>
      <c r="T170" s="390">
        <v>76</v>
      </c>
      <c r="U170" s="390" t="s">
        <v>1534</v>
      </c>
      <c r="V170" s="390">
        <v>6413</v>
      </c>
      <c r="W170" s="390" t="s">
        <v>1535</v>
      </c>
      <c r="X170" s="390">
        <v>90121</v>
      </c>
      <c r="Y170" s="390" t="s">
        <v>2254</v>
      </c>
      <c r="Z170" s="391" t="s">
        <v>2255</v>
      </c>
    </row>
    <row r="171" spans="2:26" ht="15.75" customHeight="1" x14ac:dyDescent="0.3">
      <c r="B171" s="387" t="s">
        <v>1375</v>
      </c>
      <c r="C171" s="388">
        <v>121108</v>
      </c>
      <c r="D171" s="388" t="s">
        <v>2256</v>
      </c>
      <c r="E171" s="388" t="s">
        <v>1377</v>
      </c>
      <c r="F171" s="388" t="s">
        <v>1378</v>
      </c>
      <c r="G171" s="388" t="s">
        <v>1439</v>
      </c>
      <c r="H171" s="388" t="s">
        <v>1471</v>
      </c>
      <c r="I171" s="388" t="s">
        <v>2009</v>
      </c>
      <c r="J171" s="388" t="s">
        <v>1382</v>
      </c>
      <c r="K171" s="388" t="s">
        <v>1383</v>
      </c>
      <c r="L171" s="389">
        <v>0</v>
      </c>
      <c r="M171" s="390" t="s">
        <v>2257</v>
      </c>
      <c r="N171" s="390" t="s">
        <v>2258</v>
      </c>
      <c r="O171" s="392" t="s">
        <v>2259</v>
      </c>
      <c r="P171" s="390" t="s">
        <v>1383</v>
      </c>
      <c r="Q171" s="388" t="s">
        <v>1383</v>
      </c>
      <c r="R171" s="390">
        <v>11</v>
      </c>
      <c r="S171" s="390" t="s">
        <v>1608</v>
      </c>
      <c r="T171" s="390">
        <v>71</v>
      </c>
      <c r="U171" s="390" t="s">
        <v>1938</v>
      </c>
      <c r="V171" s="390">
        <v>9232</v>
      </c>
      <c r="W171" s="390" t="s">
        <v>2260</v>
      </c>
      <c r="X171" s="390">
        <v>110549</v>
      </c>
      <c r="Y171" s="390" t="s">
        <v>2260</v>
      </c>
      <c r="Z171" s="391" t="s">
        <v>2261</v>
      </c>
    </row>
    <row r="172" spans="2:26" ht="15.75" customHeight="1" x14ac:dyDescent="0.3">
      <c r="B172" s="387" t="s">
        <v>1375</v>
      </c>
      <c r="C172" s="388">
        <v>121109</v>
      </c>
      <c r="D172" s="388" t="s">
        <v>2262</v>
      </c>
      <c r="E172" s="388" t="s">
        <v>1377</v>
      </c>
      <c r="F172" s="388" t="s">
        <v>1378</v>
      </c>
      <c r="G172" s="388" t="s">
        <v>1379</v>
      </c>
      <c r="H172" s="388" t="s">
        <v>1380</v>
      </c>
      <c r="I172" s="388" t="s">
        <v>1393</v>
      </c>
      <c r="J172" s="388" t="s">
        <v>1382</v>
      </c>
      <c r="K172" s="388" t="s">
        <v>1383</v>
      </c>
      <c r="L172" s="389">
        <v>129</v>
      </c>
      <c r="M172" s="390" t="s">
        <v>2263</v>
      </c>
      <c r="N172" s="390" t="s">
        <v>2264</v>
      </c>
      <c r="O172" s="390" t="s">
        <v>1482</v>
      </c>
      <c r="P172" s="390" t="s">
        <v>1387</v>
      </c>
      <c r="Q172" s="388" t="s">
        <v>1383</v>
      </c>
      <c r="R172" s="390">
        <v>8</v>
      </c>
      <c r="S172" s="390" t="s">
        <v>1483</v>
      </c>
      <c r="T172" s="390">
        <v>48</v>
      </c>
      <c r="U172" s="390" t="s">
        <v>2265</v>
      </c>
      <c r="V172" s="390">
        <v>4545</v>
      </c>
      <c r="W172" s="390" t="s">
        <v>2266</v>
      </c>
      <c r="X172" s="390">
        <v>80324</v>
      </c>
      <c r="Y172" s="390" t="s">
        <v>2262</v>
      </c>
      <c r="Z172" s="391" t="s">
        <v>2267</v>
      </c>
    </row>
    <row r="173" spans="2:26" ht="15.75" customHeight="1" x14ac:dyDescent="0.3">
      <c r="B173" s="387" t="s">
        <v>1375</v>
      </c>
      <c r="C173" s="388">
        <v>121110</v>
      </c>
      <c r="D173" s="388" t="s">
        <v>2268</v>
      </c>
      <c r="E173" s="388" t="s">
        <v>1377</v>
      </c>
      <c r="F173" s="388" t="s">
        <v>1378</v>
      </c>
      <c r="G173" s="388" t="s">
        <v>1379</v>
      </c>
      <c r="H173" s="388" t="s">
        <v>1380</v>
      </c>
      <c r="I173" s="388" t="s">
        <v>1393</v>
      </c>
      <c r="J173" s="388" t="s">
        <v>1382</v>
      </c>
      <c r="K173" s="388" t="s">
        <v>1383</v>
      </c>
      <c r="L173" s="389">
        <v>99</v>
      </c>
      <c r="M173" s="390" t="s">
        <v>2269</v>
      </c>
      <c r="N173" s="390" t="s">
        <v>2270</v>
      </c>
      <c r="O173" s="390" t="s">
        <v>1482</v>
      </c>
      <c r="P173" s="390" t="s">
        <v>1387</v>
      </c>
      <c r="Q173" s="388" t="s">
        <v>1383</v>
      </c>
      <c r="R173" s="390">
        <v>8</v>
      </c>
      <c r="S173" s="390" t="s">
        <v>1483</v>
      </c>
      <c r="T173" s="390">
        <v>46</v>
      </c>
      <c r="U173" s="390" t="s">
        <v>1523</v>
      </c>
      <c r="V173" s="390">
        <v>6503</v>
      </c>
      <c r="W173" s="390" t="s">
        <v>2271</v>
      </c>
      <c r="X173" s="390">
        <v>80329</v>
      </c>
      <c r="Y173" s="390" t="s">
        <v>2272</v>
      </c>
      <c r="Z173" s="391" t="s">
        <v>2273</v>
      </c>
    </row>
    <row r="174" spans="2:26" ht="15.75" customHeight="1" x14ac:dyDescent="0.3">
      <c r="B174" s="387" t="s">
        <v>1375</v>
      </c>
      <c r="C174" s="388">
        <v>121111</v>
      </c>
      <c r="D174" s="388" t="s">
        <v>2274</v>
      </c>
      <c r="E174" s="388" t="s">
        <v>1377</v>
      </c>
      <c r="F174" s="388" t="s">
        <v>1378</v>
      </c>
      <c r="G174" s="388" t="s">
        <v>1379</v>
      </c>
      <c r="H174" s="388" t="s">
        <v>1380</v>
      </c>
      <c r="I174" s="388" t="s">
        <v>1393</v>
      </c>
      <c r="J174" s="388" t="s">
        <v>1382</v>
      </c>
      <c r="K174" s="388" t="s">
        <v>1383</v>
      </c>
      <c r="L174" s="389">
        <v>67</v>
      </c>
      <c r="M174" s="390" t="s">
        <v>2275</v>
      </c>
      <c r="N174" s="390" t="s">
        <v>2276</v>
      </c>
      <c r="O174" s="390" t="s">
        <v>1386</v>
      </c>
      <c r="P174" s="390" t="s">
        <v>1387</v>
      </c>
      <c r="Q174" s="388" t="s">
        <v>1383</v>
      </c>
      <c r="R174" s="390">
        <v>3</v>
      </c>
      <c r="S174" s="390" t="s">
        <v>1430</v>
      </c>
      <c r="T174" s="390">
        <v>96</v>
      </c>
      <c r="U174" s="390" t="s">
        <v>1431</v>
      </c>
      <c r="V174" s="390">
        <v>3208</v>
      </c>
      <c r="W174" s="390" t="s">
        <v>2277</v>
      </c>
      <c r="X174" s="390">
        <v>30006</v>
      </c>
      <c r="Y174" s="390" t="s">
        <v>2278</v>
      </c>
      <c r="Z174" s="391" t="s">
        <v>2279</v>
      </c>
    </row>
    <row r="175" spans="2:26" ht="15.75" customHeight="1" x14ac:dyDescent="0.3">
      <c r="B175" s="387" t="s">
        <v>1375</v>
      </c>
      <c r="C175" s="388">
        <v>121124</v>
      </c>
      <c r="D175" s="388" t="s">
        <v>2280</v>
      </c>
      <c r="E175" s="388" t="s">
        <v>1377</v>
      </c>
      <c r="F175" s="388" t="s">
        <v>1378</v>
      </c>
      <c r="G175" s="388" t="s">
        <v>1379</v>
      </c>
      <c r="H175" s="388" t="s">
        <v>1471</v>
      </c>
      <c r="I175" s="388" t="s">
        <v>1861</v>
      </c>
      <c r="J175" s="388" t="s">
        <v>1382</v>
      </c>
      <c r="K175" s="388" t="s">
        <v>1383</v>
      </c>
      <c r="L175" s="389">
        <v>176</v>
      </c>
      <c r="M175" s="390" t="s">
        <v>2281</v>
      </c>
      <c r="N175" s="390" t="s">
        <v>2282</v>
      </c>
      <c r="O175" s="390" t="s">
        <v>1386</v>
      </c>
      <c r="P175" s="390" t="s">
        <v>1387</v>
      </c>
      <c r="Q175" s="388" t="s">
        <v>1383</v>
      </c>
      <c r="R175" s="390">
        <v>4</v>
      </c>
      <c r="S175" s="390" t="s">
        <v>1451</v>
      </c>
      <c r="T175" s="390">
        <v>50</v>
      </c>
      <c r="U175" s="390" t="s">
        <v>1458</v>
      </c>
      <c r="V175" s="390">
        <v>1314</v>
      </c>
      <c r="W175" s="390" t="s">
        <v>2283</v>
      </c>
      <c r="X175" s="390">
        <v>40167</v>
      </c>
      <c r="Y175" s="390" t="s">
        <v>2284</v>
      </c>
      <c r="Z175" s="391" t="s">
        <v>2285</v>
      </c>
    </row>
    <row r="176" spans="2:26" ht="15.75" customHeight="1" x14ac:dyDescent="0.3">
      <c r="B176" s="387" t="s">
        <v>1375</v>
      </c>
      <c r="C176" s="388">
        <v>121151</v>
      </c>
      <c r="D176" s="388" t="s">
        <v>2286</v>
      </c>
      <c r="E176" s="388" t="s">
        <v>1377</v>
      </c>
      <c r="F176" s="388" t="s">
        <v>1378</v>
      </c>
      <c r="G176" s="388" t="s">
        <v>1379</v>
      </c>
      <c r="H176" s="388" t="s">
        <v>1471</v>
      </c>
      <c r="I176" s="388" t="s">
        <v>1861</v>
      </c>
      <c r="J176" s="388" t="s">
        <v>1382</v>
      </c>
      <c r="K176" s="388" t="s">
        <v>1383</v>
      </c>
      <c r="L176" s="389">
        <v>125</v>
      </c>
      <c r="M176" s="390" t="s">
        <v>2287</v>
      </c>
      <c r="N176" s="390" t="s">
        <v>2288</v>
      </c>
      <c r="O176" s="390" t="s">
        <v>1474</v>
      </c>
      <c r="P176" s="390" t="s">
        <v>1387</v>
      </c>
      <c r="Q176" s="388" t="s">
        <v>1383</v>
      </c>
      <c r="R176" s="390">
        <v>7</v>
      </c>
      <c r="S176" s="390" t="s">
        <v>1687</v>
      </c>
      <c r="T176" s="390">
        <v>87</v>
      </c>
      <c r="U176" s="390" t="s">
        <v>2025</v>
      </c>
      <c r="V176" s="390">
        <v>205316</v>
      </c>
      <c r="W176" s="390" t="s">
        <v>2289</v>
      </c>
      <c r="X176" s="390">
        <v>70276</v>
      </c>
      <c r="Y176" s="390" t="s">
        <v>2290</v>
      </c>
      <c r="Z176" s="391" t="s">
        <v>2291</v>
      </c>
    </row>
    <row r="177" spans="2:26" ht="15.75" customHeight="1" x14ac:dyDescent="0.3">
      <c r="B177" s="387" t="s">
        <v>1375</v>
      </c>
      <c r="C177" s="388">
        <v>121193</v>
      </c>
      <c r="D177" s="388" t="s">
        <v>2292</v>
      </c>
      <c r="E177" s="388" t="s">
        <v>1377</v>
      </c>
      <c r="F177" s="388" t="s">
        <v>2293</v>
      </c>
      <c r="G177" s="388" t="s">
        <v>1379</v>
      </c>
      <c r="H177" s="388" t="s">
        <v>1380</v>
      </c>
      <c r="I177" s="388" t="s">
        <v>1530</v>
      </c>
      <c r="J177" s="388" t="s">
        <v>1382</v>
      </c>
      <c r="K177" s="388" t="s">
        <v>1383</v>
      </c>
      <c r="L177" s="389">
        <v>186</v>
      </c>
      <c r="M177" s="390" t="s">
        <v>2294</v>
      </c>
      <c r="N177" s="390" t="s">
        <v>2295</v>
      </c>
      <c r="O177" s="390" t="s">
        <v>1474</v>
      </c>
      <c r="P177" s="390" t="s">
        <v>1387</v>
      </c>
      <c r="Q177" s="388" t="s">
        <v>1383</v>
      </c>
      <c r="R177" s="390">
        <v>7</v>
      </c>
      <c r="S177" s="390" t="s">
        <v>1687</v>
      </c>
      <c r="T177" s="390">
        <v>84</v>
      </c>
      <c r="U177" s="390" t="s">
        <v>1920</v>
      </c>
      <c r="V177" s="390">
        <v>4602</v>
      </c>
      <c r="W177" s="390" t="s">
        <v>2026</v>
      </c>
      <c r="X177" s="390">
        <v>70241</v>
      </c>
      <c r="Y177" s="390" t="s">
        <v>2081</v>
      </c>
      <c r="Z177" s="391" t="s">
        <v>2296</v>
      </c>
    </row>
    <row r="178" spans="2:26" ht="15.75" customHeight="1" x14ac:dyDescent="0.3">
      <c r="B178" s="387" t="s">
        <v>1375</v>
      </c>
      <c r="C178" s="388">
        <v>121205</v>
      </c>
      <c r="D178" s="388" t="s">
        <v>2297</v>
      </c>
      <c r="E178" s="388" t="s">
        <v>1377</v>
      </c>
      <c r="F178" s="388" t="s">
        <v>2293</v>
      </c>
      <c r="G178" s="388" t="s">
        <v>1379</v>
      </c>
      <c r="H178" s="388" t="s">
        <v>1380</v>
      </c>
      <c r="I178" s="388" t="s">
        <v>1530</v>
      </c>
      <c r="J178" s="388" t="s">
        <v>1382</v>
      </c>
      <c r="K178" s="388" t="s">
        <v>1383</v>
      </c>
      <c r="L178" s="389">
        <v>81</v>
      </c>
      <c r="M178" s="390" t="s">
        <v>2298</v>
      </c>
      <c r="N178" s="390" t="s">
        <v>2299</v>
      </c>
      <c r="O178" s="390" t="s">
        <v>1386</v>
      </c>
      <c r="P178" s="390" t="s">
        <v>1387</v>
      </c>
      <c r="Q178" s="388" t="s">
        <v>1383</v>
      </c>
      <c r="R178" s="390">
        <v>10</v>
      </c>
      <c r="S178" s="390" t="s">
        <v>1552</v>
      </c>
      <c r="T178" s="390">
        <v>31</v>
      </c>
      <c r="U178" s="390" t="s">
        <v>2300</v>
      </c>
      <c r="V178" s="390">
        <v>5507</v>
      </c>
      <c r="W178" s="390" t="s">
        <v>2301</v>
      </c>
      <c r="X178" s="390">
        <v>100159</v>
      </c>
      <c r="Y178" s="390" t="s">
        <v>2301</v>
      </c>
      <c r="Z178" s="391" t="s">
        <v>2302</v>
      </c>
    </row>
    <row r="179" spans="2:26" ht="15.75" customHeight="1" x14ac:dyDescent="0.3">
      <c r="B179" s="387" t="s">
        <v>1375</v>
      </c>
      <c r="C179" s="388">
        <v>121242</v>
      </c>
      <c r="D179" s="388" t="s">
        <v>2303</v>
      </c>
      <c r="E179" s="388" t="s">
        <v>1377</v>
      </c>
      <c r="F179" s="388" t="s">
        <v>1378</v>
      </c>
      <c r="G179" s="388" t="s">
        <v>1439</v>
      </c>
      <c r="H179" s="388" t="s">
        <v>1471</v>
      </c>
      <c r="I179" s="388" t="s">
        <v>1699</v>
      </c>
      <c r="J179" s="388" t="s">
        <v>1382</v>
      </c>
      <c r="K179" s="388" t="s">
        <v>1383</v>
      </c>
      <c r="L179" s="389">
        <v>0</v>
      </c>
      <c r="M179" s="390" t="s">
        <v>2304</v>
      </c>
      <c r="N179" s="390" t="s">
        <v>1699</v>
      </c>
      <c r="O179" s="390" t="s">
        <v>1699</v>
      </c>
      <c r="P179" s="390" t="s">
        <v>1383</v>
      </c>
      <c r="Q179" s="388" t="s">
        <v>1383</v>
      </c>
      <c r="R179" s="390">
        <v>19</v>
      </c>
      <c r="S179" s="390" t="s">
        <v>1841</v>
      </c>
      <c r="T179" s="390">
        <v>67</v>
      </c>
      <c r="U179" s="390" t="s">
        <v>2049</v>
      </c>
      <c r="V179" s="390">
        <v>2546</v>
      </c>
      <c r="W179" s="390" t="s">
        <v>2305</v>
      </c>
      <c r="X179" s="390">
        <v>190278</v>
      </c>
      <c r="Y179" s="390" t="s">
        <v>2306</v>
      </c>
      <c r="Z179" s="391" t="s">
        <v>2307</v>
      </c>
    </row>
    <row r="180" spans="2:26" ht="15.75" customHeight="1" x14ac:dyDescent="0.3">
      <c r="B180" s="387" t="s">
        <v>1375</v>
      </c>
      <c r="C180" s="388">
        <v>121243</v>
      </c>
      <c r="D180" s="388" t="s">
        <v>2308</v>
      </c>
      <c r="E180" s="388" t="s">
        <v>1377</v>
      </c>
      <c r="F180" s="388" t="s">
        <v>1378</v>
      </c>
      <c r="G180" s="388" t="s">
        <v>1379</v>
      </c>
      <c r="H180" s="388" t="s">
        <v>1380</v>
      </c>
      <c r="I180" s="388" t="s">
        <v>1393</v>
      </c>
      <c r="J180" s="388" t="s">
        <v>1382</v>
      </c>
      <c r="K180" s="388" t="s">
        <v>1383</v>
      </c>
      <c r="L180" s="389">
        <v>89</v>
      </c>
      <c r="M180" s="390" t="s">
        <v>2309</v>
      </c>
      <c r="N180" s="390" t="s">
        <v>2310</v>
      </c>
      <c r="O180" s="390" t="s">
        <v>1482</v>
      </c>
      <c r="P180" s="390" t="s">
        <v>1387</v>
      </c>
      <c r="Q180" s="388" t="s">
        <v>1383</v>
      </c>
      <c r="R180" s="390">
        <v>8</v>
      </c>
      <c r="S180" s="390" t="s">
        <v>1483</v>
      </c>
      <c r="T180" s="390">
        <v>44</v>
      </c>
      <c r="U180" s="390" t="s">
        <v>2311</v>
      </c>
      <c r="V180" s="390">
        <v>4551</v>
      </c>
      <c r="W180" s="390" t="s">
        <v>2312</v>
      </c>
      <c r="X180" s="390">
        <v>80151</v>
      </c>
      <c r="Y180" s="390" t="s">
        <v>2308</v>
      </c>
      <c r="Z180" s="391" t="s">
        <v>2313</v>
      </c>
    </row>
    <row r="181" spans="2:26" ht="15.75" customHeight="1" x14ac:dyDescent="0.3">
      <c r="B181" s="387" t="s">
        <v>1375</v>
      </c>
      <c r="C181" s="388">
        <v>121244</v>
      </c>
      <c r="D181" s="388" t="s">
        <v>2314</v>
      </c>
      <c r="E181" s="388" t="s">
        <v>1377</v>
      </c>
      <c r="F181" s="388" t="s">
        <v>1378</v>
      </c>
      <c r="G181" s="388" t="s">
        <v>1439</v>
      </c>
      <c r="H181" s="388" t="s">
        <v>1380</v>
      </c>
      <c r="I181" s="388" t="s">
        <v>2315</v>
      </c>
      <c r="J181" s="388" t="s">
        <v>1382</v>
      </c>
      <c r="K181" s="388" t="s">
        <v>1383</v>
      </c>
      <c r="L181" s="389">
        <v>0</v>
      </c>
      <c r="M181" s="390" t="s">
        <v>2316</v>
      </c>
      <c r="N181" s="390" t="s">
        <v>2317</v>
      </c>
      <c r="O181" s="392" t="s">
        <v>2259</v>
      </c>
      <c r="P181" s="390" t="s">
        <v>1383</v>
      </c>
      <c r="Q181" s="388" t="s">
        <v>1383</v>
      </c>
      <c r="R181" s="390">
        <v>18</v>
      </c>
      <c r="S181" s="390" t="s">
        <v>1790</v>
      </c>
      <c r="T181" s="390">
        <v>53</v>
      </c>
      <c r="U181" s="390" t="s">
        <v>1823</v>
      </c>
      <c r="V181" s="390">
        <v>1425</v>
      </c>
      <c r="W181" s="390" t="s">
        <v>2318</v>
      </c>
      <c r="X181" s="390">
        <v>180113</v>
      </c>
      <c r="Y181" s="390" t="s">
        <v>2319</v>
      </c>
      <c r="Z181" s="391" t="s">
        <v>2320</v>
      </c>
    </row>
    <row r="182" spans="2:26" ht="15.75" customHeight="1" x14ac:dyDescent="0.3">
      <c r="B182" s="387" t="s">
        <v>1375</v>
      </c>
      <c r="C182" s="388">
        <v>121245</v>
      </c>
      <c r="D182" s="388" t="s">
        <v>2321</v>
      </c>
      <c r="E182" s="388" t="s">
        <v>1377</v>
      </c>
      <c r="F182" s="388" t="s">
        <v>1378</v>
      </c>
      <c r="G182" s="388" t="s">
        <v>1379</v>
      </c>
      <c r="H182" s="388" t="s">
        <v>1380</v>
      </c>
      <c r="I182" s="388" t="s">
        <v>1393</v>
      </c>
      <c r="J182" s="388" t="s">
        <v>1382</v>
      </c>
      <c r="K182" s="388" t="s">
        <v>1383</v>
      </c>
      <c r="L182" s="389">
        <v>95</v>
      </c>
      <c r="M182" s="390" t="s">
        <v>2322</v>
      </c>
      <c r="N182" s="390" t="s">
        <v>2323</v>
      </c>
      <c r="O182" s="390" t="s">
        <v>1482</v>
      </c>
      <c r="P182" s="390" t="s">
        <v>1387</v>
      </c>
      <c r="Q182" s="388" t="s">
        <v>1383</v>
      </c>
      <c r="R182" s="390">
        <v>16</v>
      </c>
      <c r="S182" s="390" t="s">
        <v>1746</v>
      </c>
      <c r="T182" s="390">
        <v>43</v>
      </c>
      <c r="U182" s="390" t="s">
        <v>1753</v>
      </c>
      <c r="V182" s="390">
        <v>4304</v>
      </c>
      <c r="W182" s="390" t="s">
        <v>1858</v>
      </c>
      <c r="X182" s="390">
        <v>160021</v>
      </c>
      <c r="Y182" s="390" t="s">
        <v>2155</v>
      </c>
      <c r="Z182" s="391" t="s">
        <v>2324</v>
      </c>
    </row>
    <row r="183" spans="2:26" ht="15.75" customHeight="1" x14ac:dyDescent="0.3">
      <c r="B183" s="387" t="s">
        <v>1375</v>
      </c>
      <c r="C183" s="388">
        <v>121248</v>
      </c>
      <c r="D183" s="388" t="s">
        <v>2325</v>
      </c>
      <c r="E183" s="388" t="s">
        <v>1377</v>
      </c>
      <c r="F183" s="388" t="s">
        <v>1378</v>
      </c>
      <c r="G183" s="388" t="s">
        <v>1379</v>
      </c>
      <c r="H183" s="388" t="s">
        <v>1471</v>
      </c>
      <c r="I183" s="388" t="s">
        <v>1861</v>
      </c>
      <c r="J183" s="388" t="s">
        <v>1382</v>
      </c>
      <c r="K183" s="388" t="s">
        <v>1383</v>
      </c>
      <c r="L183" s="389">
        <v>472</v>
      </c>
      <c r="M183" s="390" t="s">
        <v>2326</v>
      </c>
      <c r="N183" s="390" t="s">
        <v>2327</v>
      </c>
      <c r="O183" s="390" t="s">
        <v>1465</v>
      </c>
      <c r="P183" s="390" t="s">
        <v>1387</v>
      </c>
      <c r="Q183" s="388" t="s">
        <v>1383</v>
      </c>
      <c r="R183" s="390">
        <v>11</v>
      </c>
      <c r="S183" s="390" t="s">
        <v>1608</v>
      </c>
      <c r="T183" s="390">
        <v>71</v>
      </c>
      <c r="U183" s="390" t="s">
        <v>1938</v>
      </c>
      <c r="V183" s="390">
        <v>9229</v>
      </c>
      <c r="W183" s="390" t="s">
        <v>1939</v>
      </c>
      <c r="X183" s="390">
        <v>110753</v>
      </c>
      <c r="Y183" s="390" t="s">
        <v>1940</v>
      </c>
      <c r="Z183" s="391" t="s">
        <v>2328</v>
      </c>
    </row>
    <row r="184" spans="2:26" ht="15.75" customHeight="1" x14ac:dyDescent="0.3">
      <c r="B184" s="387" t="s">
        <v>1375</v>
      </c>
      <c r="C184" s="388">
        <v>121364</v>
      </c>
      <c r="D184" s="388" t="s">
        <v>2329</v>
      </c>
      <c r="E184" s="388" t="s">
        <v>1377</v>
      </c>
      <c r="F184" s="388" t="s">
        <v>2293</v>
      </c>
      <c r="G184" s="388" t="s">
        <v>1379</v>
      </c>
      <c r="H184" s="388" t="s">
        <v>1380</v>
      </c>
      <c r="I184" s="388" t="s">
        <v>1530</v>
      </c>
      <c r="J184" s="388" t="s">
        <v>1382</v>
      </c>
      <c r="K184" s="388" t="s">
        <v>1383</v>
      </c>
      <c r="L184" s="389">
        <v>67</v>
      </c>
      <c r="M184" s="390" t="s">
        <v>2330</v>
      </c>
      <c r="N184" s="390" t="s">
        <v>2331</v>
      </c>
      <c r="O184" s="390" t="s">
        <v>1386</v>
      </c>
      <c r="P184" s="390" t="s">
        <v>1387</v>
      </c>
      <c r="Q184" s="388" t="s">
        <v>1383</v>
      </c>
      <c r="R184" s="390">
        <v>4</v>
      </c>
      <c r="S184" s="390" t="s">
        <v>1451</v>
      </c>
      <c r="T184" s="390">
        <v>33</v>
      </c>
      <c r="U184" s="390" t="s">
        <v>1475</v>
      </c>
      <c r="V184" s="390">
        <v>1205</v>
      </c>
      <c r="W184" s="390" t="s">
        <v>2332</v>
      </c>
      <c r="X184" s="390">
        <v>40060</v>
      </c>
      <c r="Y184" s="390" t="s">
        <v>2333</v>
      </c>
      <c r="Z184" s="391" t="s">
        <v>2334</v>
      </c>
    </row>
    <row r="185" spans="2:26" ht="15.75" customHeight="1" x14ac:dyDescent="0.3">
      <c r="B185" s="387" t="s">
        <v>1375</v>
      </c>
      <c r="C185" s="388">
        <v>121365</v>
      </c>
      <c r="D185" s="388" t="s">
        <v>2335</v>
      </c>
      <c r="E185" s="388" t="s">
        <v>1377</v>
      </c>
      <c r="F185" s="388" t="s">
        <v>2293</v>
      </c>
      <c r="G185" s="388" t="s">
        <v>1379</v>
      </c>
      <c r="H185" s="388" t="s">
        <v>1380</v>
      </c>
      <c r="I185" s="388" t="s">
        <v>1530</v>
      </c>
      <c r="J185" s="388" t="s">
        <v>1382</v>
      </c>
      <c r="K185" s="388" t="s">
        <v>1383</v>
      </c>
      <c r="L185" s="389">
        <v>60</v>
      </c>
      <c r="M185" s="390" t="s">
        <v>2336</v>
      </c>
      <c r="N185" s="390" t="s">
        <v>2337</v>
      </c>
      <c r="O185" s="390" t="s">
        <v>1465</v>
      </c>
      <c r="P185" s="390" t="s">
        <v>1387</v>
      </c>
      <c r="Q185" s="388" t="s">
        <v>1383</v>
      </c>
      <c r="R185" s="390">
        <v>5</v>
      </c>
      <c r="S185" s="390" t="s">
        <v>1466</v>
      </c>
      <c r="T185" s="390">
        <v>57</v>
      </c>
      <c r="U185" s="390" t="s">
        <v>1639</v>
      </c>
      <c r="V185" s="390">
        <v>2506</v>
      </c>
      <c r="W185" s="390" t="s">
        <v>1639</v>
      </c>
      <c r="X185" s="390">
        <v>50095</v>
      </c>
      <c r="Y185" s="390" t="s">
        <v>2338</v>
      </c>
      <c r="Z185" s="391" t="s">
        <v>2339</v>
      </c>
    </row>
    <row r="186" spans="2:26" ht="15.75" customHeight="1" x14ac:dyDescent="0.3">
      <c r="B186" s="387" t="s">
        <v>1375</v>
      </c>
      <c r="C186" s="388">
        <v>121407</v>
      </c>
      <c r="D186" s="388" t="s">
        <v>2340</v>
      </c>
      <c r="E186" s="388" t="s">
        <v>1377</v>
      </c>
      <c r="F186" s="388" t="s">
        <v>1378</v>
      </c>
      <c r="G186" s="388" t="s">
        <v>1379</v>
      </c>
      <c r="H186" s="388" t="s">
        <v>1380</v>
      </c>
      <c r="I186" s="388" t="s">
        <v>1393</v>
      </c>
      <c r="J186" s="388" t="s">
        <v>1382</v>
      </c>
      <c r="K186" s="388" t="s">
        <v>1383</v>
      </c>
      <c r="L186" s="389">
        <v>130</v>
      </c>
      <c r="M186" s="390" t="s">
        <v>2341</v>
      </c>
      <c r="N186" s="390" t="s">
        <v>2342</v>
      </c>
      <c r="O186" s="390" t="s">
        <v>1465</v>
      </c>
      <c r="P186" s="390" t="s">
        <v>1387</v>
      </c>
      <c r="Q186" s="388" t="s">
        <v>1383</v>
      </c>
      <c r="R186" s="390">
        <v>11</v>
      </c>
      <c r="S186" s="390" t="s">
        <v>1608</v>
      </c>
      <c r="T186" s="390">
        <v>25</v>
      </c>
      <c r="U186" s="390" t="s">
        <v>2343</v>
      </c>
      <c r="V186" s="390">
        <v>5403</v>
      </c>
      <c r="W186" s="390" t="s">
        <v>2344</v>
      </c>
      <c r="X186" s="390">
        <v>110254</v>
      </c>
      <c r="Y186" s="390" t="s">
        <v>2344</v>
      </c>
      <c r="Z186" s="391" t="s">
        <v>2345</v>
      </c>
    </row>
    <row r="187" spans="2:26" ht="15.75" customHeight="1" x14ac:dyDescent="0.3">
      <c r="B187" s="387" t="s">
        <v>1375</v>
      </c>
      <c r="C187" s="388">
        <v>121408</v>
      </c>
      <c r="D187" s="388" t="s">
        <v>2346</v>
      </c>
      <c r="E187" s="388" t="s">
        <v>1377</v>
      </c>
      <c r="F187" s="388" t="s">
        <v>1378</v>
      </c>
      <c r="G187" s="388" t="s">
        <v>1379</v>
      </c>
      <c r="H187" s="388" t="s">
        <v>1380</v>
      </c>
      <c r="I187" s="388" t="s">
        <v>1393</v>
      </c>
      <c r="J187" s="388" t="s">
        <v>1382</v>
      </c>
      <c r="K187" s="388" t="s">
        <v>1383</v>
      </c>
      <c r="L187" s="389">
        <v>134</v>
      </c>
      <c r="M187" s="390" t="s">
        <v>2347</v>
      </c>
      <c r="N187" s="390" t="s">
        <v>2348</v>
      </c>
      <c r="O187" s="390" t="s">
        <v>1386</v>
      </c>
      <c r="P187" s="390" t="s">
        <v>1387</v>
      </c>
      <c r="Q187" s="388" t="s">
        <v>1383</v>
      </c>
      <c r="R187" s="390">
        <v>10</v>
      </c>
      <c r="S187" s="390" t="s">
        <v>1552</v>
      </c>
      <c r="T187" s="390">
        <v>29</v>
      </c>
      <c r="U187" s="390" t="s">
        <v>1575</v>
      </c>
      <c r="V187" s="390">
        <v>5630</v>
      </c>
      <c r="W187" s="390" t="s">
        <v>2349</v>
      </c>
      <c r="X187" s="390">
        <v>100247</v>
      </c>
      <c r="Y187" s="390" t="s">
        <v>2346</v>
      </c>
      <c r="Z187" s="391" t="s">
        <v>2350</v>
      </c>
    </row>
    <row r="188" spans="2:26" ht="15.75" customHeight="1" x14ac:dyDescent="0.3">
      <c r="B188" s="387" t="s">
        <v>1375</v>
      </c>
      <c r="C188" s="388">
        <v>121415</v>
      </c>
      <c r="D188" s="388" t="s">
        <v>2351</v>
      </c>
      <c r="E188" s="388" t="s">
        <v>1377</v>
      </c>
      <c r="F188" s="388" t="s">
        <v>2293</v>
      </c>
      <c r="G188" s="388" t="s">
        <v>1379</v>
      </c>
      <c r="H188" s="388" t="s">
        <v>1380</v>
      </c>
      <c r="I188" s="388" t="s">
        <v>1393</v>
      </c>
      <c r="J188" s="388" t="s">
        <v>1382</v>
      </c>
      <c r="K188" s="388" t="s">
        <v>1383</v>
      </c>
      <c r="L188" s="389">
        <v>84</v>
      </c>
      <c r="M188" s="390" t="s">
        <v>2352</v>
      </c>
      <c r="N188" s="390" t="s">
        <v>2353</v>
      </c>
      <c r="O188" s="390" t="s">
        <v>1386</v>
      </c>
      <c r="P188" s="390" t="s">
        <v>1387</v>
      </c>
      <c r="Q188" s="388" t="s">
        <v>1383</v>
      </c>
      <c r="R188" s="390">
        <v>3</v>
      </c>
      <c r="S188" s="390" t="s">
        <v>1430</v>
      </c>
      <c r="T188" s="390">
        <v>95</v>
      </c>
      <c r="U188" s="390" t="s">
        <v>2354</v>
      </c>
      <c r="V188" s="390">
        <v>3202</v>
      </c>
      <c r="W188" s="390" t="s">
        <v>2354</v>
      </c>
      <c r="X188" s="390">
        <v>30026</v>
      </c>
      <c r="Y188" s="390" t="s">
        <v>2354</v>
      </c>
      <c r="Z188" s="391" t="s">
        <v>2355</v>
      </c>
    </row>
    <row r="189" spans="2:26" ht="15.75" customHeight="1" x14ac:dyDescent="0.3">
      <c r="B189" s="387" t="s">
        <v>1375</v>
      </c>
      <c r="C189" s="388">
        <v>121418</v>
      </c>
      <c r="D189" s="388" t="s">
        <v>2356</v>
      </c>
      <c r="E189" s="388" t="s">
        <v>1377</v>
      </c>
      <c r="F189" s="388" t="s">
        <v>1378</v>
      </c>
      <c r="G189" s="388" t="s">
        <v>1439</v>
      </c>
      <c r="H189" s="388" t="s">
        <v>1471</v>
      </c>
      <c r="I189" s="388" t="s">
        <v>1699</v>
      </c>
      <c r="J189" s="388" t="s">
        <v>1382</v>
      </c>
      <c r="K189" s="388" t="s">
        <v>1383</v>
      </c>
      <c r="L189" s="389">
        <v>0</v>
      </c>
      <c r="M189" s="390" t="s">
        <v>2357</v>
      </c>
      <c r="N189" s="390" t="s">
        <v>1699</v>
      </c>
      <c r="O189" s="390" t="s">
        <v>1699</v>
      </c>
      <c r="P189" s="390" t="s">
        <v>1383</v>
      </c>
      <c r="Q189" s="388" t="s">
        <v>1383</v>
      </c>
      <c r="R189" s="390">
        <v>18</v>
      </c>
      <c r="S189" s="390" t="s">
        <v>1790</v>
      </c>
      <c r="T189" s="390">
        <v>54</v>
      </c>
      <c r="U189" s="390" t="s">
        <v>1791</v>
      </c>
      <c r="V189" s="390">
        <v>1419</v>
      </c>
      <c r="W189" s="390" t="s">
        <v>2358</v>
      </c>
      <c r="X189" s="390">
        <v>180017</v>
      </c>
      <c r="Y189" s="390" t="s">
        <v>2359</v>
      </c>
      <c r="Z189" s="391" t="s">
        <v>2360</v>
      </c>
    </row>
    <row r="190" spans="2:26" ht="15.75" customHeight="1" x14ac:dyDescent="0.3">
      <c r="B190" s="387" t="s">
        <v>1375</v>
      </c>
      <c r="C190" s="388">
        <v>121423</v>
      </c>
      <c r="D190" s="388" t="s">
        <v>2361</v>
      </c>
      <c r="E190" s="388" t="s">
        <v>1377</v>
      </c>
      <c r="F190" s="388" t="s">
        <v>1378</v>
      </c>
      <c r="G190" s="388" t="s">
        <v>1379</v>
      </c>
      <c r="H190" s="388" t="s">
        <v>1471</v>
      </c>
      <c r="I190" s="388" t="s">
        <v>1861</v>
      </c>
      <c r="J190" s="388" t="s">
        <v>1382</v>
      </c>
      <c r="K190" s="388" t="s">
        <v>1383</v>
      </c>
      <c r="L190" s="389">
        <v>92</v>
      </c>
      <c r="M190" s="390" t="s">
        <v>2362</v>
      </c>
      <c r="N190" s="390" t="s">
        <v>2363</v>
      </c>
      <c r="O190" s="390" t="s">
        <v>1482</v>
      </c>
      <c r="P190" s="390" t="s">
        <v>1387</v>
      </c>
      <c r="Q190" s="388" t="s">
        <v>1383</v>
      </c>
      <c r="R190" s="390">
        <v>8</v>
      </c>
      <c r="S190" s="390" t="s">
        <v>1483</v>
      </c>
      <c r="T190" s="390">
        <v>46</v>
      </c>
      <c r="U190" s="390" t="s">
        <v>1523</v>
      </c>
      <c r="V190" s="390">
        <v>6514</v>
      </c>
      <c r="W190" s="390" t="s">
        <v>2364</v>
      </c>
      <c r="X190" s="390">
        <v>80017</v>
      </c>
      <c r="Y190" s="390" t="s">
        <v>2365</v>
      </c>
      <c r="Z190" s="391" t="s">
        <v>2366</v>
      </c>
    </row>
    <row r="191" spans="2:26" ht="15.75" customHeight="1" x14ac:dyDescent="0.3">
      <c r="B191" s="387" t="s">
        <v>1375</v>
      </c>
      <c r="C191" s="388">
        <v>121431</v>
      </c>
      <c r="D191" s="388" t="s">
        <v>2367</v>
      </c>
      <c r="E191" s="388" t="s">
        <v>1377</v>
      </c>
      <c r="F191" s="388" t="s">
        <v>2293</v>
      </c>
      <c r="G191" s="388" t="s">
        <v>1379</v>
      </c>
      <c r="H191" s="388" t="s">
        <v>1380</v>
      </c>
      <c r="I191" s="388" t="s">
        <v>1393</v>
      </c>
      <c r="J191" s="388" t="s">
        <v>1382</v>
      </c>
      <c r="K191" s="388" t="s">
        <v>1383</v>
      </c>
      <c r="L191" s="389">
        <v>272</v>
      </c>
      <c r="M191" s="390" t="s">
        <v>2368</v>
      </c>
      <c r="N191" s="390" t="s">
        <v>2369</v>
      </c>
      <c r="O191" s="390" t="s">
        <v>1465</v>
      </c>
      <c r="P191" s="390" t="s">
        <v>1387</v>
      </c>
      <c r="Q191" s="388" t="s">
        <v>1383</v>
      </c>
      <c r="R191" s="390">
        <v>11</v>
      </c>
      <c r="S191" s="390" t="s">
        <v>1608</v>
      </c>
      <c r="T191" s="390">
        <v>71</v>
      </c>
      <c r="U191" s="390" t="s">
        <v>1938</v>
      </c>
      <c r="V191" s="390">
        <v>9251</v>
      </c>
      <c r="W191" s="390" t="s">
        <v>2370</v>
      </c>
      <c r="X191" s="390">
        <v>110531</v>
      </c>
      <c r="Y191" s="390" t="s">
        <v>2371</v>
      </c>
      <c r="Z191" s="391" t="s">
        <v>2372</v>
      </c>
    </row>
    <row r="192" spans="2:26" ht="15.75" customHeight="1" x14ac:dyDescent="0.3">
      <c r="B192" s="387" t="s">
        <v>1375</v>
      </c>
      <c r="C192" s="388">
        <v>121449</v>
      </c>
      <c r="D192" s="388" t="s">
        <v>2373</v>
      </c>
      <c r="E192" s="388" t="s">
        <v>1377</v>
      </c>
      <c r="F192" s="388" t="s">
        <v>1378</v>
      </c>
      <c r="G192" s="388" t="s">
        <v>1379</v>
      </c>
      <c r="H192" s="388" t="s">
        <v>1380</v>
      </c>
      <c r="I192" s="388" t="s">
        <v>1393</v>
      </c>
      <c r="J192" s="388" t="s">
        <v>1382</v>
      </c>
      <c r="K192" s="388" t="s">
        <v>1383</v>
      </c>
      <c r="L192" s="389">
        <v>684</v>
      </c>
      <c r="M192" s="390" t="s">
        <v>2374</v>
      </c>
      <c r="N192" s="390" t="s">
        <v>2375</v>
      </c>
      <c r="O192" s="390" t="s">
        <v>1482</v>
      </c>
      <c r="P192" s="390" t="s">
        <v>1387</v>
      </c>
      <c r="Q192" s="388" t="s">
        <v>1383</v>
      </c>
      <c r="R192" s="390">
        <v>8</v>
      </c>
      <c r="S192" s="390" t="s">
        <v>1483</v>
      </c>
      <c r="T192" s="390">
        <v>79</v>
      </c>
      <c r="U192" s="390" t="s">
        <v>2376</v>
      </c>
      <c r="V192" s="390">
        <v>4627</v>
      </c>
      <c r="W192" s="390" t="s">
        <v>1858</v>
      </c>
      <c r="X192" s="390">
        <v>80341</v>
      </c>
      <c r="Y192" s="390" t="s">
        <v>2373</v>
      </c>
      <c r="Z192" s="391" t="s">
        <v>2377</v>
      </c>
    </row>
    <row r="193" spans="2:26" ht="15.75" customHeight="1" x14ac:dyDescent="0.3">
      <c r="B193" s="387" t="s">
        <v>1375</v>
      </c>
      <c r="C193" s="388">
        <v>121450</v>
      </c>
      <c r="D193" s="388" t="s">
        <v>2378</v>
      </c>
      <c r="E193" s="388" t="s">
        <v>1377</v>
      </c>
      <c r="F193" s="388" t="s">
        <v>1378</v>
      </c>
      <c r="G193" s="388" t="s">
        <v>1379</v>
      </c>
      <c r="H193" s="388" t="s">
        <v>1380</v>
      </c>
      <c r="I193" s="388" t="s">
        <v>1393</v>
      </c>
      <c r="J193" s="388" t="s">
        <v>1382</v>
      </c>
      <c r="K193" s="388" t="s">
        <v>1383</v>
      </c>
      <c r="L193" s="389">
        <v>720</v>
      </c>
      <c r="M193" s="390" t="s">
        <v>2379</v>
      </c>
      <c r="N193" s="390" t="s">
        <v>2380</v>
      </c>
      <c r="O193" s="390" t="s">
        <v>1465</v>
      </c>
      <c r="P193" s="390" t="s">
        <v>1387</v>
      </c>
      <c r="Q193" s="388" t="s">
        <v>1383</v>
      </c>
      <c r="R193" s="390">
        <v>11</v>
      </c>
      <c r="S193" s="390" t="s">
        <v>1608</v>
      </c>
      <c r="T193" s="390">
        <v>28</v>
      </c>
      <c r="U193" s="390" t="s">
        <v>1609</v>
      </c>
      <c r="V193" s="390">
        <v>9223</v>
      </c>
      <c r="W193" s="390" t="s">
        <v>1610</v>
      </c>
      <c r="X193" s="390">
        <v>110830</v>
      </c>
      <c r="Y193" s="390" t="s">
        <v>2381</v>
      </c>
      <c r="Z193" s="391" t="s">
        <v>2382</v>
      </c>
    </row>
    <row r="194" spans="2:26" ht="15.75" customHeight="1" x14ac:dyDescent="0.3">
      <c r="B194" s="387" t="s">
        <v>1375</v>
      </c>
      <c r="C194" s="388">
        <v>121451</v>
      </c>
      <c r="D194" s="388" t="s">
        <v>1389</v>
      </c>
      <c r="E194" s="388" t="s">
        <v>1377</v>
      </c>
      <c r="F194" s="388" t="s">
        <v>1378</v>
      </c>
      <c r="G194" s="388" t="s">
        <v>1379</v>
      </c>
      <c r="H194" s="388" t="s">
        <v>1380</v>
      </c>
      <c r="I194" s="388" t="s">
        <v>1393</v>
      </c>
      <c r="J194" s="388" t="s">
        <v>1382</v>
      </c>
      <c r="K194" s="388" t="s">
        <v>1383</v>
      </c>
      <c r="L194" s="389">
        <v>183</v>
      </c>
      <c r="M194" s="390" t="s">
        <v>2383</v>
      </c>
      <c r="N194" s="390" t="s">
        <v>2384</v>
      </c>
      <c r="O194" s="390" t="s">
        <v>1474</v>
      </c>
      <c r="P194" s="390" t="s">
        <v>1387</v>
      </c>
      <c r="Q194" s="388" t="s">
        <v>1383</v>
      </c>
      <c r="R194" s="390">
        <v>7</v>
      </c>
      <c r="S194" s="390" t="s">
        <v>1687</v>
      </c>
      <c r="T194" s="390">
        <v>85</v>
      </c>
      <c r="U194" s="390" t="s">
        <v>1688</v>
      </c>
      <c r="V194" s="390">
        <v>4561</v>
      </c>
      <c r="W194" s="390" t="s">
        <v>2385</v>
      </c>
      <c r="X194" s="390">
        <v>70240</v>
      </c>
      <c r="Y194" s="390" t="s">
        <v>2386</v>
      </c>
      <c r="Z194" s="391" t="s">
        <v>2387</v>
      </c>
    </row>
    <row r="195" spans="2:26" ht="15.75" customHeight="1" x14ac:dyDescent="0.3">
      <c r="B195" s="387" t="s">
        <v>1375</v>
      </c>
      <c r="C195" s="388">
        <v>121472</v>
      </c>
      <c r="D195" s="388" t="s">
        <v>2388</v>
      </c>
      <c r="E195" s="388" t="s">
        <v>1377</v>
      </c>
      <c r="F195" s="388" t="s">
        <v>1378</v>
      </c>
      <c r="G195" s="388" t="s">
        <v>1845</v>
      </c>
      <c r="H195" s="388" t="s">
        <v>1471</v>
      </c>
      <c r="I195" s="388" t="s">
        <v>1861</v>
      </c>
      <c r="J195" s="388" t="s">
        <v>1382</v>
      </c>
      <c r="K195" s="388" t="s">
        <v>1383</v>
      </c>
      <c r="L195" s="389">
        <v>156</v>
      </c>
      <c r="M195" s="390" t="s">
        <v>2389</v>
      </c>
      <c r="N195" s="390" t="s">
        <v>2390</v>
      </c>
      <c r="O195" s="390" t="s">
        <v>1465</v>
      </c>
      <c r="P195" s="390" t="s">
        <v>1387</v>
      </c>
      <c r="Q195" s="388" t="s">
        <v>1383</v>
      </c>
      <c r="R195" s="390">
        <v>11</v>
      </c>
      <c r="S195" s="390" t="s">
        <v>1608</v>
      </c>
      <c r="T195" s="390">
        <v>28</v>
      </c>
      <c r="U195" s="390" t="s">
        <v>1609</v>
      </c>
      <c r="V195" s="390">
        <v>9207</v>
      </c>
      <c r="W195" s="390" t="s">
        <v>2391</v>
      </c>
      <c r="X195" s="390">
        <v>110800</v>
      </c>
      <c r="Y195" s="390" t="s">
        <v>2391</v>
      </c>
      <c r="Z195" s="391" t="s">
        <v>2392</v>
      </c>
    </row>
    <row r="196" spans="2:26" ht="15.75" customHeight="1" x14ac:dyDescent="0.3">
      <c r="B196" s="387" t="s">
        <v>1375</v>
      </c>
      <c r="C196" s="388">
        <v>121473</v>
      </c>
      <c r="D196" s="388" t="s">
        <v>2393</v>
      </c>
      <c r="E196" s="388" t="s">
        <v>1377</v>
      </c>
      <c r="F196" s="388" t="s">
        <v>1378</v>
      </c>
      <c r="G196" s="388" t="s">
        <v>1379</v>
      </c>
      <c r="H196" s="388" t="s">
        <v>1471</v>
      </c>
      <c r="I196" s="388" t="s">
        <v>1861</v>
      </c>
      <c r="J196" s="388" t="s">
        <v>1382</v>
      </c>
      <c r="K196" s="388" t="s">
        <v>1383</v>
      </c>
      <c r="L196" s="389">
        <v>153</v>
      </c>
      <c r="M196" s="390" t="s">
        <v>2394</v>
      </c>
      <c r="N196" s="390" t="s">
        <v>2395</v>
      </c>
      <c r="O196" s="392" t="s">
        <v>1386</v>
      </c>
      <c r="P196" s="390" t="s">
        <v>1387</v>
      </c>
      <c r="Q196" s="388" t="s">
        <v>1383</v>
      </c>
      <c r="R196" s="390">
        <v>1</v>
      </c>
      <c r="S196" s="390" t="s">
        <v>1388</v>
      </c>
      <c r="T196" s="390">
        <v>13</v>
      </c>
      <c r="U196" s="390" t="s">
        <v>1389</v>
      </c>
      <c r="V196" s="390">
        <v>8514</v>
      </c>
      <c r="W196" s="390" t="s">
        <v>2396</v>
      </c>
      <c r="X196" s="390">
        <v>10074</v>
      </c>
      <c r="Y196" s="390" t="s">
        <v>2396</v>
      </c>
      <c r="Z196" s="391" t="s">
        <v>2397</v>
      </c>
    </row>
    <row r="197" spans="2:26" ht="15.75" customHeight="1" x14ac:dyDescent="0.3">
      <c r="B197" s="387" t="s">
        <v>1375</v>
      </c>
      <c r="C197" s="388">
        <v>121477</v>
      </c>
      <c r="D197" s="388" t="s">
        <v>2398</v>
      </c>
      <c r="E197" s="388" t="s">
        <v>1377</v>
      </c>
      <c r="F197" s="388" t="s">
        <v>1378</v>
      </c>
      <c r="G197" s="388" t="s">
        <v>1439</v>
      </c>
      <c r="H197" s="388" t="s">
        <v>1471</v>
      </c>
      <c r="I197" s="388" t="s">
        <v>1699</v>
      </c>
      <c r="J197" s="388" t="s">
        <v>1382</v>
      </c>
      <c r="K197" s="388" t="s">
        <v>1383</v>
      </c>
      <c r="L197" s="389">
        <v>0</v>
      </c>
      <c r="M197" s="390" t="s">
        <v>2399</v>
      </c>
      <c r="N197" s="390" t="s">
        <v>1699</v>
      </c>
      <c r="O197" s="390" t="s">
        <v>1699</v>
      </c>
      <c r="P197" s="390" t="s">
        <v>1383</v>
      </c>
      <c r="Q197" s="388" t="s">
        <v>1383</v>
      </c>
      <c r="R197" s="390">
        <v>8</v>
      </c>
      <c r="S197" s="390" t="s">
        <v>1483</v>
      </c>
      <c r="T197" s="390">
        <v>48</v>
      </c>
      <c r="U197" s="390" t="s">
        <v>2265</v>
      </c>
      <c r="V197" s="390">
        <v>4534</v>
      </c>
      <c r="W197" s="390" t="s">
        <v>2400</v>
      </c>
      <c r="X197" s="390">
        <v>80236</v>
      </c>
      <c r="Y197" s="390" t="s">
        <v>2401</v>
      </c>
      <c r="Z197" s="391" t="s">
        <v>2402</v>
      </c>
    </row>
    <row r="198" spans="2:26" ht="15.75" customHeight="1" x14ac:dyDescent="0.3">
      <c r="B198" s="387" t="s">
        <v>1375</v>
      </c>
      <c r="C198" s="388">
        <v>121478</v>
      </c>
      <c r="D198" s="388" t="s">
        <v>2403</v>
      </c>
      <c r="E198" s="388" t="s">
        <v>1377</v>
      </c>
      <c r="F198" s="388" t="s">
        <v>1378</v>
      </c>
      <c r="G198" s="388" t="s">
        <v>1379</v>
      </c>
      <c r="H198" s="388" t="s">
        <v>1471</v>
      </c>
      <c r="I198" s="388" t="s">
        <v>1861</v>
      </c>
      <c r="J198" s="388" t="s">
        <v>1382</v>
      </c>
      <c r="K198" s="388" t="s">
        <v>1383</v>
      </c>
      <c r="L198" s="389">
        <v>200</v>
      </c>
      <c r="M198" s="390" t="s">
        <v>2404</v>
      </c>
      <c r="N198" s="390" t="s">
        <v>2405</v>
      </c>
      <c r="O198" s="390" t="s">
        <v>1465</v>
      </c>
      <c r="P198" s="390" t="s">
        <v>1387</v>
      </c>
      <c r="Q198" s="388" t="s">
        <v>1383</v>
      </c>
      <c r="R198" s="390">
        <v>11</v>
      </c>
      <c r="S198" s="390" t="s">
        <v>1608</v>
      </c>
      <c r="T198" s="390">
        <v>27</v>
      </c>
      <c r="U198" s="390" t="s">
        <v>1608</v>
      </c>
      <c r="V198" s="390">
        <v>9212</v>
      </c>
      <c r="W198" s="390" t="s">
        <v>1628</v>
      </c>
      <c r="X198" s="390">
        <v>110535</v>
      </c>
      <c r="Y198" s="390" t="s">
        <v>1629</v>
      </c>
      <c r="Z198" s="391" t="s">
        <v>2406</v>
      </c>
    </row>
    <row r="199" spans="2:26" ht="15.75" customHeight="1" x14ac:dyDescent="0.3">
      <c r="B199" s="387" t="s">
        <v>1375</v>
      </c>
      <c r="C199" s="388">
        <v>121524</v>
      </c>
      <c r="D199" s="388" t="s">
        <v>2407</v>
      </c>
      <c r="E199" s="388" t="s">
        <v>1377</v>
      </c>
      <c r="F199" s="388" t="s">
        <v>1378</v>
      </c>
      <c r="G199" s="388" t="s">
        <v>1439</v>
      </c>
      <c r="H199" s="388" t="s">
        <v>1471</v>
      </c>
      <c r="I199" s="388" t="s">
        <v>1699</v>
      </c>
      <c r="J199" s="388" t="s">
        <v>1382</v>
      </c>
      <c r="K199" s="388" t="s">
        <v>1383</v>
      </c>
      <c r="L199" s="389">
        <v>0</v>
      </c>
      <c r="M199" s="390" t="s">
        <v>2408</v>
      </c>
      <c r="N199" s="390" t="s">
        <v>1699</v>
      </c>
      <c r="O199" s="390" t="s">
        <v>1699</v>
      </c>
      <c r="P199" s="390" t="s">
        <v>1383</v>
      </c>
      <c r="Q199" s="388" t="s">
        <v>1383</v>
      </c>
      <c r="R199" s="390">
        <v>9</v>
      </c>
      <c r="S199" s="390" t="s">
        <v>1533</v>
      </c>
      <c r="T199" s="390">
        <v>75</v>
      </c>
      <c r="U199" s="390" t="s">
        <v>1533</v>
      </c>
      <c r="V199" s="390">
        <v>6409</v>
      </c>
      <c r="W199" s="390" t="s">
        <v>2118</v>
      </c>
      <c r="X199" s="390">
        <v>90094</v>
      </c>
      <c r="Y199" s="390" t="s">
        <v>2119</v>
      </c>
      <c r="Z199" s="391" t="s">
        <v>2409</v>
      </c>
    </row>
    <row r="200" spans="2:26" ht="15.75" customHeight="1" x14ac:dyDescent="0.3">
      <c r="B200" s="387" t="s">
        <v>1375</v>
      </c>
      <c r="C200" s="388">
        <v>121526</v>
      </c>
      <c r="D200" s="388" t="s">
        <v>2410</v>
      </c>
      <c r="E200" s="388" t="s">
        <v>1377</v>
      </c>
      <c r="F200" s="388" t="s">
        <v>1378</v>
      </c>
      <c r="G200" s="388" t="s">
        <v>1439</v>
      </c>
      <c r="H200" s="388" t="s">
        <v>1471</v>
      </c>
      <c r="I200" s="388" t="s">
        <v>1699</v>
      </c>
      <c r="J200" s="388" t="s">
        <v>1382</v>
      </c>
      <c r="K200" s="388" t="s">
        <v>1383</v>
      </c>
      <c r="L200" s="389">
        <v>0</v>
      </c>
      <c r="M200" s="390" t="s">
        <v>2411</v>
      </c>
      <c r="N200" s="390" t="s">
        <v>1699</v>
      </c>
      <c r="O200" s="390" t="s">
        <v>1699</v>
      </c>
      <c r="P200" s="390" t="s">
        <v>1383</v>
      </c>
      <c r="Q200" s="388" t="s">
        <v>1383</v>
      </c>
      <c r="R200" s="390">
        <v>1</v>
      </c>
      <c r="S200" s="390" t="s">
        <v>1388</v>
      </c>
      <c r="T200" s="390">
        <v>14</v>
      </c>
      <c r="U200" s="390" t="s">
        <v>1388</v>
      </c>
      <c r="V200" s="390">
        <v>8413</v>
      </c>
      <c r="W200" s="390" t="s">
        <v>2412</v>
      </c>
      <c r="X200" s="390">
        <v>10213</v>
      </c>
      <c r="Y200" s="390" t="s">
        <v>2413</v>
      </c>
      <c r="Z200" s="391" t="s">
        <v>2414</v>
      </c>
    </row>
    <row r="201" spans="2:26" ht="15.75" customHeight="1" x14ac:dyDescent="0.3">
      <c r="B201" s="387" t="s">
        <v>1375</v>
      </c>
      <c r="C201" s="388">
        <v>121535</v>
      </c>
      <c r="D201" s="388" t="s">
        <v>2415</v>
      </c>
      <c r="E201" s="388" t="s">
        <v>1377</v>
      </c>
      <c r="F201" s="388" t="s">
        <v>1378</v>
      </c>
      <c r="G201" s="388" t="s">
        <v>1379</v>
      </c>
      <c r="H201" s="388" t="s">
        <v>1380</v>
      </c>
      <c r="I201" s="388" t="s">
        <v>1530</v>
      </c>
      <c r="J201" s="388" t="s">
        <v>1382</v>
      </c>
      <c r="K201" s="388" t="s">
        <v>1383</v>
      </c>
      <c r="L201" s="389">
        <v>64</v>
      </c>
      <c r="M201" s="390" t="s">
        <v>2416</v>
      </c>
      <c r="N201" s="390" t="s">
        <v>1803</v>
      </c>
      <c r="O201" s="390" t="s">
        <v>2417</v>
      </c>
      <c r="P201" s="390" t="s">
        <v>1387</v>
      </c>
      <c r="Q201" s="388" t="s">
        <v>1383</v>
      </c>
      <c r="R201" s="390">
        <v>18</v>
      </c>
      <c r="S201" s="390" t="s">
        <v>1790</v>
      </c>
      <c r="T201" s="390">
        <v>55</v>
      </c>
      <c r="U201" s="390" t="s">
        <v>1980</v>
      </c>
      <c r="V201" s="390">
        <v>1416</v>
      </c>
      <c r="W201" s="390" t="s">
        <v>2418</v>
      </c>
      <c r="X201" s="390">
        <v>180026</v>
      </c>
      <c r="Y201" s="390" t="s">
        <v>2419</v>
      </c>
      <c r="Z201" s="391" t="s">
        <v>2420</v>
      </c>
    </row>
    <row r="202" spans="2:26" ht="15.75" customHeight="1" x14ac:dyDescent="0.3">
      <c r="B202" s="387" t="s">
        <v>1375</v>
      </c>
      <c r="C202" s="388">
        <v>121537</v>
      </c>
      <c r="D202" s="388" t="s">
        <v>2421</v>
      </c>
      <c r="E202" s="388" t="s">
        <v>1377</v>
      </c>
      <c r="F202" s="388" t="s">
        <v>1378</v>
      </c>
      <c r="G202" s="388" t="s">
        <v>1379</v>
      </c>
      <c r="H202" s="388" t="s">
        <v>1471</v>
      </c>
      <c r="I202" s="388" t="s">
        <v>1861</v>
      </c>
      <c r="J202" s="388" t="s">
        <v>1382</v>
      </c>
      <c r="K202" s="388" t="s">
        <v>1383</v>
      </c>
      <c r="L202" s="389">
        <v>141</v>
      </c>
      <c r="M202" s="390" t="s">
        <v>2422</v>
      </c>
      <c r="N202" s="390" t="s">
        <v>2423</v>
      </c>
      <c r="O202" s="390" t="s">
        <v>1474</v>
      </c>
      <c r="P202" s="390" t="s">
        <v>1387</v>
      </c>
      <c r="Q202" s="388" t="s">
        <v>1383</v>
      </c>
      <c r="R202" s="390">
        <v>7</v>
      </c>
      <c r="S202" s="390" t="s">
        <v>1687</v>
      </c>
      <c r="T202" s="390">
        <v>86</v>
      </c>
      <c r="U202" s="390" t="s">
        <v>1927</v>
      </c>
      <c r="V202" s="390">
        <v>4630</v>
      </c>
      <c r="W202" s="390" t="s">
        <v>2043</v>
      </c>
      <c r="X202" s="390">
        <v>70224</v>
      </c>
      <c r="Y202" s="390" t="s">
        <v>2424</v>
      </c>
      <c r="Z202" s="391" t="s">
        <v>2425</v>
      </c>
    </row>
    <row r="203" spans="2:26" ht="15.75" customHeight="1" x14ac:dyDescent="0.3">
      <c r="B203" s="387" t="s">
        <v>1375</v>
      </c>
      <c r="C203" s="388">
        <v>121541</v>
      </c>
      <c r="D203" s="388" t="s">
        <v>2426</v>
      </c>
      <c r="E203" s="388" t="s">
        <v>1377</v>
      </c>
      <c r="F203" s="388" t="s">
        <v>1378</v>
      </c>
      <c r="G203" s="388" t="s">
        <v>1379</v>
      </c>
      <c r="H203" s="388" t="s">
        <v>1471</v>
      </c>
      <c r="I203" s="388" t="s">
        <v>1861</v>
      </c>
      <c r="J203" s="388" t="s">
        <v>1382</v>
      </c>
      <c r="K203" s="388" t="s">
        <v>1383</v>
      </c>
      <c r="L203" s="389">
        <v>204</v>
      </c>
      <c r="M203" s="390" t="s">
        <v>2427</v>
      </c>
      <c r="N203" s="390" t="s">
        <v>2428</v>
      </c>
      <c r="O203" s="390" t="s">
        <v>1465</v>
      </c>
      <c r="P203" s="390" t="s">
        <v>1387</v>
      </c>
      <c r="Q203" s="388" t="s">
        <v>1383</v>
      </c>
      <c r="R203" s="390">
        <v>11</v>
      </c>
      <c r="S203" s="390" t="s">
        <v>1608</v>
      </c>
      <c r="T203" s="390">
        <v>28</v>
      </c>
      <c r="U203" s="390" t="s">
        <v>1609</v>
      </c>
      <c r="V203" s="390">
        <v>9203</v>
      </c>
      <c r="W203" s="390" t="s">
        <v>2429</v>
      </c>
      <c r="X203" s="390">
        <v>110314</v>
      </c>
      <c r="Y203" s="390" t="s">
        <v>2426</v>
      </c>
      <c r="Z203" s="391" t="s">
        <v>2430</v>
      </c>
    </row>
    <row r="204" spans="2:26" ht="15.75" customHeight="1" x14ac:dyDescent="0.3">
      <c r="B204" s="387" t="s">
        <v>1375</v>
      </c>
      <c r="C204" s="388">
        <v>121546</v>
      </c>
      <c r="D204" s="388" t="s">
        <v>2431</v>
      </c>
      <c r="E204" s="388" t="s">
        <v>1377</v>
      </c>
      <c r="F204" s="388" t="s">
        <v>1378</v>
      </c>
      <c r="G204" s="388" t="s">
        <v>1379</v>
      </c>
      <c r="H204" s="388" t="s">
        <v>1471</v>
      </c>
      <c r="I204" s="388" t="s">
        <v>1861</v>
      </c>
      <c r="J204" s="388" t="s">
        <v>1382</v>
      </c>
      <c r="K204" s="388" t="s">
        <v>1383</v>
      </c>
      <c r="L204" s="389">
        <v>87</v>
      </c>
      <c r="M204" s="390" t="s">
        <v>2432</v>
      </c>
      <c r="N204" s="390" t="s">
        <v>1814</v>
      </c>
      <c r="O204" s="390" t="s">
        <v>1465</v>
      </c>
      <c r="P204" s="390" t="s">
        <v>1387</v>
      </c>
      <c r="Q204" s="388" t="s">
        <v>1383</v>
      </c>
      <c r="R204" s="390">
        <v>5</v>
      </c>
      <c r="S204" s="390" t="s">
        <v>1466</v>
      </c>
      <c r="T204" s="390">
        <v>58</v>
      </c>
      <c r="U204" s="390" t="s">
        <v>1878</v>
      </c>
      <c r="V204" s="390">
        <v>2538</v>
      </c>
      <c r="W204" s="390" t="s">
        <v>2433</v>
      </c>
      <c r="X204" s="390">
        <v>50271</v>
      </c>
      <c r="Y204" s="390" t="s">
        <v>2433</v>
      </c>
      <c r="Z204" s="391" t="s">
        <v>2434</v>
      </c>
    </row>
    <row r="205" spans="2:26" ht="15.75" customHeight="1" x14ac:dyDescent="0.3">
      <c r="B205" s="387" t="s">
        <v>1375</v>
      </c>
      <c r="C205" s="388">
        <v>121549</v>
      </c>
      <c r="D205" s="388" t="s">
        <v>1659</v>
      </c>
      <c r="E205" s="388" t="s">
        <v>1377</v>
      </c>
      <c r="F205" s="388" t="s">
        <v>1378</v>
      </c>
      <c r="G205" s="388" t="s">
        <v>1439</v>
      </c>
      <c r="H205" s="388" t="s">
        <v>1471</v>
      </c>
      <c r="I205" s="388" t="s">
        <v>1699</v>
      </c>
      <c r="J205" s="388" t="s">
        <v>1382</v>
      </c>
      <c r="K205" s="388" t="s">
        <v>1383</v>
      </c>
      <c r="L205" s="389">
        <v>0</v>
      </c>
      <c r="M205" s="390" t="s">
        <v>2435</v>
      </c>
      <c r="N205" s="390" t="s">
        <v>1699</v>
      </c>
      <c r="O205" s="390" t="s">
        <v>1699</v>
      </c>
      <c r="P205" s="390" t="s">
        <v>1383</v>
      </c>
      <c r="Q205" s="388" t="s">
        <v>1383</v>
      </c>
      <c r="R205" s="390">
        <v>6</v>
      </c>
      <c r="S205" s="390" t="s">
        <v>1658</v>
      </c>
      <c r="T205" s="390">
        <v>42</v>
      </c>
      <c r="U205" s="390" t="s">
        <v>1659</v>
      </c>
      <c r="V205" s="390">
        <v>2409</v>
      </c>
      <c r="W205" s="390" t="s">
        <v>2436</v>
      </c>
      <c r="X205" s="390">
        <v>60016</v>
      </c>
      <c r="Y205" s="390" t="s">
        <v>2437</v>
      </c>
      <c r="Z205" s="391" t="s">
        <v>2438</v>
      </c>
    </row>
    <row r="206" spans="2:26" ht="15.75" customHeight="1" x14ac:dyDescent="0.3">
      <c r="B206" s="387" t="s">
        <v>1375</v>
      </c>
      <c r="C206" s="388">
        <v>121552</v>
      </c>
      <c r="D206" s="388" t="s">
        <v>2439</v>
      </c>
      <c r="E206" s="388" t="s">
        <v>1377</v>
      </c>
      <c r="F206" s="388" t="s">
        <v>1378</v>
      </c>
      <c r="G206" s="388" t="s">
        <v>1439</v>
      </c>
      <c r="H206" s="388" t="s">
        <v>1471</v>
      </c>
      <c r="I206" s="388" t="s">
        <v>1699</v>
      </c>
      <c r="J206" s="388" t="s">
        <v>1382</v>
      </c>
      <c r="K206" s="388" t="s">
        <v>1383</v>
      </c>
      <c r="L206" s="389">
        <v>0</v>
      </c>
      <c r="M206" s="390" t="s">
        <v>2440</v>
      </c>
      <c r="N206" s="390" t="s">
        <v>1699</v>
      </c>
      <c r="O206" s="390" t="s">
        <v>1699</v>
      </c>
      <c r="P206" s="390" t="s">
        <v>1383</v>
      </c>
      <c r="Q206" s="388" t="s">
        <v>1383</v>
      </c>
      <c r="R206" s="390">
        <v>8</v>
      </c>
      <c r="S206" s="390" t="s">
        <v>1483</v>
      </c>
      <c r="T206" s="390">
        <v>47</v>
      </c>
      <c r="U206" s="390" t="s">
        <v>1503</v>
      </c>
      <c r="V206" s="390">
        <v>4511</v>
      </c>
      <c r="W206" s="390" t="s">
        <v>2174</v>
      </c>
      <c r="X206" s="390">
        <v>80073</v>
      </c>
      <c r="Y206" s="390" t="s">
        <v>2175</v>
      </c>
      <c r="Z206" s="391" t="s">
        <v>2441</v>
      </c>
    </row>
    <row r="207" spans="2:26" ht="15.75" customHeight="1" x14ac:dyDescent="0.3">
      <c r="B207" s="387" t="s">
        <v>1375</v>
      </c>
      <c r="C207" s="388">
        <v>121581</v>
      </c>
      <c r="D207" s="388" t="s">
        <v>2442</v>
      </c>
      <c r="E207" s="388" t="s">
        <v>1377</v>
      </c>
      <c r="F207" s="388" t="s">
        <v>1378</v>
      </c>
      <c r="G207" s="388" t="s">
        <v>1379</v>
      </c>
      <c r="H207" s="388" t="s">
        <v>1380</v>
      </c>
      <c r="I207" s="388" t="s">
        <v>1393</v>
      </c>
      <c r="J207" s="388" t="s">
        <v>1382</v>
      </c>
      <c r="K207" s="388" t="s">
        <v>1383</v>
      </c>
      <c r="L207" s="389">
        <v>170</v>
      </c>
      <c r="M207" s="390" t="s">
        <v>2443</v>
      </c>
      <c r="N207" s="390" t="s">
        <v>2444</v>
      </c>
      <c r="O207" s="390" t="s">
        <v>1386</v>
      </c>
      <c r="P207" s="390" t="s">
        <v>1387</v>
      </c>
      <c r="Q207" s="388" t="s">
        <v>1383</v>
      </c>
      <c r="R207" s="390">
        <v>14</v>
      </c>
      <c r="S207" s="390" t="s">
        <v>1718</v>
      </c>
      <c r="T207" s="390">
        <v>37</v>
      </c>
      <c r="U207" s="390" t="s">
        <v>2445</v>
      </c>
      <c r="V207" s="390">
        <v>4111</v>
      </c>
      <c r="W207" s="390" t="s">
        <v>2446</v>
      </c>
      <c r="X207" s="390">
        <v>140005</v>
      </c>
      <c r="Y207" s="390" t="s">
        <v>2446</v>
      </c>
      <c r="Z207" s="391" t="s">
        <v>2447</v>
      </c>
    </row>
    <row r="208" spans="2:26" ht="15.75" customHeight="1" x14ac:dyDescent="0.3">
      <c r="B208" s="387" t="s">
        <v>1375</v>
      </c>
      <c r="C208" s="388">
        <v>121582</v>
      </c>
      <c r="D208" s="388" t="s">
        <v>2448</v>
      </c>
      <c r="E208" s="388" t="s">
        <v>1377</v>
      </c>
      <c r="F208" s="388" t="s">
        <v>1378</v>
      </c>
      <c r="G208" s="388" t="s">
        <v>1379</v>
      </c>
      <c r="H208" s="388" t="s">
        <v>1380</v>
      </c>
      <c r="I208" s="388" t="s">
        <v>1393</v>
      </c>
      <c r="J208" s="388" t="s">
        <v>1382</v>
      </c>
      <c r="K208" s="388" t="s">
        <v>1383</v>
      </c>
      <c r="L208" s="389">
        <v>90</v>
      </c>
      <c r="M208" s="390" t="s">
        <v>2449</v>
      </c>
      <c r="N208" s="390" t="s">
        <v>2450</v>
      </c>
      <c r="O208" s="390" t="s">
        <v>1465</v>
      </c>
      <c r="P208" s="390" t="s">
        <v>1387</v>
      </c>
      <c r="Q208" s="388" t="s">
        <v>1383</v>
      </c>
      <c r="R208" s="390">
        <v>5</v>
      </c>
      <c r="S208" s="390" t="s">
        <v>1466</v>
      </c>
      <c r="T208" s="390">
        <v>58</v>
      </c>
      <c r="U208" s="390" t="s">
        <v>1878</v>
      </c>
      <c r="V208" s="390">
        <v>2529</v>
      </c>
      <c r="W208" s="390" t="s">
        <v>2451</v>
      </c>
      <c r="X208" s="390">
        <v>50146</v>
      </c>
      <c r="Y208" s="390" t="s">
        <v>2452</v>
      </c>
      <c r="Z208" s="391" t="s">
        <v>2453</v>
      </c>
    </row>
    <row r="209" spans="2:26" ht="15.75" customHeight="1" x14ac:dyDescent="0.3">
      <c r="B209" s="387" t="s">
        <v>1375</v>
      </c>
      <c r="C209" s="388">
        <v>121591</v>
      </c>
      <c r="D209" s="388" t="s">
        <v>2454</v>
      </c>
      <c r="E209" s="388" t="s">
        <v>1377</v>
      </c>
      <c r="F209" s="388" t="s">
        <v>1378</v>
      </c>
      <c r="G209" s="388" t="s">
        <v>1379</v>
      </c>
      <c r="H209" s="388" t="s">
        <v>1471</v>
      </c>
      <c r="I209" s="388" t="s">
        <v>1861</v>
      </c>
      <c r="J209" s="388" t="s">
        <v>1382</v>
      </c>
      <c r="K209" s="388" t="s">
        <v>1383</v>
      </c>
      <c r="L209" s="389">
        <v>97</v>
      </c>
      <c r="M209" s="390" t="s">
        <v>2455</v>
      </c>
      <c r="N209" s="390" t="s">
        <v>1819</v>
      </c>
      <c r="O209" s="390" t="s">
        <v>1386</v>
      </c>
      <c r="P209" s="390" t="s">
        <v>1387</v>
      </c>
      <c r="Q209" s="388" t="s">
        <v>1383</v>
      </c>
      <c r="R209" s="390">
        <v>4</v>
      </c>
      <c r="S209" s="390" t="s">
        <v>1451</v>
      </c>
      <c r="T209" s="390">
        <v>34</v>
      </c>
      <c r="U209" s="390" t="s">
        <v>1452</v>
      </c>
      <c r="V209" s="390">
        <v>1305</v>
      </c>
      <c r="W209" s="390" t="s">
        <v>2456</v>
      </c>
      <c r="X209" s="390">
        <v>40009</v>
      </c>
      <c r="Y209" s="390" t="s">
        <v>2456</v>
      </c>
      <c r="Z209" s="391" t="s">
        <v>2457</v>
      </c>
    </row>
    <row r="210" spans="2:26" ht="15.75" customHeight="1" x14ac:dyDescent="0.3">
      <c r="B210" s="387" t="s">
        <v>1375</v>
      </c>
      <c r="C210" s="388">
        <v>121595</v>
      </c>
      <c r="D210" s="388" t="s">
        <v>2458</v>
      </c>
      <c r="E210" s="388" t="s">
        <v>1377</v>
      </c>
      <c r="F210" s="388" t="s">
        <v>1378</v>
      </c>
      <c r="G210" s="388" t="s">
        <v>1379</v>
      </c>
      <c r="H210" s="388" t="s">
        <v>1380</v>
      </c>
      <c r="I210" s="388" t="s">
        <v>1393</v>
      </c>
      <c r="J210" s="388" t="s">
        <v>1382</v>
      </c>
      <c r="K210" s="388" t="s">
        <v>1383</v>
      </c>
      <c r="L210" s="389">
        <v>407</v>
      </c>
      <c r="M210" s="390" t="s">
        <v>2459</v>
      </c>
      <c r="N210" s="390" t="s">
        <v>2460</v>
      </c>
      <c r="O210" s="392" t="s">
        <v>1474</v>
      </c>
      <c r="P210" s="390" t="s">
        <v>1387</v>
      </c>
      <c r="Q210" s="388" t="s">
        <v>1383</v>
      </c>
      <c r="R210" s="390">
        <v>9</v>
      </c>
      <c r="S210" s="390" t="s">
        <v>1533</v>
      </c>
      <c r="T210" s="390">
        <v>77</v>
      </c>
      <c r="U210" s="390" t="s">
        <v>2086</v>
      </c>
      <c r="V210" s="390">
        <v>6521</v>
      </c>
      <c r="W210" s="390" t="s">
        <v>2458</v>
      </c>
      <c r="X210" s="390">
        <v>90085</v>
      </c>
      <c r="Y210" s="390" t="s">
        <v>2461</v>
      </c>
      <c r="Z210" s="391" t="s">
        <v>2462</v>
      </c>
    </row>
    <row r="211" spans="2:26" ht="15.75" customHeight="1" x14ac:dyDescent="0.3">
      <c r="B211" s="387" t="s">
        <v>1375</v>
      </c>
      <c r="C211" s="388">
        <v>121601</v>
      </c>
      <c r="D211" s="388" t="s">
        <v>2463</v>
      </c>
      <c r="E211" s="388" t="s">
        <v>1377</v>
      </c>
      <c r="F211" s="388" t="s">
        <v>1378</v>
      </c>
      <c r="G211" s="388" t="s">
        <v>1439</v>
      </c>
      <c r="H211" s="388" t="s">
        <v>1471</v>
      </c>
      <c r="I211" s="388" t="s">
        <v>1699</v>
      </c>
      <c r="J211" s="388" t="s">
        <v>1382</v>
      </c>
      <c r="K211" s="388" t="s">
        <v>1383</v>
      </c>
      <c r="L211" s="389">
        <v>0</v>
      </c>
      <c r="M211" s="390" t="s">
        <v>2464</v>
      </c>
      <c r="N211" s="390" t="s">
        <v>1699</v>
      </c>
      <c r="O211" s="390" t="s">
        <v>1699</v>
      </c>
      <c r="P211" s="390" t="s">
        <v>1383</v>
      </c>
      <c r="Q211" s="388" t="s">
        <v>1383</v>
      </c>
      <c r="R211" s="390">
        <v>11</v>
      </c>
      <c r="S211" s="390" t="s">
        <v>1608</v>
      </c>
      <c r="T211" s="390">
        <v>28</v>
      </c>
      <c r="U211" s="390" t="s">
        <v>1609</v>
      </c>
      <c r="V211" s="390">
        <v>9240</v>
      </c>
      <c r="W211" s="390" t="s">
        <v>2160</v>
      </c>
      <c r="X211" s="390">
        <v>110761</v>
      </c>
      <c r="Y211" s="390" t="s">
        <v>2161</v>
      </c>
      <c r="Z211" s="391" t="s">
        <v>2465</v>
      </c>
    </row>
    <row r="212" spans="2:26" ht="15.75" customHeight="1" x14ac:dyDescent="0.3">
      <c r="B212" s="387" t="s">
        <v>1375</v>
      </c>
      <c r="C212" s="388">
        <v>121609</v>
      </c>
      <c r="D212" s="388" t="s">
        <v>2466</v>
      </c>
      <c r="E212" s="388" t="s">
        <v>1377</v>
      </c>
      <c r="F212" s="388" t="s">
        <v>1378</v>
      </c>
      <c r="G212" s="388" t="s">
        <v>1379</v>
      </c>
      <c r="H212" s="388" t="s">
        <v>1380</v>
      </c>
      <c r="I212" s="388" t="s">
        <v>1393</v>
      </c>
      <c r="J212" s="388" t="s">
        <v>1382</v>
      </c>
      <c r="K212" s="388" t="s">
        <v>1383</v>
      </c>
      <c r="L212" s="389">
        <v>66</v>
      </c>
      <c r="M212" s="390" t="s">
        <v>2467</v>
      </c>
      <c r="N212" s="390" t="s">
        <v>2468</v>
      </c>
      <c r="O212" s="390" t="s">
        <v>1465</v>
      </c>
      <c r="P212" s="390" t="s">
        <v>1387</v>
      </c>
      <c r="Q212" s="388" t="s">
        <v>1383</v>
      </c>
      <c r="R212" s="390">
        <v>11</v>
      </c>
      <c r="S212" s="390" t="s">
        <v>1608</v>
      </c>
      <c r="T212" s="390">
        <v>28</v>
      </c>
      <c r="U212" s="390" t="s">
        <v>1609</v>
      </c>
      <c r="V212" s="390">
        <v>9201</v>
      </c>
      <c r="W212" s="390" t="s">
        <v>2469</v>
      </c>
      <c r="X212" s="390">
        <v>110414</v>
      </c>
      <c r="Y212" s="390" t="s">
        <v>2470</v>
      </c>
      <c r="Z212" s="391" t="s">
        <v>2471</v>
      </c>
    </row>
    <row r="213" spans="2:26" ht="15.75" customHeight="1" x14ac:dyDescent="0.3">
      <c r="B213" s="387" t="s">
        <v>1375</v>
      </c>
      <c r="C213" s="388">
        <v>121613</v>
      </c>
      <c r="D213" s="388" t="s">
        <v>2472</v>
      </c>
      <c r="E213" s="388" t="s">
        <v>1377</v>
      </c>
      <c r="F213" s="388" t="s">
        <v>1378</v>
      </c>
      <c r="G213" s="388" t="s">
        <v>1439</v>
      </c>
      <c r="H213" s="388" t="s">
        <v>1380</v>
      </c>
      <c r="I213" s="388" t="s">
        <v>1530</v>
      </c>
      <c r="J213" s="388" t="s">
        <v>1382</v>
      </c>
      <c r="K213" s="388" t="s">
        <v>1383</v>
      </c>
      <c r="L213" s="389">
        <v>0</v>
      </c>
      <c r="M213" s="390" t="s">
        <v>2473</v>
      </c>
      <c r="N213" s="390" t="s">
        <v>2474</v>
      </c>
      <c r="O213" s="390" t="s">
        <v>1482</v>
      </c>
      <c r="P213" s="390" t="s">
        <v>1387</v>
      </c>
      <c r="Q213" s="388" t="s">
        <v>1383</v>
      </c>
      <c r="R213" s="390">
        <v>16</v>
      </c>
      <c r="S213" s="390" t="s">
        <v>1746</v>
      </c>
      <c r="T213" s="390">
        <v>40</v>
      </c>
      <c r="U213" s="390" t="s">
        <v>1747</v>
      </c>
      <c r="V213" s="390">
        <v>4402</v>
      </c>
      <c r="W213" s="390" t="s">
        <v>2475</v>
      </c>
      <c r="X213" s="390">
        <v>160059</v>
      </c>
      <c r="Y213" s="390" t="s">
        <v>2476</v>
      </c>
      <c r="Z213" s="391" t="s">
        <v>2477</v>
      </c>
    </row>
    <row r="214" spans="2:26" ht="15.75" customHeight="1" x14ac:dyDescent="0.3">
      <c r="B214" s="387" t="s">
        <v>1375</v>
      </c>
      <c r="C214" s="388">
        <v>121614</v>
      </c>
      <c r="D214" s="388" t="s">
        <v>2478</v>
      </c>
      <c r="E214" s="388" t="s">
        <v>1377</v>
      </c>
      <c r="F214" s="388" t="s">
        <v>1378</v>
      </c>
      <c r="G214" s="388" t="s">
        <v>1439</v>
      </c>
      <c r="H214" s="388" t="s">
        <v>1380</v>
      </c>
      <c r="I214" s="388" t="s">
        <v>1530</v>
      </c>
      <c r="J214" s="388" t="s">
        <v>1382</v>
      </c>
      <c r="K214" s="388" t="s">
        <v>1383</v>
      </c>
      <c r="L214" s="389">
        <v>0</v>
      </c>
      <c r="M214" s="390" t="s">
        <v>2479</v>
      </c>
      <c r="N214" s="390" t="s">
        <v>1502</v>
      </c>
      <c r="O214" s="390" t="s">
        <v>1474</v>
      </c>
      <c r="P214" s="390" t="s">
        <v>1387</v>
      </c>
      <c r="Q214" s="388" t="s">
        <v>1383</v>
      </c>
      <c r="R214" s="390">
        <v>7</v>
      </c>
      <c r="S214" s="390" t="s">
        <v>1687</v>
      </c>
      <c r="T214" s="390">
        <v>85</v>
      </c>
      <c r="U214" s="390" t="s">
        <v>1688</v>
      </c>
      <c r="V214" s="390">
        <v>4586</v>
      </c>
      <c r="W214" s="390" t="s">
        <v>2480</v>
      </c>
      <c r="X214" s="390">
        <v>70124</v>
      </c>
      <c r="Y214" s="390" t="s">
        <v>2481</v>
      </c>
      <c r="Z214" s="391" t="s">
        <v>2482</v>
      </c>
    </row>
    <row r="215" spans="2:26" ht="15.75" customHeight="1" x14ac:dyDescent="0.3">
      <c r="B215" s="387" t="s">
        <v>1375</v>
      </c>
      <c r="C215" s="388">
        <v>121618</v>
      </c>
      <c r="D215" s="388" t="s">
        <v>2483</v>
      </c>
      <c r="E215" s="388" t="s">
        <v>1377</v>
      </c>
      <c r="F215" s="388" t="s">
        <v>1378</v>
      </c>
      <c r="G215" s="388" t="s">
        <v>1379</v>
      </c>
      <c r="H215" s="388" t="s">
        <v>1380</v>
      </c>
      <c r="I215" s="388" t="s">
        <v>1530</v>
      </c>
      <c r="J215" s="388" t="s">
        <v>1382</v>
      </c>
      <c r="K215" s="388" t="s">
        <v>1383</v>
      </c>
      <c r="L215" s="389">
        <v>69</v>
      </c>
      <c r="M215" s="390" t="s">
        <v>2484</v>
      </c>
      <c r="N215" s="390" t="s">
        <v>2485</v>
      </c>
      <c r="O215" s="390" t="s">
        <v>1474</v>
      </c>
      <c r="P215" s="390" t="s">
        <v>1387</v>
      </c>
      <c r="Q215" s="388" t="s">
        <v>1383</v>
      </c>
      <c r="R215" s="390">
        <v>7</v>
      </c>
      <c r="S215" s="390" t="s">
        <v>1687</v>
      </c>
      <c r="T215" s="390">
        <v>84</v>
      </c>
      <c r="U215" s="390" t="s">
        <v>1920</v>
      </c>
      <c r="V215" s="390">
        <v>4579</v>
      </c>
      <c r="W215" s="390" t="s">
        <v>2486</v>
      </c>
      <c r="X215" s="390">
        <v>70364</v>
      </c>
      <c r="Y215" s="390" t="s">
        <v>2487</v>
      </c>
      <c r="Z215" s="391" t="s">
        <v>2488</v>
      </c>
    </row>
    <row r="216" spans="2:26" ht="15.75" customHeight="1" x14ac:dyDescent="0.3">
      <c r="B216" s="387" t="s">
        <v>1375</v>
      </c>
      <c r="C216" s="388">
        <v>121623</v>
      </c>
      <c r="D216" s="388" t="s">
        <v>2489</v>
      </c>
      <c r="E216" s="388" t="s">
        <v>1377</v>
      </c>
      <c r="F216" s="388" t="s">
        <v>1378</v>
      </c>
      <c r="G216" s="388" t="s">
        <v>1379</v>
      </c>
      <c r="H216" s="388" t="s">
        <v>1380</v>
      </c>
      <c r="I216" s="388" t="s">
        <v>1530</v>
      </c>
      <c r="J216" s="388" t="s">
        <v>1382</v>
      </c>
      <c r="K216" s="388" t="s">
        <v>1383</v>
      </c>
      <c r="L216" s="389">
        <v>32</v>
      </c>
      <c r="M216" s="390" t="s">
        <v>1846</v>
      </c>
      <c r="N216" s="390" t="s">
        <v>2490</v>
      </c>
      <c r="O216" s="390" t="s">
        <v>1386</v>
      </c>
      <c r="P216" s="390" t="s">
        <v>1387</v>
      </c>
      <c r="Q216" s="388" t="s">
        <v>1383</v>
      </c>
      <c r="R216" s="390">
        <v>19</v>
      </c>
      <c r="S216" s="390" t="s">
        <v>1841</v>
      </c>
      <c r="T216" s="390">
        <v>66</v>
      </c>
      <c r="U216" s="390" t="s">
        <v>1844</v>
      </c>
      <c r="V216" s="390">
        <v>2515</v>
      </c>
      <c r="W216" s="390" t="s">
        <v>1844</v>
      </c>
      <c r="X216" s="390">
        <v>190211</v>
      </c>
      <c r="Y216" s="390" t="s">
        <v>1848</v>
      </c>
      <c r="Z216" s="391" t="s">
        <v>2491</v>
      </c>
    </row>
    <row r="217" spans="2:26" ht="15.75" customHeight="1" x14ac:dyDescent="0.3">
      <c r="B217" s="387" t="s">
        <v>1375</v>
      </c>
      <c r="C217" s="388">
        <v>121624</v>
      </c>
      <c r="D217" s="388" t="s">
        <v>2492</v>
      </c>
      <c r="E217" s="388" t="s">
        <v>1377</v>
      </c>
      <c r="F217" s="388" t="s">
        <v>1378</v>
      </c>
      <c r="G217" s="388" t="s">
        <v>1379</v>
      </c>
      <c r="H217" s="388" t="s">
        <v>1380</v>
      </c>
      <c r="I217" s="388" t="s">
        <v>1530</v>
      </c>
      <c r="J217" s="388" t="s">
        <v>1382</v>
      </c>
      <c r="K217" s="388" t="s">
        <v>1383</v>
      </c>
      <c r="L217" s="389">
        <v>45</v>
      </c>
      <c r="M217" s="390" t="s">
        <v>2493</v>
      </c>
      <c r="N217" s="390" t="s">
        <v>1517</v>
      </c>
      <c r="O217" s="390" t="s">
        <v>1482</v>
      </c>
      <c r="P217" s="390" t="s">
        <v>1387</v>
      </c>
      <c r="Q217" s="388" t="s">
        <v>1383</v>
      </c>
      <c r="R217" s="390">
        <v>8</v>
      </c>
      <c r="S217" s="390" t="s">
        <v>1483</v>
      </c>
      <c r="T217" s="390">
        <v>82</v>
      </c>
      <c r="U217" s="390" t="s">
        <v>1511</v>
      </c>
      <c r="V217" s="390">
        <v>4564</v>
      </c>
      <c r="W217" s="390" t="s">
        <v>2494</v>
      </c>
      <c r="X217" s="390">
        <v>80274</v>
      </c>
      <c r="Y217" s="390" t="s">
        <v>2495</v>
      </c>
      <c r="Z217" s="391" t="s">
        <v>2496</v>
      </c>
    </row>
    <row r="218" spans="2:26" ht="15.75" customHeight="1" x14ac:dyDescent="0.3">
      <c r="B218" s="387" t="s">
        <v>1375</v>
      </c>
      <c r="C218" s="388">
        <v>121625</v>
      </c>
      <c r="D218" s="388" t="s">
        <v>2497</v>
      </c>
      <c r="E218" s="388" t="s">
        <v>1377</v>
      </c>
      <c r="F218" s="388" t="s">
        <v>1378</v>
      </c>
      <c r="G218" s="388" t="s">
        <v>1439</v>
      </c>
      <c r="H218" s="388" t="s">
        <v>1380</v>
      </c>
      <c r="I218" s="388" t="s">
        <v>1530</v>
      </c>
      <c r="J218" s="388" t="s">
        <v>1382</v>
      </c>
      <c r="K218" s="388" t="s">
        <v>1383</v>
      </c>
      <c r="L218" s="389">
        <v>0</v>
      </c>
      <c r="M218" s="390" t="s">
        <v>2498</v>
      </c>
      <c r="N218" s="390" t="s">
        <v>1699</v>
      </c>
      <c r="O218" s="390" t="s">
        <v>1699</v>
      </c>
      <c r="P218" s="390" t="s">
        <v>1383</v>
      </c>
      <c r="Q218" s="388" t="s">
        <v>1383</v>
      </c>
      <c r="R218" s="390">
        <v>8</v>
      </c>
      <c r="S218" s="390" t="s">
        <v>1483</v>
      </c>
      <c r="T218" s="390">
        <v>44</v>
      </c>
      <c r="U218" s="390" t="s">
        <v>2311</v>
      </c>
      <c r="V218" s="390">
        <v>4502</v>
      </c>
      <c r="W218" s="390" t="s">
        <v>2499</v>
      </c>
      <c r="X218" s="390">
        <v>80053</v>
      </c>
      <c r="Y218" s="390" t="s">
        <v>2500</v>
      </c>
      <c r="Z218" s="391" t="s">
        <v>2501</v>
      </c>
    </row>
    <row r="219" spans="2:26" ht="15.75" customHeight="1" x14ac:dyDescent="0.3">
      <c r="B219" s="387" t="s">
        <v>1375</v>
      </c>
      <c r="C219" s="388">
        <v>121626</v>
      </c>
      <c r="D219" s="388" t="s">
        <v>2502</v>
      </c>
      <c r="E219" s="388" t="s">
        <v>1377</v>
      </c>
      <c r="F219" s="388" t="s">
        <v>1378</v>
      </c>
      <c r="G219" s="388" t="s">
        <v>1379</v>
      </c>
      <c r="H219" s="388" t="s">
        <v>1380</v>
      </c>
      <c r="I219" s="388" t="s">
        <v>1530</v>
      </c>
      <c r="J219" s="388" t="s">
        <v>1382</v>
      </c>
      <c r="K219" s="388" t="s">
        <v>1383</v>
      </c>
      <c r="L219" s="389">
        <v>50</v>
      </c>
      <c r="M219" s="390" t="s">
        <v>2503</v>
      </c>
      <c r="N219" s="390" t="s">
        <v>2504</v>
      </c>
      <c r="O219" s="390" t="s">
        <v>1482</v>
      </c>
      <c r="P219" s="390" t="s">
        <v>1387</v>
      </c>
      <c r="Q219" s="388" t="s">
        <v>1383</v>
      </c>
      <c r="R219" s="390">
        <v>8</v>
      </c>
      <c r="S219" s="390" t="s">
        <v>1483</v>
      </c>
      <c r="T219" s="390">
        <v>81</v>
      </c>
      <c r="U219" s="390" t="s">
        <v>1490</v>
      </c>
      <c r="V219" s="390">
        <v>4576</v>
      </c>
      <c r="W219" s="390" t="s">
        <v>2505</v>
      </c>
      <c r="X219" s="390">
        <v>80216</v>
      </c>
      <c r="Y219" s="390" t="s">
        <v>2506</v>
      </c>
      <c r="Z219" s="391" t="s">
        <v>2507</v>
      </c>
    </row>
    <row r="220" spans="2:26" ht="15.75" customHeight="1" x14ac:dyDescent="0.3">
      <c r="B220" s="387" t="s">
        <v>1375</v>
      </c>
      <c r="C220" s="388">
        <v>121627</v>
      </c>
      <c r="D220" s="388" t="s">
        <v>2508</v>
      </c>
      <c r="E220" s="388" t="s">
        <v>1377</v>
      </c>
      <c r="F220" s="388" t="s">
        <v>1378</v>
      </c>
      <c r="G220" s="388" t="s">
        <v>1379</v>
      </c>
      <c r="H220" s="388" t="s">
        <v>1380</v>
      </c>
      <c r="I220" s="388" t="s">
        <v>1530</v>
      </c>
      <c r="J220" s="388" t="s">
        <v>1382</v>
      </c>
      <c r="K220" s="388" t="s">
        <v>1383</v>
      </c>
      <c r="L220" s="389">
        <v>60</v>
      </c>
      <c r="M220" s="390" t="s">
        <v>2509</v>
      </c>
      <c r="N220" s="390" t="s">
        <v>2510</v>
      </c>
      <c r="O220" s="390" t="s">
        <v>1482</v>
      </c>
      <c r="P220" s="390" t="s">
        <v>1387</v>
      </c>
      <c r="Q220" s="388" t="s">
        <v>1383</v>
      </c>
      <c r="R220" s="390">
        <v>8</v>
      </c>
      <c r="S220" s="390" t="s">
        <v>1483</v>
      </c>
      <c r="T220" s="390">
        <v>48</v>
      </c>
      <c r="U220" s="390" t="s">
        <v>2265</v>
      </c>
      <c r="V220" s="390">
        <v>4536</v>
      </c>
      <c r="W220" s="390" t="s">
        <v>2511</v>
      </c>
      <c r="X220" s="390">
        <v>80338</v>
      </c>
      <c r="Y220" s="390" t="s">
        <v>2512</v>
      </c>
      <c r="Z220" s="391" t="s">
        <v>2513</v>
      </c>
    </row>
    <row r="221" spans="2:26" ht="15.75" customHeight="1" x14ac:dyDescent="0.3">
      <c r="B221" s="387" t="s">
        <v>1375</v>
      </c>
      <c r="C221" s="388">
        <v>121628</v>
      </c>
      <c r="D221" s="388" t="s">
        <v>2514</v>
      </c>
      <c r="E221" s="388" t="s">
        <v>1377</v>
      </c>
      <c r="F221" s="388" t="s">
        <v>1378</v>
      </c>
      <c r="G221" s="388" t="s">
        <v>1379</v>
      </c>
      <c r="H221" s="388" t="s">
        <v>1380</v>
      </c>
      <c r="I221" s="388" t="s">
        <v>1530</v>
      </c>
      <c r="J221" s="388" t="s">
        <v>1382</v>
      </c>
      <c r="K221" s="388" t="s">
        <v>1383</v>
      </c>
      <c r="L221" s="389">
        <v>48</v>
      </c>
      <c r="M221" s="390" t="s">
        <v>2515</v>
      </c>
      <c r="N221" s="390" t="s">
        <v>2516</v>
      </c>
      <c r="O221" s="390" t="s">
        <v>1482</v>
      </c>
      <c r="P221" s="390" t="s">
        <v>1387</v>
      </c>
      <c r="Q221" s="388" t="s">
        <v>1383</v>
      </c>
      <c r="R221" s="390">
        <v>8</v>
      </c>
      <c r="S221" s="390" t="s">
        <v>1483</v>
      </c>
      <c r="T221" s="390">
        <v>48</v>
      </c>
      <c r="U221" s="390" t="s">
        <v>2265</v>
      </c>
      <c r="V221" s="390">
        <v>4516</v>
      </c>
      <c r="W221" s="390" t="s">
        <v>2517</v>
      </c>
      <c r="X221" s="390">
        <v>80029</v>
      </c>
      <c r="Y221" s="390" t="s">
        <v>2518</v>
      </c>
      <c r="Z221" s="391" t="s">
        <v>2519</v>
      </c>
    </row>
    <row r="222" spans="2:26" ht="15.75" customHeight="1" x14ac:dyDescent="0.3">
      <c r="B222" s="387" t="s">
        <v>1375</v>
      </c>
      <c r="C222" s="388">
        <v>121631</v>
      </c>
      <c r="D222" s="388" t="s">
        <v>2520</v>
      </c>
      <c r="E222" s="388" t="s">
        <v>1377</v>
      </c>
      <c r="F222" s="388" t="s">
        <v>1378</v>
      </c>
      <c r="G222" s="388" t="s">
        <v>1379</v>
      </c>
      <c r="H222" s="388" t="s">
        <v>1380</v>
      </c>
      <c r="I222" s="388" t="s">
        <v>1530</v>
      </c>
      <c r="J222" s="388" t="s">
        <v>1382</v>
      </c>
      <c r="K222" s="388" t="s">
        <v>1383</v>
      </c>
      <c r="L222" s="389">
        <v>218</v>
      </c>
      <c r="M222" s="390" t="s">
        <v>2521</v>
      </c>
      <c r="N222" s="390" t="s">
        <v>2522</v>
      </c>
      <c r="O222" s="390" t="s">
        <v>1474</v>
      </c>
      <c r="P222" s="390" t="s">
        <v>1387</v>
      </c>
      <c r="Q222" s="388" t="s">
        <v>1383</v>
      </c>
      <c r="R222" s="390">
        <v>7</v>
      </c>
      <c r="S222" s="390" t="s">
        <v>1687</v>
      </c>
      <c r="T222" s="390">
        <v>85</v>
      </c>
      <c r="U222" s="390" t="s">
        <v>1688</v>
      </c>
      <c r="V222" s="390">
        <v>4552</v>
      </c>
      <c r="W222" s="390" t="s">
        <v>2075</v>
      </c>
      <c r="X222" s="390">
        <v>70150</v>
      </c>
      <c r="Y222" s="390" t="s">
        <v>2523</v>
      </c>
      <c r="Z222" s="391" t="s">
        <v>2524</v>
      </c>
    </row>
    <row r="223" spans="2:26" ht="15.75" customHeight="1" x14ac:dyDescent="0.3">
      <c r="B223" s="387" t="s">
        <v>1375</v>
      </c>
      <c r="C223" s="388">
        <v>121632</v>
      </c>
      <c r="D223" s="388" t="s">
        <v>2525</v>
      </c>
      <c r="E223" s="388" t="s">
        <v>1377</v>
      </c>
      <c r="F223" s="388" t="s">
        <v>1378</v>
      </c>
      <c r="G223" s="388" t="s">
        <v>1379</v>
      </c>
      <c r="H223" s="388" t="s">
        <v>1380</v>
      </c>
      <c r="I223" s="388" t="s">
        <v>1530</v>
      </c>
      <c r="J223" s="388" t="s">
        <v>1382</v>
      </c>
      <c r="K223" s="388" t="s">
        <v>1383</v>
      </c>
      <c r="L223" s="389">
        <v>95</v>
      </c>
      <c r="M223" s="390" t="s">
        <v>2526</v>
      </c>
      <c r="N223" s="390" t="s">
        <v>2527</v>
      </c>
      <c r="O223" s="390" t="s">
        <v>1474</v>
      </c>
      <c r="P223" s="390" t="s">
        <v>1387</v>
      </c>
      <c r="Q223" s="388" t="s">
        <v>1383</v>
      </c>
      <c r="R223" s="390">
        <v>7</v>
      </c>
      <c r="S223" s="390" t="s">
        <v>1687</v>
      </c>
      <c r="T223" s="390">
        <v>84</v>
      </c>
      <c r="U223" s="390" t="s">
        <v>1920</v>
      </c>
      <c r="V223" s="390">
        <v>4625</v>
      </c>
      <c r="W223" s="390" t="s">
        <v>2528</v>
      </c>
      <c r="X223" s="390">
        <v>70287</v>
      </c>
      <c r="Y223" s="390" t="s">
        <v>2029</v>
      </c>
      <c r="Z223" s="391" t="s">
        <v>2529</v>
      </c>
    </row>
    <row r="224" spans="2:26" ht="15.75" customHeight="1" x14ac:dyDescent="0.3">
      <c r="B224" s="387" t="s">
        <v>1375</v>
      </c>
      <c r="C224" s="388">
        <v>121633</v>
      </c>
      <c r="D224" s="388" t="s">
        <v>2530</v>
      </c>
      <c r="E224" s="388" t="s">
        <v>1377</v>
      </c>
      <c r="F224" s="388" t="s">
        <v>1378</v>
      </c>
      <c r="G224" s="388" t="s">
        <v>1379</v>
      </c>
      <c r="H224" s="388" t="s">
        <v>1380</v>
      </c>
      <c r="I224" s="388" t="s">
        <v>1393</v>
      </c>
      <c r="J224" s="388" t="s">
        <v>1382</v>
      </c>
      <c r="K224" s="388" t="s">
        <v>1383</v>
      </c>
      <c r="L224" s="389">
        <v>143</v>
      </c>
      <c r="M224" s="390" t="s">
        <v>2531</v>
      </c>
      <c r="N224" s="390" t="s">
        <v>2532</v>
      </c>
      <c r="O224" s="390" t="s">
        <v>1482</v>
      </c>
      <c r="P224" s="390" t="s">
        <v>1387</v>
      </c>
      <c r="Q224" s="388" t="s">
        <v>1383</v>
      </c>
      <c r="R224" s="390">
        <v>12</v>
      </c>
      <c r="S224" s="390" t="s">
        <v>1695</v>
      </c>
      <c r="T224" s="390">
        <v>22</v>
      </c>
      <c r="U224" s="390" t="s">
        <v>1701</v>
      </c>
      <c r="V224" s="390">
        <v>5203</v>
      </c>
      <c r="W224" s="390" t="s">
        <v>2533</v>
      </c>
      <c r="X224" s="390">
        <v>120056</v>
      </c>
      <c r="Y224" s="390" t="s">
        <v>2533</v>
      </c>
      <c r="Z224" s="391" t="s">
        <v>2534</v>
      </c>
    </row>
    <row r="225" spans="2:26" ht="15.75" customHeight="1" x14ac:dyDescent="0.3">
      <c r="B225" s="387" t="s">
        <v>1375</v>
      </c>
      <c r="C225" s="388">
        <v>121634</v>
      </c>
      <c r="D225" s="388" t="s">
        <v>2535</v>
      </c>
      <c r="E225" s="388" t="s">
        <v>1377</v>
      </c>
      <c r="F225" s="388" t="s">
        <v>1378</v>
      </c>
      <c r="G225" s="388" t="s">
        <v>1379</v>
      </c>
      <c r="H225" s="388" t="s">
        <v>1380</v>
      </c>
      <c r="I225" s="388" t="s">
        <v>1530</v>
      </c>
      <c r="J225" s="388" t="s">
        <v>1382</v>
      </c>
      <c r="K225" s="388" t="s">
        <v>1383</v>
      </c>
      <c r="L225" s="389">
        <v>46</v>
      </c>
      <c r="M225" s="390" t="s">
        <v>2536</v>
      </c>
      <c r="N225" s="390" t="s">
        <v>2337</v>
      </c>
      <c r="O225" s="390" t="s">
        <v>1465</v>
      </c>
      <c r="P225" s="390" t="s">
        <v>1387</v>
      </c>
      <c r="Q225" s="388" t="s">
        <v>1383</v>
      </c>
      <c r="R225" s="390">
        <v>18</v>
      </c>
      <c r="S225" s="390" t="s">
        <v>1790</v>
      </c>
      <c r="T225" s="390">
        <v>55</v>
      </c>
      <c r="U225" s="390" t="s">
        <v>1980</v>
      </c>
      <c r="V225" s="390">
        <v>1421</v>
      </c>
      <c r="W225" s="390" t="s">
        <v>1980</v>
      </c>
      <c r="X225" s="390">
        <v>180022</v>
      </c>
      <c r="Y225" s="390" t="s">
        <v>1980</v>
      </c>
      <c r="Z225" s="391" t="s">
        <v>2537</v>
      </c>
    </row>
    <row r="226" spans="2:26" ht="15.75" customHeight="1" x14ac:dyDescent="0.3">
      <c r="B226" s="387" t="s">
        <v>1375</v>
      </c>
      <c r="C226" s="388">
        <v>121635</v>
      </c>
      <c r="D226" s="388" t="s">
        <v>2538</v>
      </c>
      <c r="E226" s="388" t="s">
        <v>1377</v>
      </c>
      <c r="F226" s="388" t="s">
        <v>1378</v>
      </c>
      <c r="G226" s="388" t="s">
        <v>1439</v>
      </c>
      <c r="H226" s="388" t="s">
        <v>1380</v>
      </c>
      <c r="I226" s="388" t="s">
        <v>1530</v>
      </c>
      <c r="J226" s="388" t="s">
        <v>1382</v>
      </c>
      <c r="K226" s="388" t="s">
        <v>1383</v>
      </c>
      <c r="L226" s="389">
        <v>0</v>
      </c>
      <c r="M226" s="390" t="s">
        <v>2539</v>
      </c>
      <c r="N226" s="390" t="s">
        <v>2540</v>
      </c>
      <c r="O226" s="390" t="s">
        <v>2541</v>
      </c>
      <c r="P226" s="390" t="s">
        <v>1387</v>
      </c>
      <c r="Q226" s="388" t="s">
        <v>1383</v>
      </c>
      <c r="R226" s="390">
        <v>6</v>
      </c>
      <c r="S226" s="390" t="s">
        <v>1658</v>
      </c>
      <c r="T226" s="390">
        <v>42</v>
      </c>
      <c r="U226" s="390" t="s">
        <v>1659</v>
      </c>
      <c r="V226" s="390">
        <v>2411</v>
      </c>
      <c r="W226" s="390" t="s">
        <v>2542</v>
      </c>
      <c r="X226" s="390">
        <v>60011</v>
      </c>
      <c r="Y226" s="390" t="s">
        <v>2542</v>
      </c>
      <c r="Z226" s="391" t="s">
        <v>2543</v>
      </c>
    </row>
    <row r="227" spans="2:26" ht="15.75" customHeight="1" x14ac:dyDescent="0.3">
      <c r="B227" s="387" t="s">
        <v>1375</v>
      </c>
      <c r="C227" s="388">
        <v>121637</v>
      </c>
      <c r="D227" s="388" t="s">
        <v>2544</v>
      </c>
      <c r="E227" s="388" t="s">
        <v>1377</v>
      </c>
      <c r="F227" s="388" t="s">
        <v>1378</v>
      </c>
      <c r="G227" s="388" t="s">
        <v>1379</v>
      </c>
      <c r="H227" s="388" t="s">
        <v>1380</v>
      </c>
      <c r="I227" s="388" t="s">
        <v>1530</v>
      </c>
      <c r="J227" s="388" t="s">
        <v>1382</v>
      </c>
      <c r="K227" s="388" t="s">
        <v>1383</v>
      </c>
      <c r="L227" s="389">
        <v>66</v>
      </c>
      <c r="M227" s="390" t="s">
        <v>2545</v>
      </c>
      <c r="N227" s="390" t="s">
        <v>2546</v>
      </c>
      <c r="O227" s="390" t="s">
        <v>1386</v>
      </c>
      <c r="P227" s="390" t="s">
        <v>1387</v>
      </c>
      <c r="Q227" s="388" t="s">
        <v>1383</v>
      </c>
      <c r="R227" s="390">
        <v>2</v>
      </c>
      <c r="S227" s="390" t="s">
        <v>1406</v>
      </c>
      <c r="T227" s="390">
        <v>89</v>
      </c>
      <c r="U227" s="390" t="s">
        <v>1413</v>
      </c>
      <c r="V227" s="390">
        <v>208125</v>
      </c>
      <c r="W227" s="390" t="s">
        <v>1414</v>
      </c>
      <c r="X227" s="390">
        <v>20095</v>
      </c>
      <c r="Y227" s="390" t="s">
        <v>1415</v>
      </c>
      <c r="Z227" s="391" t="s">
        <v>2547</v>
      </c>
    </row>
    <row r="228" spans="2:26" ht="15.75" customHeight="1" x14ac:dyDescent="0.3">
      <c r="B228" s="387" t="s">
        <v>1375</v>
      </c>
      <c r="C228" s="388">
        <v>121640</v>
      </c>
      <c r="D228" s="388" t="s">
        <v>2548</v>
      </c>
      <c r="E228" s="388" t="s">
        <v>1377</v>
      </c>
      <c r="F228" s="388" t="s">
        <v>1378</v>
      </c>
      <c r="G228" s="388" t="s">
        <v>1379</v>
      </c>
      <c r="H228" s="388" t="s">
        <v>1471</v>
      </c>
      <c r="I228" s="388" t="s">
        <v>1861</v>
      </c>
      <c r="J228" s="388" t="s">
        <v>1382</v>
      </c>
      <c r="K228" s="388" t="s">
        <v>1383</v>
      </c>
      <c r="L228" s="389">
        <v>104</v>
      </c>
      <c r="M228" s="390" t="s">
        <v>2549</v>
      </c>
      <c r="N228" s="390" t="s">
        <v>2550</v>
      </c>
      <c r="O228" s="390" t="s">
        <v>1386</v>
      </c>
      <c r="P228" s="390" t="s">
        <v>1387</v>
      </c>
      <c r="Q228" s="388" t="s">
        <v>1383</v>
      </c>
      <c r="R228" s="390">
        <v>19</v>
      </c>
      <c r="S228" s="390" t="s">
        <v>1841</v>
      </c>
      <c r="T228" s="390">
        <v>67</v>
      </c>
      <c r="U228" s="390" t="s">
        <v>2049</v>
      </c>
      <c r="V228" s="390">
        <v>2581</v>
      </c>
      <c r="W228" s="390" t="s">
        <v>2551</v>
      </c>
      <c r="X228" s="390">
        <v>190016</v>
      </c>
      <c r="Y228" s="390" t="s">
        <v>2552</v>
      </c>
      <c r="Z228" s="391" t="s">
        <v>2553</v>
      </c>
    </row>
    <row r="229" spans="2:26" ht="15.75" customHeight="1" x14ac:dyDescent="0.3">
      <c r="B229" s="387" t="s">
        <v>1375</v>
      </c>
      <c r="C229" s="388">
        <v>121657</v>
      </c>
      <c r="D229" s="388" t="s">
        <v>2554</v>
      </c>
      <c r="E229" s="388" t="s">
        <v>1377</v>
      </c>
      <c r="F229" s="388" t="s">
        <v>1378</v>
      </c>
      <c r="G229" s="388" t="s">
        <v>1379</v>
      </c>
      <c r="H229" s="388" t="s">
        <v>1380</v>
      </c>
      <c r="I229" s="388" t="s">
        <v>1393</v>
      </c>
      <c r="J229" s="388" t="s">
        <v>1382</v>
      </c>
      <c r="K229" s="388" t="s">
        <v>1383</v>
      </c>
      <c r="L229" s="389">
        <v>289</v>
      </c>
      <c r="M229" s="390" t="s">
        <v>2555</v>
      </c>
      <c r="N229" s="390" t="s">
        <v>2556</v>
      </c>
      <c r="O229" s="390" t="s">
        <v>1386</v>
      </c>
      <c r="P229" s="390" t="s">
        <v>1387</v>
      </c>
      <c r="Q229" s="388" t="s">
        <v>1383</v>
      </c>
      <c r="R229" s="390">
        <v>4</v>
      </c>
      <c r="S229" s="390" t="s">
        <v>1451</v>
      </c>
      <c r="T229" s="390">
        <v>34</v>
      </c>
      <c r="U229" s="390" t="s">
        <v>1452</v>
      </c>
      <c r="V229" s="390">
        <v>1303</v>
      </c>
      <c r="W229" s="390" t="s">
        <v>2557</v>
      </c>
      <c r="X229" s="390">
        <v>40040</v>
      </c>
      <c r="Y229" s="390" t="s">
        <v>2558</v>
      </c>
      <c r="Z229" s="391" t="s">
        <v>2559</v>
      </c>
    </row>
    <row r="230" spans="2:26" ht="15.75" customHeight="1" x14ac:dyDescent="0.3">
      <c r="B230" s="387" t="s">
        <v>1375</v>
      </c>
      <c r="C230" s="388">
        <v>121658</v>
      </c>
      <c r="D230" s="388" t="s">
        <v>2560</v>
      </c>
      <c r="E230" s="388" t="s">
        <v>1377</v>
      </c>
      <c r="F230" s="388" t="s">
        <v>1378</v>
      </c>
      <c r="G230" s="388" t="s">
        <v>1379</v>
      </c>
      <c r="H230" s="388" t="s">
        <v>1380</v>
      </c>
      <c r="I230" s="388" t="s">
        <v>1393</v>
      </c>
      <c r="J230" s="388" t="s">
        <v>1382</v>
      </c>
      <c r="K230" s="388" t="s">
        <v>1383</v>
      </c>
      <c r="L230" s="389">
        <v>70</v>
      </c>
      <c r="M230" s="390" t="s">
        <v>2561</v>
      </c>
      <c r="N230" s="390" t="s">
        <v>1706</v>
      </c>
      <c r="O230" s="390" t="s">
        <v>1482</v>
      </c>
      <c r="P230" s="390" t="s">
        <v>1387</v>
      </c>
      <c r="Q230" s="388" t="s">
        <v>1383</v>
      </c>
      <c r="R230" s="390">
        <v>13</v>
      </c>
      <c r="S230" s="390" t="s">
        <v>2562</v>
      </c>
      <c r="T230" s="390">
        <v>100</v>
      </c>
      <c r="U230" s="390" t="s">
        <v>2563</v>
      </c>
      <c r="V230" s="390">
        <v>7205</v>
      </c>
      <c r="W230" s="390" t="s">
        <v>2564</v>
      </c>
      <c r="X230" s="390">
        <v>130041</v>
      </c>
      <c r="Y230" s="390" t="s">
        <v>2564</v>
      </c>
      <c r="Z230" s="391" t="s">
        <v>2565</v>
      </c>
    </row>
    <row r="231" spans="2:26" ht="15.75" customHeight="1" x14ac:dyDescent="0.3">
      <c r="B231" s="387" t="s">
        <v>1375</v>
      </c>
      <c r="C231" s="388">
        <v>121659</v>
      </c>
      <c r="D231" s="388" t="s">
        <v>2566</v>
      </c>
      <c r="E231" s="388" t="s">
        <v>1377</v>
      </c>
      <c r="F231" s="388" t="s">
        <v>1378</v>
      </c>
      <c r="G231" s="388" t="s">
        <v>1379</v>
      </c>
      <c r="H231" s="388" t="s">
        <v>1380</v>
      </c>
      <c r="I231" s="388" t="s">
        <v>1530</v>
      </c>
      <c r="J231" s="388" t="s">
        <v>1382</v>
      </c>
      <c r="K231" s="388" t="s">
        <v>1383</v>
      </c>
      <c r="L231" s="389">
        <v>206</v>
      </c>
      <c r="M231" s="390" t="s">
        <v>2567</v>
      </c>
      <c r="N231" s="390" t="s">
        <v>2568</v>
      </c>
      <c r="O231" s="390" t="s">
        <v>1465</v>
      </c>
      <c r="P231" s="390" t="s">
        <v>1387</v>
      </c>
      <c r="Q231" s="388" t="s">
        <v>1383</v>
      </c>
      <c r="R231" s="390">
        <v>5</v>
      </c>
      <c r="S231" s="390" t="s">
        <v>1466</v>
      </c>
      <c r="T231" s="390">
        <v>57</v>
      </c>
      <c r="U231" s="390" t="s">
        <v>1639</v>
      </c>
      <c r="V231" s="390">
        <v>2524</v>
      </c>
      <c r="W231" s="390" t="s">
        <v>2012</v>
      </c>
      <c r="X231" s="390">
        <v>50248</v>
      </c>
      <c r="Y231" s="390" t="s">
        <v>2013</v>
      </c>
      <c r="Z231" s="391" t="s">
        <v>2014</v>
      </c>
    </row>
    <row r="232" spans="2:26" ht="15.75" customHeight="1" x14ac:dyDescent="0.3">
      <c r="B232" s="387" t="s">
        <v>1375</v>
      </c>
      <c r="C232" s="388">
        <v>121660</v>
      </c>
      <c r="D232" s="388" t="s">
        <v>2569</v>
      </c>
      <c r="E232" s="388" t="s">
        <v>1377</v>
      </c>
      <c r="F232" s="388" t="s">
        <v>1378</v>
      </c>
      <c r="G232" s="388" t="s">
        <v>1439</v>
      </c>
      <c r="H232" s="388" t="s">
        <v>1471</v>
      </c>
      <c r="I232" s="388">
        <v>0</v>
      </c>
      <c r="J232" s="388" t="s">
        <v>1382</v>
      </c>
      <c r="K232" s="388" t="s">
        <v>1383</v>
      </c>
      <c r="L232" s="389">
        <v>0</v>
      </c>
      <c r="M232" s="390" t="s">
        <v>2570</v>
      </c>
      <c r="N232" s="390" t="s">
        <v>1699</v>
      </c>
      <c r="O232" s="390" t="s">
        <v>1699</v>
      </c>
      <c r="P232" s="390" t="s">
        <v>1383</v>
      </c>
      <c r="Q232" s="388" t="s">
        <v>1383</v>
      </c>
      <c r="R232" s="390">
        <v>5</v>
      </c>
      <c r="S232" s="390" t="s">
        <v>1466</v>
      </c>
      <c r="T232" s="390">
        <v>52</v>
      </c>
      <c r="U232" s="390" t="s">
        <v>1467</v>
      </c>
      <c r="V232" s="390">
        <v>1336</v>
      </c>
      <c r="W232" s="390" t="s">
        <v>1651</v>
      </c>
      <c r="X232" s="390">
        <v>50099</v>
      </c>
      <c r="Y232" s="390" t="s">
        <v>1652</v>
      </c>
      <c r="Z232" s="391" t="s">
        <v>2571</v>
      </c>
    </row>
    <row r="233" spans="2:26" ht="15.75" customHeight="1" x14ac:dyDescent="0.3">
      <c r="B233" s="387" t="s">
        <v>1375</v>
      </c>
      <c r="C233" s="388">
        <v>121671</v>
      </c>
      <c r="D233" s="388" t="s">
        <v>2572</v>
      </c>
      <c r="E233" s="388" t="s">
        <v>1377</v>
      </c>
      <c r="F233" s="388" t="s">
        <v>2293</v>
      </c>
      <c r="G233" s="388" t="s">
        <v>1379</v>
      </c>
      <c r="H233" s="388" t="s">
        <v>1380</v>
      </c>
      <c r="I233" s="388" t="s">
        <v>1393</v>
      </c>
      <c r="J233" s="388" t="s">
        <v>1382</v>
      </c>
      <c r="K233" s="388" t="s">
        <v>1383</v>
      </c>
      <c r="L233" s="389">
        <v>194</v>
      </c>
      <c r="M233" s="390" t="s">
        <v>2573</v>
      </c>
      <c r="N233" s="390" t="s">
        <v>1540</v>
      </c>
      <c r="O233" s="390" t="s">
        <v>1474</v>
      </c>
      <c r="P233" s="390" t="s">
        <v>1387</v>
      </c>
      <c r="Q233" s="388" t="s">
        <v>1383</v>
      </c>
      <c r="R233" s="390">
        <v>9</v>
      </c>
      <c r="S233" s="390" t="s">
        <v>1533</v>
      </c>
      <c r="T233" s="390">
        <v>77</v>
      </c>
      <c r="U233" s="390" t="s">
        <v>2086</v>
      </c>
      <c r="V233" s="390">
        <v>6521</v>
      </c>
      <c r="W233" s="390" t="s">
        <v>2458</v>
      </c>
      <c r="X233" s="390">
        <v>90165</v>
      </c>
      <c r="Y233" s="390" t="s">
        <v>2574</v>
      </c>
      <c r="Z233" s="391" t="s">
        <v>2575</v>
      </c>
    </row>
    <row r="234" spans="2:26" ht="15.75" customHeight="1" x14ac:dyDescent="0.3">
      <c r="B234" s="387" t="s">
        <v>1375</v>
      </c>
      <c r="C234" s="388">
        <v>121674</v>
      </c>
      <c r="D234" s="388" t="s">
        <v>2576</v>
      </c>
      <c r="E234" s="388" t="s">
        <v>1377</v>
      </c>
      <c r="F234" s="388" t="s">
        <v>1378</v>
      </c>
      <c r="G234" s="388" t="s">
        <v>1379</v>
      </c>
      <c r="H234" s="388" t="s">
        <v>1380</v>
      </c>
      <c r="I234" s="388" t="s">
        <v>1393</v>
      </c>
      <c r="J234" s="388" t="s">
        <v>1382</v>
      </c>
      <c r="K234" s="388" t="s">
        <v>1383</v>
      </c>
      <c r="L234" s="389">
        <v>44</v>
      </c>
      <c r="M234" s="390" t="s">
        <v>2577</v>
      </c>
      <c r="N234" s="390" t="s">
        <v>2578</v>
      </c>
      <c r="O234" s="390" t="s">
        <v>1386</v>
      </c>
      <c r="P234" s="390" t="s">
        <v>1387</v>
      </c>
      <c r="Q234" s="388" t="s">
        <v>1383</v>
      </c>
      <c r="R234" s="390">
        <v>19</v>
      </c>
      <c r="S234" s="390" t="s">
        <v>1841</v>
      </c>
      <c r="T234" s="390">
        <v>68</v>
      </c>
      <c r="U234" s="390" t="s">
        <v>1901</v>
      </c>
      <c r="V234" s="390">
        <v>2578</v>
      </c>
      <c r="W234" s="390" t="s">
        <v>2576</v>
      </c>
      <c r="X234" s="390">
        <v>190007</v>
      </c>
      <c r="Y234" s="390" t="s">
        <v>2576</v>
      </c>
      <c r="Z234" s="391" t="s">
        <v>2579</v>
      </c>
    </row>
    <row r="235" spans="2:26" ht="15.75" customHeight="1" x14ac:dyDescent="0.3">
      <c r="B235" s="387" t="s">
        <v>1375</v>
      </c>
      <c r="C235" s="388">
        <v>121675</v>
      </c>
      <c r="D235" s="388" t="s">
        <v>2580</v>
      </c>
      <c r="E235" s="388" t="s">
        <v>1377</v>
      </c>
      <c r="F235" s="388" t="s">
        <v>1378</v>
      </c>
      <c r="G235" s="388" t="s">
        <v>1379</v>
      </c>
      <c r="H235" s="388" t="s">
        <v>1380</v>
      </c>
      <c r="I235" s="388" t="s">
        <v>1393</v>
      </c>
      <c r="J235" s="388" t="s">
        <v>1382</v>
      </c>
      <c r="K235" s="388" t="s">
        <v>1383</v>
      </c>
      <c r="L235" s="389">
        <v>70</v>
      </c>
      <c r="M235" s="390" t="s">
        <v>2581</v>
      </c>
      <c r="N235" s="390" t="s">
        <v>2582</v>
      </c>
      <c r="O235" s="392" t="s">
        <v>1474</v>
      </c>
      <c r="P235" s="390" t="s">
        <v>1387</v>
      </c>
      <c r="Q235" s="388" t="s">
        <v>1383</v>
      </c>
      <c r="R235" s="390">
        <v>9</v>
      </c>
      <c r="S235" s="390" t="s">
        <v>1533</v>
      </c>
      <c r="T235" s="390">
        <v>75</v>
      </c>
      <c r="U235" s="390" t="s">
        <v>1533</v>
      </c>
      <c r="V235" s="390">
        <v>6402</v>
      </c>
      <c r="W235" s="390" t="s">
        <v>1547</v>
      </c>
      <c r="X235" s="390">
        <v>90178</v>
      </c>
      <c r="Y235" s="390" t="s">
        <v>2583</v>
      </c>
      <c r="Z235" s="391" t="s">
        <v>2584</v>
      </c>
    </row>
    <row r="236" spans="2:26" ht="15.75" customHeight="1" x14ac:dyDescent="0.3">
      <c r="B236" s="387" t="s">
        <v>1375</v>
      </c>
      <c r="C236" s="388">
        <v>121679</v>
      </c>
      <c r="D236" s="388" t="s">
        <v>2585</v>
      </c>
      <c r="E236" s="388" t="s">
        <v>1377</v>
      </c>
      <c r="F236" s="388" t="s">
        <v>1378</v>
      </c>
      <c r="G236" s="388" t="s">
        <v>1439</v>
      </c>
      <c r="H236" s="388" t="s">
        <v>1471</v>
      </c>
      <c r="I236" s="388">
        <v>0</v>
      </c>
      <c r="J236" s="388" t="s">
        <v>1382</v>
      </c>
      <c r="K236" s="388" t="s">
        <v>1383</v>
      </c>
      <c r="L236" s="389">
        <v>0</v>
      </c>
      <c r="M236" s="390" t="s">
        <v>2586</v>
      </c>
      <c r="N236" s="390" t="s">
        <v>1699</v>
      </c>
      <c r="O236" s="390" t="s">
        <v>1699</v>
      </c>
      <c r="P236" s="390" t="s">
        <v>1383</v>
      </c>
      <c r="Q236" s="388" t="s">
        <v>1383</v>
      </c>
      <c r="R236" s="390">
        <v>9</v>
      </c>
      <c r="S236" s="390" t="s">
        <v>1533</v>
      </c>
      <c r="T236" s="390">
        <v>76</v>
      </c>
      <c r="U236" s="390" t="s">
        <v>1534</v>
      </c>
      <c r="V236" s="390">
        <v>6418</v>
      </c>
      <c r="W236" s="390" t="s">
        <v>2587</v>
      </c>
      <c r="X236" s="390">
        <v>90176</v>
      </c>
      <c r="Y236" s="390" t="s">
        <v>2588</v>
      </c>
      <c r="Z236" s="391" t="s">
        <v>2589</v>
      </c>
    </row>
    <row r="237" spans="2:26" ht="15.75" customHeight="1" x14ac:dyDescent="0.3">
      <c r="B237" s="387" t="s">
        <v>1375</v>
      </c>
      <c r="C237" s="388">
        <v>121682</v>
      </c>
      <c r="D237" s="388" t="s">
        <v>2590</v>
      </c>
      <c r="E237" s="388" t="s">
        <v>1377</v>
      </c>
      <c r="F237" s="388" t="s">
        <v>1378</v>
      </c>
      <c r="G237" s="388" t="s">
        <v>1439</v>
      </c>
      <c r="H237" s="388" t="s">
        <v>1471</v>
      </c>
      <c r="I237" s="388">
        <v>0</v>
      </c>
      <c r="J237" s="388" t="s">
        <v>1382</v>
      </c>
      <c r="K237" s="388" t="s">
        <v>1383</v>
      </c>
      <c r="L237" s="389">
        <v>0</v>
      </c>
      <c r="M237" s="390" t="s">
        <v>2591</v>
      </c>
      <c r="N237" s="390" t="s">
        <v>1699</v>
      </c>
      <c r="O237" s="390" t="s">
        <v>1699</v>
      </c>
      <c r="P237" s="390" t="s">
        <v>1383</v>
      </c>
      <c r="Q237" s="388" t="s">
        <v>1383</v>
      </c>
      <c r="R237" s="390">
        <v>5</v>
      </c>
      <c r="S237" s="390" t="s">
        <v>1466</v>
      </c>
      <c r="T237" s="390">
        <v>56</v>
      </c>
      <c r="U237" s="390" t="s">
        <v>1949</v>
      </c>
      <c r="V237" s="390">
        <v>2519</v>
      </c>
      <c r="W237" s="390" t="s">
        <v>1949</v>
      </c>
      <c r="X237" s="390">
        <v>50046</v>
      </c>
      <c r="Y237" s="390" t="s">
        <v>2592</v>
      </c>
      <c r="Z237" s="391" t="s">
        <v>2593</v>
      </c>
    </row>
    <row r="238" spans="2:26" ht="15.75" customHeight="1" x14ac:dyDescent="0.3">
      <c r="B238" s="387" t="s">
        <v>1375</v>
      </c>
      <c r="C238" s="388">
        <v>121686</v>
      </c>
      <c r="D238" s="388" t="s">
        <v>2594</v>
      </c>
      <c r="E238" s="388" t="s">
        <v>1377</v>
      </c>
      <c r="F238" s="388" t="s">
        <v>1378</v>
      </c>
      <c r="G238" s="388" t="s">
        <v>1379</v>
      </c>
      <c r="H238" s="388" t="s">
        <v>1380</v>
      </c>
      <c r="I238" s="388" t="s">
        <v>1530</v>
      </c>
      <c r="J238" s="388" t="s">
        <v>1382</v>
      </c>
      <c r="K238" s="388" t="s">
        <v>1383</v>
      </c>
      <c r="L238" s="389">
        <v>48</v>
      </c>
      <c r="M238" s="390" t="s">
        <v>2595</v>
      </c>
      <c r="N238" s="390" t="s">
        <v>2596</v>
      </c>
      <c r="O238" s="390" t="s">
        <v>1482</v>
      </c>
      <c r="P238" s="390" t="s">
        <v>1387</v>
      </c>
      <c r="Q238" s="388" t="s">
        <v>1383</v>
      </c>
      <c r="R238" s="390">
        <v>8</v>
      </c>
      <c r="S238" s="390" t="s">
        <v>1483</v>
      </c>
      <c r="T238" s="390">
        <v>82</v>
      </c>
      <c r="U238" s="390" t="s">
        <v>1511</v>
      </c>
      <c r="V238" s="390">
        <v>4607</v>
      </c>
      <c r="W238" s="390" t="s">
        <v>2597</v>
      </c>
      <c r="X238" s="390">
        <v>80168</v>
      </c>
      <c r="Y238" s="390" t="s">
        <v>2069</v>
      </c>
      <c r="Z238" s="391" t="s">
        <v>2598</v>
      </c>
    </row>
    <row r="239" spans="2:26" ht="15.75" customHeight="1" x14ac:dyDescent="0.3">
      <c r="B239" s="387" t="s">
        <v>1375</v>
      </c>
      <c r="C239" s="388">
        <v>121687</v>
      </c>
      <c r="D239" s="388" t="s">
        <v>2599</v>
      </c>
      <c r="E239" s="388" t="s">
        <v>1377</v>
      </c>
      <c r="F239" s="388" t="s">
        <v>1378</v>
      </c>
      <c r="G239" s="388" t="s">
        <v>1379</v>
      </c>
      <c r="H239" s="388" t="s">
        <v>1380</v>
      </c>
      <c r="I239" s="388" t="s">
        <v>1530</v>
      </c>
      <c r="J239" s="388" t="s">
        <v>1382</v>
      </c>
      <c r="K239" s="388" t="s">
        <v>1383</v>
      </c>
      <c r="L239" s="389">
        <v>50</v>
      </c>
      <c r="M239" s="390" t="s">
        <v>2600</v>
      </c>
      <c r="N239" s="390" t="s">
        <v>2601</v>
      </c>
      <c r="O239" s="390" t="s">
        <v>1482</v>
      </c>
      <c r="P239" s="390" t="s">
        <v>1387</v>
      </c>
      <c r="Q239" s="388" t="s">
        <v>1383</v>
      </c>
      <c r="R239" s="390">
        <v>8</v>
      </c>
      <c r="S239" s="390" t="s">
        <v>1483</v>
      </c>
      <c r="T239" s="390">
        <v>82</v>
      </c>
      <c r="U239" s="390" t="s">
        <v>1511</v>
      </c>
      <c r="V239" s="390">
        <v>4609</v>
      </c>
      <c r="W239" s="390" t="s">
        <v>2006</v>
      </c>
      <c r="X239" s="390">
        <v>80180</v>
      </c>
      <c r="Y239" s="390" t="s">
        <v>2006</v>
      </c>
      <c r="Z239" s="391" t="s">
        <v>2602</v>
      </c>
    </row>
    <row r="240" spans="2:26" ht="15.75" customHeight="1" x14ac:dyDescent="0.3">
      <c r="B240" s="387" t="s">
        <v>1375</v>
      </c>
      <c r="C240" s="388">
        <v>121690</v>
      </c>
      <c r="D240" s="388" t="s">
        <v>2603</v>
      </c>
      <c r="E240" s="388" t="s">
        <v>1377</v>
      </c>
      <c r="F240" s="388" t="s">
        <v>1378</v>
      </c>
      <c r="G240" s="388" t="s">
        <v>1439</v>
      </c>
      <c r="H240" s="388" t="s">
        <v>1380</v>
      </c>
      <c r="I240" s="388" t="s">
        <v>1530</v>
      </c>
      <c r="J240" s="388" t="s">
        <v>1382</v>
      </c>
      <c r="K240" s="388" t="s">
        <v>1383</v>
      </c>
      <c r="L240" s="389">
        <v>0</v>
      </c>
      <c r="M240" s="390" t="s">
        <v>2604</v>
      </c>
      <c r="N240" s="390" t="s">
        <v>2605</v>
      </c>
      <c r="O240" s="390" t="s">
        <v>1465</v>
      </c>
      <c r="P240" s="390" t="s">
        <v>1387</v>
      </c>
      <c r="Q240" s="388" t="s">
        <v>1383</v>
      </c>
      <c r="R240" s="390">
        <v>11</v>
      </c>
      <c r="S240" s="390" t="s">
        <v>1608</v>
      </c>
      <c r="T240" s="390">
        <v>71</v>
      </c>
      <c r="U240" s="390" t="s">
        <v>1938</v>
      </c>
      <c r="V240" s="390">
        <v>9254</v>
      </c>
      <c r="W240" s="390" t="s">
        <v>2606</v>
      </c>
      <c r="X240" s="390">
        <v>110585</v>
      </c>
      <c r="Y240" s="390" t="s">
        <v>2607</v>
      </c>
      <c r="Z240" s="391" t="s">
        <v>2608</v>
      </c>
    </row>
    <row r="241" spans="2:26" ht="15.75" customHeight="1" x14ac:dyDescent="0.3">
      <c r="B241" s="387" t="s">
        <v>1375</v>
      </c>
      <c r="C241" s="388">
        <v>121695</v>
      </c>
      <c r="D241" s="388" t="s">
        <v>2609</v>
      </c>
      <c r="E241" s="388" t="s">
        <v>1377</v>
      </c>
      <c r="F241" s="388" t="s">
        <v>2293</v>
      </c>
      <c r="G241" s="388" t="s">
        <v>1379</v>
      </c>
      <c r="H241" s="388" t="s">
        <v>1380</v>
      </c>
      <c r="I241" s="388" t="s">
        <v>1530</v>
      </c>
      <c r="J241" s="388" t="s">
        <v>1382</v>
      </c>
      <c r="K241" s="388" t="s">
        <v>1383</v>
      </c>
      <c r="L241" s="389">
        <v>49</v>
      </c>
      <c r="M241" s="390" t="s">
        <v>2610</v>
      </c>
      <c r="N241" s="390" t="s">
        <v>2611</v>
      </c>
      <c r="O241" s="390" t="s">
        <v>1386</v>
      </c>
      <c r="P241" s="390" t="s">
        <v>1387</v>
      </c>
      <c r="Q241" s="388" t="s">
        <v>1383</v>
      </c>
      <c r="R241" s="390">
        <v>3</v>
      </c>
      <c r="S241" s="390" t="s">
        <v>1430</v>
      </c>
      <c r="T241" s="390">
        <v>95</v>
      </c>
      <c r="U241" s="390" t="s">
        <v>2354</v>
      </c>
      <c r="V241" s="390">
        <v>3201</v>
      </c>
      <c r="W241" s="390" t="s">
        <v>2029</v>
      </c>
      <c r="X241" s="390">
        <v>30043</v>
      </c>
      <c r="Y241" s="390" t="s">
        <v>2612</v>
      </c>
      <c r="Z241" s="391" t="s">
        <v>2613</v>
      </c>
    </row>
    <row r="242" spans="2:26" ht="15.75" customHeight="1" x14ac:dyDescent="0.3">
      <c r="B242" s="387" t="s">
        <v>1375</v>
      </c>
      <c r="C242" s="388">
        <v>121697</v>
      </c>
      <c r="D242" s="388" t="s">
        <v>2614</v>
      </c>
      <c r="E242" s="388" t="s">
        <v>1377</v>
      </c>
      <c r="F242" s="388" t="s">
        <v>1378</v>
      </c>
      <c r="G242" s="388" t="s">
        <v>1439</v>
      </c>
      <c r="H242" s="388" t="s">
        <v>1380</v>
      </c>
      <c r="I242" s="388" t="s">
        <v>1699</v>
      </c>
      <c r="J242" s="388" t="s">
        <v>1382</v>
      </c>
      <c r="K242" s="388" t="s">
        <v>1383</v>
      </c>
      <c r="L242" s="389">
        <v>0</v>
      </c>
      <c r="M242" s="390" t="s">
        <v>2615</v>
      </c>
      <c r="N242" s="390" t="s">
        <v>1699</v>
      </c>
      <c r="O242" s="390" t="s">
        <v>1699</v>
      </c>
      <c r="P242" s="390" t="s">
        <v>1383</v>
      </c>
      <c r="Q242" s="388" t="s">
        <v>1383</v>
      </c>
      <c r="R242" s="390">
        <v>5</v>
      </c>
      <c r="S242" s="390" t="s">
        <v>1466</v>
      </c>
      <c r="T242" s="390">
        <v>59</v>
      </c>
      <c r="U242" s="390" t="s">
        <v>2037</v>
      </c>
      <c r="V242" s="390">
        <v>2618</v>
      </c>
      <c r="W242" s="390" t="s">
        <v>2038</v>
      </c>
      <c r="X242" s="390">
        <v>50086</v>
      </c>
      <c r="Y242" s="390" t="s">
        <v>2039</v>
      </c>
      <c r="Z242" s="391" t="s">
        <v>2616</v>
      </c>
    </row>
    <row r="243" spans="2:26" ht="15.75" customHeight="1" x14ac:dyDescent="0.3">
      <c r="B243" s="387" t="s">
        <v>1375</v>
      </c>
      <c r="C243" s="388">
        <v>121699</v>
      </c>
      <c r="D243" s="388" t="s">
        <v>2617</v>
      </c>
      <c r="E243" s="388" t="s">
        <v>1377</v>
      </c>
      <c r="F243" s="388" t="s">
        <v>1378</v>
      </c>
      <c r="G243" s="388" t="s">
        <v>1379</v>
      </c>
      <c r="H243" s="388" t="s">
        <v>1380</v>
      </c>
      <c r="I243" s="388" t="s">
        <v>1530</v>
      </c>
      <c r="J243" s="388" t="s">
        <v>1382</v>
      </c>
      <c r="K243" s="388" t="s">
        <v>1383</v>
      </c>
      <c r="L243" s="389">
        <v>49</v>
      </c>
      <c r="M243" s="390" t="s">
        <v>2618</v>
      </c>
      <c r="N243" s="390" t="s">
        <v>2619</v>
      </c>
      <c r="O243" s="390" t="s">
        <v>1482</v>
      </c>
      <c r="P243" s="390" t="s">
        <v>1387</v>
      </c>
      <c r="Q243" s="388" t="s">
        <v>1383</v>
      </c>
      <c r="R243" s="390">
        <v>8</v>
      </c>
      <c r="S243" s="390" t="s">
        <v>1483</v>
      </c>
      <c r="T243" s="390">
        <v>82</v>
      </c>
      <c r="U243" s="390" t="s">
        <v>1511</v>
      </c>
      <c r="V243" s="390">
        <v>4607</v>
      </c>
      <c r="W243" s="390" t="s">
        <v>2597</v>
      </c>
      <c r="X243" s="390">
        <v>80168</v>
      </c>
      <c r="Y243" s="390" t="s">
        <v>2069</v>
      </c>
      <c r="Z243" s="391" t="s">
        <v>2620</v>
      </c>
    </row>
    <row r="244" spans="2:26" ht="15.75" customHeight="1" x14ac:dyDescent="0.3">
      <c r="B244" s="387" t="s">
        <v>1375</v>
      </c>
      <c r="C244" s="388">
        <v>121702</v>
      </c>
      <c r="D244" s="388" t="s">
        <v>2621</v>
      </c>
      <c r="E244" s="388" t="s">
        <v>1377</v>
      </c>
      <c r="F244" s="388" t="s">
        <v>1378</v>
      </c>
      <c r="G244" s="388" t="s">
        <v>1439</v>
      </c>
      <c r="H244" s="388" t="s">
        <v>1380</v>
      </c>
      <c r="I244" s="388" t="s">
        <v>1699</v>
      </c>
      <c r="J244" s="388" t="s">
        <v>1382</v>
      </c>
      <c r="K244" s="388" t="s">
        <v>1383</v>
      </c>
      <c r="L244" s="389">
        <v>0</v>
      </c>
      <c r="M244" s="390" t="s">
        <v>2622</v>
      </c>
      <c r="N244" s="390" t="s">
        <v>1699</v>
      </c>
      <c r="O244" s="390" t="s">
        <v>1699</v>
      </c>
      <c r="P244" s="390" t="s">
        <v>1383</v>
      </c>
      <c r="Q244" s="388" t="s">
        <v>1383</v>
      </c>
      <c r="R244" s="390">
        <v>8</v>
      </c>
      <c r="S244" s="390" t="s">
        <v>1483</v>
      </c>
      <c r="T244" s="390">
        <v>79</v>
      </c>
      <c r="U244" s="390" t="s">
        <v>2376</v>
      </c>
      <c r="V244" s="390">
        <v>4601</v>
      </c>
      <c r="W244" s="390" t="s">
        <v>2376</v>
      </c>
      <c r="X244" s="390">
        <v>80036</v>
      </c>
      <c r="Y244" s="390" t="s">
        <v>2376</v>
      </c>
      <c r="Z244" s="391" t="s">
        <v>2623</v>
      </c>
    </row>
    <row r="245" spans="2:26" ht="15.75" customHeight="1" x14ac:dyDescent="0.3">
      <c r="B245" s="387" t="s">
        <v>1375</v>
      </c>
      <c r="C245" s="388">
        <v>121703</v>
      </c>
      <c r="D245" s="388" t="s">
        <v>2624</v>
      </c>
      <c r="E245" s="388" t="s">
        <v>1377</v>
      </c>
      <c r="F245" s="388" t="s">
        <v>2293</v>
      </c>
      <c r="G245" s="388" t="s">
        <v>1379</v>
      </c>
      <c r="H245" s="388" t="s">
        <v>1380</v>
      </c>
      <c r="I245" s="388" t="s">
        <v>1530</v>
      </c>
      <c r="J245" s="388" t="s">
        <v>1382</v>
      </c>
      <c r="K245" s="388" t="s">
        <v>1383</v>
      </c>
      <c r="L245" s="389">
        <v>109</v>
      </c>
      <c r="M245" s="390" t="s">
        <v>2625</v>
      </c>
      <c r="N245" s="390" t="s">
        <v>2626</v>
      </c>
      <c r="O245" s="390" t="s">
        <v>1386</v>
      </c>
      <c r="P245" s="390" t="s">
        <v>1387</v>
      </c>
      <c r="Q245" s="388" t="s">
        <v>1383</v>
      </c>
      <c r="R245" s="390">
        <v>14</v>
      </c>
      <c r="S245" s="390" t="s">
        <v>1718</v>
      </c>
      <c r="T245" s="390">
        <v>102</v>
      </c>
      <c r="U245" s="390" t="s">
        <v>1719</v>
      </c>
      <c r="V245" s="390">
        <v>4101</v>
      </c>
      <c r="W245" s="390" t="s">
        <v>1720</v>
      </c>
      <c r="X245" s="390">
        <v>140014</v>
      </c>
      <c r="Y245" s="390" t="s">
        <v>1720</v>
      </c>
      <c r="Z245" s="391" t="s">
        <v>2627</v>
      </c>
    </row>
    <row r="246" spans="2:26" ht="15.75" customHeight="1" x14ac:dyDescent="0.3">
      <c r="B246" s="387" t="s">
        <v>1375</v>
      </c>
      <c r="C246" s="388">
        <v>121704</v>
      </c>
      <c r="D246" s="388" t="s">
        <v>2628</v>
      </c>
      <c r="E246" s="388" t="s">
        <v>1377</v>
      </c>
      <c r="F246" s="388" t="s">
        <v>1378</v>
      </c>
      <c r="G246" s="388" t="s">
        <v>1439</v>
      </c>
      <c r="H246" s="388" t="s">
        <v>1380</v>
      </c>
      <c r="I246" s="388" t="s">
        <v>1699</v>
      </c>
      <c r="J246" s="388" t="s">
        <v>1382</v>
      </c>
      <c r="K246" s="388" t="s">
        <v>1383</v>
      </c>
      <c r="L246" s="389">
        <v>0</v>
      </c>
      <c r="M246" s="390" t="s">
        <v>2629</v>
      </c>
      <c r="N246" s="390" t="s">
        <v>1699</v>
      </c>
      <c r="O246" s="390" t="s">
        <v>1699</v>
      </c>
      <c r="P246" s="390" t="s">
        <v>1383</v>
      </c>
      <c r="Q246" s="388" t="s">
        <v>1383</v>
      </c>
      <c r="R246" s="390">
        <v>8</v>
      </c>
      <c r="S246" s="390" t="s">
        <v>1483</v>
      </c>
      <c r="T246" s="390">
        <v>44</v>
      </c>
      <c r="U246" s="390" t="s">
        <v>2311</v>
      </c>
      <c r="V246" s="390">
        <v>4502</v>
      </c>
      <c r="W246" s="390" t="s">
        <v>2499</v>
      </c>
      <c r="X246" s="390">
        <v>80165</v>
      </c>
      <c r="Y246" s="390" t="s">
        <v>2630</v>
      </c>
      <c r="Z246" s="391" t="s">
        <v>2631</v>
      </c>
    </row>
    <row r="247" spans="2:26" ht="15.75" customHeight="1" x14ac:dyDescent="0.3">
      <c r="B247" s="387" t="s">
        <v>1375</v>
      </c>
      <c r="C247" s="388">
        <v>121705</v>
      </c>
      <c r="D247" s="388" t="s">
        <v>2632</v>
      </c>
      <c r="E247" s="388" t="s">
        <v>1377</v>
      </c>
      <c r="F247" s="388" t="s">
        <v>1378</v>
      </c>
      <c r="G247" s="388" t="s">
        <v>1379</v>
      </c>
      <c r="H247" s="388" t="s">
        <v>1380</v>
      </c>
      <c r="I247" s="388" t="s">
        <v>1530</v>
      </c>
      <c r="J247" s="388" t="s">
        <v>1382</v>
      </c>
      <c r="K247" s="388" t="s">
        <v>1383</v>
      </c>
      <c r="L247" s="389">
        <v>97</v>
      </c>
      <c r="M247" s="390" t="s">
        <v>2633</v>
      </c>
      <c r="N247" s="390" t="s">
        <v>2634</v>
      </c>
      <c r="O247" s="390" t="s">
        <v>1482</v>
      </c>
      <c r="P247" s="390" t="s">
        <v>1387</v>
      </c>
      <c r="Q247" s="388" t="s">
        <v>1383</v>
      </c>
      <c r="R247" s="390">
        <v>8</v>
      </c>
      <c r="S247" s="390" t="s">
        <v>1483</v>
      </c>
      <c r="T247" s="390">
        <v>82</v>
      </c>
      <c r="U247" s="390" t="s">
        <v>1511</v>
      </c>
      <c r="V247" s="390">
        <v>4612</v>
      </c>
      <c r="W247" s="390" t="s">
        <v>1994</v>
      </c>
      <c r="X247" s="390">
        <v>80079</v>
      </c>
      <c r="Y247" s="390" t="s">
        <v>1994</v>
      </c>
      <c r="Z247" s="391" t="s">
        <v>2635</v>
      </c>
    </row>
    <row r="248" spans="2:26" ht="15.75" customHeight="1" x14ac:dyDescent="0.3">
      <c r="B248" s="387" t="s">
        <v>1375</v>
      </c>
      <c r="C248" s="388">
        <v>121714</v>
      </c>
      <c r="D248" s="388" t="s">
        <v>2636</v>
      </c>
      <c r="E248" s="388" t="s">
        <v>1377</v>
      </c>
      <c r="F248" s="388" t="s">
        <v>1378</v>
      </c>
      <c r="G248" s="388" t="s">
        <v>1439</v>
      </c>
      <c r="H248" s="388" t="s">
        <v>1380</v>
      </c>
      <c r="I248" s="388" t="s">
        <v>1530</v>
      </c>
      <c r="J248" s="388" t="s">
        <v>1382</v>
      </c>
      <c r="K248" s="388" t="s">
        <v>1383</v>
      </c>
      <c r="L248" s="389">
        <v>0</v>
      </c>
      <c r="M248" s="390" t="s">
        <v>2637</v>
      </c>
      <c r="N248" s="390" t="s">
        <v>2638</v>
      </c>
      <c r="O248" s="390" t="s">
        <v>1465</v>
      </c>
      <c r="P248" s="390" t="s">
        <v>1387</v>
      </c>
      <c r="Q248" s="388" t="s">
        <v>1383</v>
      </c>
      <c r="R248" s="390">
        <v>18</v>
      </c>
      <c r="S248" s="390" t="s">
        <v>1790</v>
      </c>
      <c r="T248" s="390">
        <v>36</v>
      </c>
      <c r="U248" s="390" t="s">
        <v>1798</v>
      </c>
      <c r="V248" s="390">
        <v>1404</v>
      </c>
      <c r="W248" s="390" t="s">
        <v>2639</v>
      </c>
      <c r="X248" s="390">
        <v>180007</v>
      </c>
      <c r="Y248" s="390" t="s">
        <v>2640</v>
      </c>
      <c r="Z248" s="391" t="s">
        <v>2641</v>
      </c>
    </row>
    <row r="249" spans="2:26" ht="15.75" customHeight="1" x14ac:dyDescent="0.3">
      <c r="B249" s="387" t="s">
        <v>1375</v>
      </c>
      <c r="C249" s="388">
        <v>121715</v>
      </c>
      <c r="D249" s="388" t="s">
        <v>2642</v>
      </c>
      <c r="E249" s="388" t="s">
        <v>1377</v>
      </c>
      <c r="F249" s="388" t="s">
        <v>2293</v>
      </c>
      <c r="G249" s="388" t="s">
        <v>1379</v>
      </c>
      <c r="H249" s="388" t="s">
        <v>1380</v>
      </c>
      <c r="I249" s="388" t="s">
        <v>1393</v>
      </c>
      <c r="J249" s="388" t="s">
        <v>1382</v>
      </c>
      <c r="K249" s="388" t="s">
        <v>1383</v>
      </c>
      <c r="L249" s="389">
        <v>70</v>
      </c>
      <c r="M249" s="390" t="s">
        <v>2643</v>
      </c>
      <c r="N249" s="390" t="s">
        <v>2644</v>
      </c>
      <c r="O249" s="390" t="s">
        <v>1482</v>
      </c>
      <c r="P249" s="390" t="s">
        <v>1387</v>
      </c>
      <c r="Q249" s="388" t="s">
        <v>1383</v>
      </c>
      <c r="R249" s="390">
        <v>8</v>
      </c>
      <c r="S249" s="390" t="s">
        <v>1483</v>
      </c>
      <c r="T249" s="390">
        <v>80</v>
      </c>
      <c r="U249" s="390" t="s">
        <v>2645</v>
      </c>
      <c r="V249" s="390">
        <v>4620</v>
      </c>
      <c r="W249" s="390" t="s">
        <v>2646</v>
      </c>
      <c r="X249" s="390">
        <v>80091</v>
      </c>
      <c r="Y249" s="390" t="s">
        <v>2647</v>
      </c>
      <c r="Z249" s="391" t="s">
        <v>2648</v>
      </c>
    </row>
    <row r="250" spans="2:26" ht="15.75" customHeight="1" x14ac:dyDescent="0.3">
      <c r="B250" s="387" t="s">
        <v>1375</v>
      </c>
      <c r="C250" s="388">
        <v>121730</v>
      </c>
      <c r="D250" s="388" t="s">
        <v>2649</v>
      </c>
      <c r="E250" s="388" t="s">
        <v>1377</v>
      </c>
      <c r="F250" s="388" t="s">
        <v>1378</v>
      </c>
      <c r="G250" s="388" t="s">
        <v>1379</v>
      </c>
      <c r="H250" s="388" t="s">
        <v>1380</v>
      </c>
      <c r="I250" s="388" t="s">
        <v>1530</v>
      </c>
      <c r="J250" s="388" t="s">
        <v>1382</v>
      </c>
      <c r="K250" s="388" t="s">
        <v>1383</v>
      </c>
      <c r="L250" s="389">
        <v>86</v>
      </c>
      <c r="M250" s="390" t="s">
        <v>2650</v>
      </c>
      <c r="N250" s="390" t="s">
        <v>2651</v>
      </c>
      <c r="O250" s="390" t="s">
        <v>1657</v>
      </c>
      <c r="P250" s="390" t="s">
        <v>1387</v>
      </c>
      <c r="Q250" s="388" t="s">
        <v>1383</v>
      </c>
      <c r="R250" s="390">
        <v>6</v>
      </c>
      <c r="S250" s="390" t="s">
        <v>1658</v>
      </c>
      <c r="T250" s="390">
        <v>62</v>
      </c>
      <c r="U250" s="390" t="s">
        <v>1658</v>
      </c>
      <c r="V250" s="390">
        <v>2508</v>
      </c>
      <c r="W250" s="390" t="s">
        <v>1658</v>
      </c>
      <c r="X250" s="390">
        <v>60031</v>
      </c>
      <c r="Y250" s="390" t="s">
        <v>1658</v>
      </c>
      <c r="Z250" s="391" t="s">
        <v>2652</v>
      </c>
    </row>
    <row r="251" spans="2:26" ht="15.75" customHeight="1" x14ac:dyDescent="0.3">
      <c r="B251" s="387" t="s">
        <v>1375</v>
      </c>
      <c r="C251" s="388">
        <v>121732</v>
      </c>
      <c r="D251" s="388" t="s">
        <v>2653</v>
      </c>
      <c r="E251" s="388" t="s">
        <v>1377</v>
      </c>
      <c r="F251" s="388" t="s">
        <v>1378</v>
      </c>
      <c r="G251" s="388" t="s">
        <v>1439</v>
      </c>
      <c r="H251" s="388" t="s">
        <v>1380</v>
      </c>
      <c r="I251" s="388" t="s">
        <v>1530</v>
      </c>
      <c r="J251" s="388" t="s">
        <v>1382</v>
      </c>
      <c r="K251" s="388" t="s">
        <v>1383</v>
      </c>
      <c r="L251" s="389">
        <v>0</v>
      </c>
      <c r="M251" s="390" t="s">
        <v>2654</v>
      </c>
      <c r="N251" s="390" t="s">
        <v>2342</v>
      </c>
      <c r="O251" s="390" t="s">
        <v>1482</v>
      </c>
      <c r="P251" s="390" t="s">
        <v>1387</v>
      </c>
      <c r="Q251" s="388" t="s">
        <v>1383</v>
      </c>
      <c r="R251" s="390">
        <v>8</v>
      </c>
      <c r="S251" s="390" t="s">
        <v>1483</v>
      </c>
      <c r="T251" s="390">
        <v>45</v>
      </c>
      <c r="U251" s="390" t="s">
        <v>1484</v>
      </c>
      <c r="V251" s="390">
        <v>4505</v>
      </c>
      <c r="W251" s="390" t="s">
        <v>2655</v>
      </c>
      <c r="X251" s="390">
        <v>80183</v>
      </c>
      <c r="Y251" s="390" t="s">
        <v>2656</v>
      </c>
      <c r="Z251" s="391" t="s">
        <v>2657</v>
      </c>
    </row>
    <row r="252" spans="2:26" ht="15.75" customHeight="1" x14ac:dyDescent="0.3">
      <c r="B252" s="387" t="s">
        <v>1375</v>
      </c>
      <c r="C252" s="388">
        <v>121734</v>
      </c>
      <c r="D252" s="388" t="s">
        <v>2658</v>
      </c>
      <c r="E252" s="388" t="s">
        <v>1377</v>
      </c>
      <c r="F252" s="388" t="s">
        <v>1378</v>
      </c>
      <c r="G252" s="388" t="s">
        <v>1439</v>
      </c>
      <c r="H252" s="388" t="s">
        <v>1471</v>
      </c>
      <c r="I252" s="388" t="s">
        <v>1699</v>
      </c>
      <c r="J252" s="388" t="s">
        <v>1382</v>
      </c>
      <c r="K252" s="388" t="s">
        <v>1383</v>
      </c>
      <c r="L252" s="389">
        <v>0</v>
      </c>
      <c r="M252" s="390" t="s">
        <v>2659</v>
      </c>
      <c r="N252" s="390" t="s">
        <v>1699</v>
      </c>
      <c r="O252" s="390" t="s">
        <v>1699</v>
      </c>
      <c r="P252" s="390" t="s">
        <v>1383</v>
      </c>
      <c r="Q252" s="388" t="s">
        <v>1383</v>
      </c>
      <c r="R252" s="390">
        <v>19</v>
      </c>
      <c r="S252" s="390" t="s">
        <v>1841</v>
      </c>
      <c r="T252" s="390">
        <v>1003</v>
      </c>
      <c r="U252" s="390" t="s">
        <v>2236</v>
      </c>
      <c r="V252" s="390">
        <v>104110</v>
      </c>
      <c r="W252" s="390" t="s">
        <v>2237</v>
      </c>
      <c r="X252" s="390">
        <v>190196</v>
      </c>
      <c r="Y252" s="390" t="s">
        <v>2238</v>
      </c>
      <c r="Z252" s="391" t="s">
        <v>2660</v>
      </c>
    </row>
    <row r="253" spans="2:26" ht="15.75" customHeight="1" x14ac:dyDescent="0.3">
      <c r="B253" s="387" t="s">
        <v>1375</v>
      </c>
      <c r="C253" s="388">
        <v>121739</v>
      </c>
      <c r="D253" s="388" t="s">
        <v>2661</v>
      </c>
      <c r="E253" s="388" t="s">
        <v>1377</v>
      </c>
      <c r="F253" s="388" t="s">
        <v>1378</v>
      </c>
      <c r="G253" s="388" t="s">
        <v>1379</v>
      </c>
      <c r="H253" s="388" t="s">
        <v>1380</v>
      </c>
      <c r="I253" s="388" t="s">
        <v>1393</v>
      </c>
      <c r="J253" s="388" t="s">
        <v>1382</v>
      </c>
      <c r="K253" s="388" t="s">
        <v>1383</v>
      </c>
      <c r="L253" s="389">
        <v>95</v>
      </c>
      <c r="M253" s="390" t="s">
        <v>2662</v>
      </c>
      <c r="N253" s="390" t="s">
        <v>2663</v>
      </c>
      <c r="O253" s="390" t="s">
        <v>1386</v>
      </c>
      <c r="P253" s="390" t="s">
        <v>1387</v>
      </c>
      <c r="Q253" s="388" t="s">
        <v>1383</v>
      </c>
      <c r="R253" s="390">
        <v>19</v>
      </c>
      <c r="S253" s="390" t="s">
        <v>1841</v>
      </c>
      <c r="T253" s="390">
        <v>67</v>
      </c>
      <c r="U253" s="390" t="s">
        <v>2049</v>
      </c>
      <c r="V253" s="390">
        <v>2561</v>
      </c>
      <c r="W253" s="390" t="s">
        <v>2664</v>
      </c>
      <c r="X253" s="390">
        <v>190240</v>
      </c>
      <c r="Y253" s="390" t="s">
        <v>2665</v>
      </c>
      <c r="Z253" s="391" t="s">
        <v>2666</v>
      </c>
    </row>
    <row r="254" spans="2:26" ht="15.75" customHeight="1" x14ac:dyDescent="0.3">
      <c r="B254" s="387" t="s">
        <v>1375</v>
      </c>
      <c r="C254" s="388">
        <v>121740</v>
      </c>
      <c r="D254" s="388" t="s">
        <v>2667</v>
      </c>
      <c r="E254" s="388" t="s">
        <v>1377</v>
      </c>
      <c r="F254" s="388" t="s">
        <v>1378</v>
      </c>
      <c r="G254" s="388" t="s">
        <v>1379</v>
      </c>
      <c r="H254" s="388" t="s">
        <v>1380</v>
      </c>
      <c r="I254" s="388" t="s">
        <v>1530</v>
      </c>
      <c r="J254" s="388" t="s">
        <v>1382</v>
      </c>
      <c r="K254" s="388" t="s">
        <v>1383</v>
      </c>
      <c r="L254" s="389">
        <v>82</v>
      </c>
      <c r="M254" s="390" t="s">
        <v>2668</v>
      </c>
      <c r="N254" s="390" t="s">
        <v>2669</v>
      </c>
      <c r="O254" s="390" t="s">
        <v>1482</v>
      </c>
      <c r="P254" s="390" t="s">
        <v>1387</v>
      </c>
      <c r="Q254" s="388" t="s">
        <v>1383</v>
      </c>
      <c r="R254" s="390">
        <v>8</v>
      </c>
      <c r="S254" s="390" t="s">
        <v>1483</v>
      </c>
      <c r="T254" s="390">
        <v>45</v>
      </c>
      <c r="U254" s="390" t="s">
        <v>1484</v>
      </c>
      <c r="V254" s="390">
        <v>4542</v>
      </c>
      <c r="W254" s="390" t="s">
        <v>2670</v>
      </c>
      <c r="X254" s="390">
        <v>80005</v>
      </c>
      <c r="Y254" s="390" t="s">
        <v>2671</v>
      </c>
      <c r="Z254" s="391" t="s">
        <v>2672</v>
      </c>
    </row>
    <row r="255" spans="2:26" ht="15.75" customHeight="1" x14ac:dyDescent="0.3">
      <c r="B255" s="387" t="s">
        <v>1375</v>
      </c>
      <c r="C255" s="388">
        <v>121741</v>
      </c>
      <c r="D255" s="388" t="s">
        <v>2673</v>
      </c>
      <c r="E255" s="388" t="s">
        <v>1377</v>
      </c>
      <c r="F255" s="388" t="s">
        <v>1378</v>
      </c>
      <c r="G255" s="388" t="s">
        <v>1379</v>
      </c>
      <c r="H255" s="388" t="s">
        <v>1380</v>
      </c>
      <c r="I255" s="388" t="s">
        <v>1393</v>
      </c>
      <c r="J255" s="388" t="s">
        <v>1382</v>
      </c>
      <c r="K255" s="388" t="s">
        <v>1383</v>
      </c>
      <c r="L255" s="389">
        <v>80</v>
      </c>
      <c r="M255" s="390" t="s">
        <v>2674</v>
      </c>
      <c r="N255" s="390" t="s">
        <v>2638</v>
      </c>
      <c r="O255" s="390" t="s">
        <v>1482</v>
      </c>
      <c r="P255" s="390" t="s">
        <v>1387</v>
      </c>
      <c r="Q255" s="388" t="s">
        <v>1383</v>
      </c>
      <c r="R255" s="390">
        <v>8</v>
      </c>
      <c r="S255" s="390" t="s">
        <v>1483</v>
      </c>
      <c r="T255" s="390">
        <v>82</v>
      </c>
      <c r="U255" s="390" t="s">
        <v>1511</v>
      </c>
      <c r="V255" s="390">
        <v>4555</v>
      </c>
      <c r="W255" s="390" t="s">
        <v>1512</v>
      </c>
      <c r="X255" s="390">
        <v>80218</v>
      </c>
      <c r="Y255" s="390" t="s">
        <v>1513</v>
      </c>
      <c r="Z255" s="391" t="s">
        <v>2675</v>
      </c>
    </row>
    <row r="256" spans="2:26" ht="15.75" customHeight="1" x14ac:dyDescent="0.3">
      <c r="B256" s="387" t="s">
        <v>1375</v>
      </c>
      <c r="C256" s="388">
        <v>121742</v>
      </c>
      <c r="D256" s="388" t="s">
        <v>2149</v>
      </c>
      <c r="E256" s="388" t="s">
        <v>1377</v>
      </c>
      <c r="F256" s="388" t="s">
        <v>1378</v>
      </c>
      <c r="G256" s="388" t="s">
        <v>1379</v>
      </c>
      <c r="H256" s="388" t="s">
        <v>1380</v>
      </c>
      <c r="I256" s="388" t="s">
        <v>1381</v>
      </c>
      <c r="J256" s="388" t="s">
        <v>1382</v>
      </c>
      <c r="K256" s="388" t="s">
        <v>1383</v>
      </c>
      <c r="L256" s="389">
        <v>127</v>
      </c>
      <c r="M256" s="390" t="s">
        <v>2676</v>
      </c>
      <c r="N256" s="390" t="s">
        <v>2677</v>
      </c>
      <c r="O256" s="390" t="s">
        <v>1386</v>
      </c>
      <c r="P256" s="390" t="s">
        <v>1387</v>
      </c>
      <c r="Q256" s="388" t="s">
        <v>1383</v>
      </c>
      <c r="R256" s="390">
        <v>1</v>
      </c>
      <c r="S256" s="390" t="s">
        <v>1388</v>
      </c>
      <c r="T256" s="390">
        <v>9</v>
      </c>
      <c r="U256" s="390" t="s">
        <v>1392</v>
      </c>
      <c r="V256" s="390">
        <v>8521</v>
      </c>
      <c r="W256" s="390" t="s">
        <v>2149</v>
      </c>
      <c r="X256" s="390">
        <v>10079</v>
      </c>
      <c r="Y256" s="390" t="s">
        <v>2678</v>
      </c>
      <c r="Z256" s="391" t="s">
        <v>2679</v>
      </c>
    </row>
    <row r="257" spans="2:26" ht="15.75" customHeight="1" x14ac:dyDescent="0.3">
      <c r="B257" s="387" t="s">
        <v>1375</v>
      </c>
      <c r="C257" s="388">
        <v>121743</v>
      </c>
      <c r="D257" s="388" t="s">
        <v>2300</v>
      </c>
      <c r="E257" s="388" t="s">
        <v>1377</v>
      </c>
      <c r="F257" s="388" t="s">
        <v>1378</v>
      </c>
      <c r="G257" s="388" t="s">
        <v>1379</v>
      </c>
      <c r="H257" s="388" t="s">
        <v>1380</v>
      </c>
      <c r="I257" s="388" t="s">
        <v>1393</v>
      </c>
      <c r="J257" s="388" t="s">
        <v>1382</v>
      </c>
      <c r="K257" s="388" t="s">
        <v>1383</v>
      </c>
      <c r="L257" s="389">
        <v>70</v>
      </c>
      <c r="M257" s="390" t="s">
        <v>2680</v>
      </c>
      <c r="N257" s="390" t="s">
        <v>2681</v>
      </c>
      <c r="O257" s="390" t="s">
        <v>1386</v>
      </c>
      <c r="P257" s="390" t="s">
        <v>1387</v>
      </c>
      <c r="Q257" s="388" t="s">
        <v>1383</v>
      </c>
      <c r="R257" s="390">
        <v>1</v>
      </c>
      <c r="S257" s="390" t="s">
        <v>1388</v>
      </c>
      <c r="T257" s="390">
        <v>11</v>
      </c>
      <c r="U257" s="390" t="s">
        <v>2682</v>
      </c>
      <c r="V257" s="390">
        <v>8520</v>
      </c>
      <c r="W257" s="390" t="s">
        <v>2683</v>
      </c>
      <c r="X257" s="390">
        <v>10217</v>
      </c>
      <c r="Y257" s="390" t="s">
        <v>2684</v>
      </c>
      <c r="Z257" s="391" t="s">
        <v>2685</v>
      </c>
    </row>
    <row r="258" spans="2:26" ht="15.75" customHeight="1" x14ac:dyDescent="0.3">
      <c r="B258" s="387" t="s">
        <v>1375</v>
      </c>
      <c r="C258" s="388">
        <v>121744</v>
      </c>
      <c r="D258" s="388" t="s">
        <v>1942</v>
      </c>
      <c r="E258" s="388" t="s">
        <v>1377</v>
      </c>
      <c r="F258" s="388" t="s">
        <v>1378</v>
      </c>
      <c r="G258" s="388" t="s">
        <v>1379</v>
      </c>
      <c r="H258" s="388" t="s">
        <v>1380</v>
      </c>
      <c r="I258" s="388" t="s">
        <v>1393</v>
      </c>
      <c r="J258" s="388" t="s">
        <v>1382</v>
      </c>
      <c r="K258" s="388" t="s">
        <v>1383</v>
      </c>
      <c r="L258" s="389">
        <v>90</v>
      </c>
      <c r="M258" s="390" t="s">
        <v>2686</v>
      </c>
      <c r="N258" s="390" t="s">
        <v>1814</v>
      </c>
      <c r="O258" s="390" t="s">
        <v>1465</v>
      </c>
      <c r="P258" s="390" t="s">
        <v>1387</v>
      </c>
      <c r="Q258" s="388" t="s">
        <v>1383</v>
      </c>
      <c r="R258" s="390">
        <v>5</v>
      </c>
      <c r="S258" s="390" t="s">
        <v>1466</v>
      </c>
      <c r="T258" s="390">
        <v>58</v>
      </c>
      <c r="U258" s="390" t="s">
        <v>1878</v>
      </c>
      <c r="V258" s="390">
        <v>2536</v>
      </c>
      <c r="W258" s="390" t="s">
        <v>1942</v>
      </c>
      <c r="X258" s="390">
        <v>50150</v>
      </c>
      <c r="Y258" s="390" t="s">
        <v>1942</v>
      </c>
      <c r="Z258" s="391" t="s">
        <v>2687</v>
      </c>
    </row>
    <row r="259" spans="2:26" ht="15.75" customHeight="1" x14ac:dyDescent="0.3">
      <c r="B259" s="387" t="s">
        <v>1375</v>
      </c>
      <c r="C259" s="388">
        <v>121745</v>
      </c>
      <c r="D259" s="388" t="s">
        <v>2688</v>
      </c>
      <c r="E259" s="388" t="s">
        <v>1377</v>
      </c>
      <c r="F259" s="388" t="s">
        <v>1378</v>
      </c>
      <c r="G259" s="388" t="s">
        <v>1379</v>
      </c>
      <c r="H259" s="388" t="s">
        <v>1380</v>
      </c>
      <c r="I259" s="388" t="s">
        <v>1393</v>
      </c>
      <c r="J259" s="388" t="s">
        <v>1382</v>
      </c>
      <c r="K259" s="388" t="s">
        <v>1383</v>
      </c>
      <c r="L259" s="389">
        <v>75</v>
      </c>
      <c r="M259" s="390" t="s">
        <v>2689</v>
      </c>
      <c r="N259" s="390" t="s">
        <v>2337</v>
      </c>
      <c r="O259" s="390" t="s">
        <v>1465</v>
      </c>
      <c r="P259" s="390" t="s">
        <v>1387</v>
      </c>
      <c r="Q259" s="388" t="s">
        <v>1383</v>
      </c>
      <c r="R259" s="390">
        <v>5</v>
      </c>
      <c r="S259" s="390" t="s">
        <v>1466</v>
      </c>
      <c r="T259" s="390">
        <v>57</v>
      </c>
      <c r="U259" s="390" t="s">
        <v>1639</v>
      </c>
      <c r="V259" s="390">
        <v>2524</v>
      </c>
      <c r="W259" s="390" t="s">
        <v>2012</v>
      </c>
      <c r="X259" s="390">
        <v>50007</v>
      </c>
      <c r="Y259" s="390" t="s">
        <v>2690</v>
      </c>
      <c r="Z259" s="391" t="s">
        <v>2691</v>
      </c>
    </row>
    <row r="260" spans="2:26" ht="15.75" customHeight="1" x14ac:dyDescent="0.3">
      <c r="B260" s="387" t="s">
        <v>1375</v>
      </c>
      <c r="C260" s="388">
        <v>121746</v>
      </c>
      <c r="D260" s="388" t="s">
        <v>2692</v>
      </c>
      <c r="E260" s="388" t="s">
        <v>1377</v>
      </c>
      <c r="F260" s="388" t="s">
        <v>1378</v>
      </c>
      <c r="G260" s="388" t="s">
        <v>1439</v>
      </c>
      <c r="H260" s="388" t="s">
        <v>1380</v>
      </c>
      <c r="I260" s="388" t="s">
        <v>1530</v>
      </c>
      <c r="J260" s="388" t="s">
        <v>1382</v>
      </c>
      <c r="K260" s="388" t="s">
        <v>1383</v>
      </c>
      <c r="L260" s="389">
        <v>0</v>
      </c>
      <c r="M260" s="390" t="s">
        <v>2693</v>
      </c>
      <c r="N260" s="390" t="s">
        <v>1699</v>
      </c>
      <c r="O260" s="390" t="s">
        <v>1699</v>
      </c>
      <c r="P260" s="390" t="s">
        <v>1383</v>
      </c>
      <c r="Q260" s="388" t="s">
        <v>1383</v>
      </c>
      <c r="R260" s="390">
        <v>5</v>
      </c>
      <c r="S260" s="390" t="s">
        <v>1466</v>
      </c>
      <c r="T260" s="390">
        <v>58</v>
      </c>
      <c r="U260" s="390" t="s">
        <v>1878</v>
      </c>
      <c r="V260" s="390">
        <v>2538</v>
      </c>
      <c r="W260" s="390" t="s">
        <v>2433</v>
      </c>
      <c r="X260" s="390">
        <v>50022</v>
      </c>
      <c r="Y260" s="390" t="s">
        <v>2694</v>
      </c>
      <c r="Z260" s="391" t="s">
        <v>2695</v>
      </c>
    </row>
    <row r="261" spans="2:26" ht="15.75" customHeight="1" x14ac:dyDescent="0.3">
      <c r="B261" s="387" t="s">
        <v>1375</v>
      </c>
      <c r="C261" s="388">
        <v>121748</v>
      </c>
      <c r="D261" s="388" t="s">
        <v>2696</v>
      </c>
      <c r="E261" s="388" t="s">
        <v>1377</v>
      </c>
      <c r="F261" s="388" t="s">
        <v>1378</v>
      </c>
      <c r="G261" s="388" t="s">
        <v>1379</v>
      </c>
      <c r="H261" s="388" t="s">
        <v>1380</v>
      </c>
      <c r="I261" s="388" t="s">
        <v>1530</v>
      </c>
      <c r="J261" s="388" t="s">
        <v>1382</v>
      </c>
      <c r="K261" s="388" t="s">
        <v>1383</v>
      </c>
      <c r="L261" s="389">
        <v>75</v>
      </c>
      <c r="M261" s="390" t="s">
        <v>2697</v>
      </c>
      <c r="N261" s="390" t="s">
        <v>2698</v>
      </c>
      <c r="O261" s="390" t="s">
        <v>1657</v>
      </c>
      <c r="P261" s="390" t="s">
        <v>1387</v>
      </c>
      <c r="Q261" s="388" t="s">
        <v>1383</v>
      </c>
      <c r="R261" s="390">
        <v>6</v>
      </c>
      <c r="S261" s="390" t="s">
        <v>1658</v>
      </c>
      <c r="T261" s="390">
        <v>62</v>
      </c>
      <c r="U261" s="390" t="s">
        <v>1658</v>
      </c>
      <c r="V261" s="390">
        <v>2501</v>
      </c>
      <c r="W261" s="390" t="s">
        <v>2699</v>
      </c>
      <c r="X261" s="390">
        <v>60022</v>
      </c>
      <c r="Y261" s="390" t="s">
        <v>1672</v>
      </c>
      <c r="Z261" s="391" t="s">
        <v>2700</v>
      </c>
    </row>
    <row r="262" spans="2:26" ht="15.75" customHeight="1" x14ac:dyDescent="0.3">
      <c r="B262" s="387" t="s">
        <v>1375</v>
      </c>
      <c r="C262" s="388">
        <v>121749</v>
      </c>
      <c r="D262" s="388" t="s">
        <v>2701</v>
      </c>
      <c r="E262" s="388" t="s">
        <v>1377</v>
      </c>
      <c r="F262" s="388" t="s">
        <v>1378</v>
      </c>
      <c r="G262" s="388" t="s">
        <v>1379</v>
      </c>
      <c r="H262" s="388" t="s">
        <v>1380</v>
      </c>
      <c r="I262" s="388" t="s">
        <v>1440</v>
      </c>
      <c r="J262" s="388" t="s">
        <v>1382</v>
      </c>
      <c r="K262" s="388" t="s">
        <v>1383</v>
      </c>
      <c r="L262" s="389">
        <v>85</v>
      </c>
      <c r="M262" s="390" t="s">
        <v>2702</v>
      </c>
      <c r="N262" s="390" t="s">
        <v>2703</v>
      </c>
      <c r="O262" s="390" t="s">
        <v>1386</v>
      </c>
      <c r="P262" s="390" t="s">
        <v>1387</v>
      </c>
      <c r="Q262" s="388" t="s">
        <v>1383</v>
      </c>
      <c r="R262" s="390">
        <v>4</v>
      </c>
      <c r="S262" s="390" t="s">
        <v>1451</v>
      </c>
      <c r="T262" s="390">
        <v>51</v>
      </c>
      <c r="U262" s="390" t="s">
        <v>1885</v>
      </c>
      <c r="V262" s="390">
        <v>1322</v>
      </c>
      <c r="W262" s="390" t="s">
        <v>2704</v>
      </c>
      <c r="X262" s="390">
        <v>40188</v>
      </c>
      <c r="Y262" s="390" t="s">
        <v>2705</v>
      </c>
      <c r="Z262" s="391" t="s">
        <v>2706</v>
      </c>
    </row>
    <row r="263" spans="2:26" ht="15.75" customHeight="1" x14ac:dyDescent="0.3">
      <c r="B263" s="387" t="s">
        <v>1375</v>
      </c>
      <c r="C263" s="388">
        <v>121750</v>
      </c>
      <c r="D263" s="388" t="s">
        <v>2707</v>
      </c>
      <c r="E263" s="388" t="s">
        <v>1377</v>
      </c>
      <c r="F263" s="388" t="s">
        <v>1378</v>
      </c>
      <c r="G263" s="388" t="s">
        <v>1439</v>
      </c>
      <c r="H263" s="388" t="s">
        <v>1380</v>
      </c>
      <c r="I263" s="388" t="s">
        <v>1530</v>
      </c>
      <c r="J263" s="388" t="s">
        <v>1382</v>
      </c>
      <c r="K263" s="388" t="s">
        <v>1383</v>
      </c>
      <c r="L263" s="389">
        <v>0</v>
      </c>
      <c r="M263" s="390" t="s">
        <v>2708</v>
      </c>
      <c r="N263" s="390" t="s">
        <v>1699</v>
      </c>
      <c r="O263" s="390" t="s">
        <v>1699</v>
      </c>
      <c r="P263" s="390" t="s">
        <v>1383</v>
      </c>
      <c r="Q263" s="388" t="s">
        <v>1383</v>
      </c>
      <c r="R263" s="390">
        <v>5</v>
      </c>
      <c r="S263" s="390" t="s">
        <v>1466</v>
      </c>
      <c r="T263" s="390">
        <v>57</v>
      </c>
      <c r="U263" s="390" t="s">
        <v>1639</v>
      </c>
      <c r="V263" s="390">
        <v>2503</v>
      </c>
      <c r="W263" s="390" t="s">
        <v>2707</v>
      </c>
      <c r="X263" s="390">
        <v>50103</v>
      </c>
      <c r="Y263" s="390" t="s">
        <v>2707</v>
      </c>
      <c r="Z263" s="391" t="s">
        <v>2709</v>
      </c>
    </row>
    <row r="264" spans="2:26" ht="15.75" customHeight="1" x14ac:dyDescent="0.3">
      <c r="B264" s="387" t="s">
        <v>1375</v>
      </c>
      <c r="C264" s="388">
        <v>121756</v>
      </c>
      <c r="D264" s="388" t="s">
        <v>2710</v>
      </c>
      <c r="E264" s="388" t="s">
        <v>1377</v>
      </c>
      <c r="F264" s="388" t="s">
        <v>1378</v>
      </c>
      <c r="G264" s="388" t="s">
        <v>1379</v>
      </c>
      <c r="H264" s="388" t="s">
        <v>1380</v>
      </c>
      <c r="I264" s="388" t="s">
        <v>1530</v>
      </c>
      <c r="J264" s="388" t="s">
        <v>1382</v>
      </c>
      <c r="K264" s="388" t="s">
        <v>1383</v>
      </c>
      <c r="L264" s="389">
        <v>92</v>
      </c>
      <c r="M264" s="390" t="s">
        <v>2711</v>
      </c>
      <c r="N264" s="390" t="s">
        <v>2712</v>
      </c>
      <c r="O264" s="390" t="s">
        <v>1465</v>
      </c>
      <c r="P264" s="390" t="s">
        <v>1387</v>
      </c>
      <c r="Q264" s="388" t="s">
        <v>1383</v>
      </c>
      <c r="R264" s="390">
        <v>5</v>
      </c>
      <c r="S264" s="390" t="s">
        <v>1466</v>
      </c>
      <c r="T264" s="390">
        <v>61</v>
      </c>
      <c r="U264" s="390" t="s">
        <v>1644</v>
      </c>
      <c r="V264" s="390">
        <v>202601</v>
      </c>
      <c r="W264" s="390" t="s">
        <v>2713</v>
      </c>
      <c r="X264" s="390">
        <v>50182</v>
      </c>
      <c r="Y264" s="390" t="s">
        <v>2714</v>
      </c>
      <c r="Z264" s="391" t="s">
        <v>2715</v>
      </c>
    </row>
    <row r="265" spans="2:26" ht="15.75" customHeight="1" x14ac:dyDescent="0.3">
      <c r="B265" s="387" t="s">
        <v>1375</v>
      </c>
      <c r="C265" s="388">
        <v>121788</v>
      </c>
      <c r="D265" s="388" t="s">
        <v>2716</v>
      </c>
      <c r="E265" s="388" t="s">
        <v>1377</v>
      </c>
      <c r="F265" s="388" t="s">
        <v>1378</v>
      </c>
      <c r="G265" s="388" t="s">
        <v>1439</v>
      </c>
      <c r="H265" s="388" t="s">
        <v>1380</v>
      </c>
      <c r="I265" s="388" t="s">
        <v>2717</v>
      </c>
      <c r="J265" s="388" t="s">
        <v>1382</v>
      </c>
      <c r="K265" s="388" t="s">
        <v>1383</v>
      </c>
      <c r="L265" s="389">
        <v>0</v>
      </c>
      <c r="M265" s="390" t="s">
        <v>2718</v>
      </c>
      <c r="N265" s="390" t="s">
        <v>2384</v>
      </c>
      <c r="O265" s="392" t="s">
        <v>2259</v>
      </c>
      <c r="P265" s="390" t="s">
        <v>1383</v>
      </c>
      <c r="Q265" s="388" t="s">
        <v>1383</v>
      </c>
      <c r="R265" s="390">
        <v>8</v>
      </c>
      <c r="S265" s="390" t="s">
        <v>1483</v>
      </c>
      <c r="T265" s="390">
        <v>82</v>
      </c>
      <c r="U265" s="390" t="s">
        <v>1511</v>
      </c>
      <c r="V265" s="390">
        <v>4555</v>
      </c>
      <c r="W265" s="390" t="s">
        <v>1512</v>
      </c>
      <c r="X265" s="390">
        <v>80218</v>
      </c>
      <c r="Y265" s="390" t="s">
        <v>1513</v>
      </c>
      <c r="Z265" s="391" t="s">
        <v>2719</v>
      </c>
    </row>
    <row r="266" spans="2:26" ht="15.75" customHeight="1" x14ac:dyDescent="0.3">
      <c r="B266" s="387" t="s">
        <v>1375</v>
      </c>
      <c r="C266" s="388">
        <v>121789</v>
      </c>
      <c r="D266" s="388" t="s">
        <v>2720</v>
      </c>
      <c r="E266" s="388" t="s">
        <v>1377</v>
      </c>
      <c r="F266" s="388" t="s">
        <v>1378</v>
      </c>
      <c r="G266" s="388" t="s">
        <v>1439</v>
      </c>
      <c r="H266" s="388" t="s">
        <v>1380</v>
      </c>
      <c r="I266" s="388" t="s">
        <v>1699</v>
      </c>
      <c r="J266" s="388" t="s">
        <v>1382</v>
      </c>
      <c r="K266" s="388" t="s">
        <v>1383</v>
      </c>
      <c r="L266" s="389">
        <v>0</v>
      </c>
      <c r="M266" s="390" t="s">
        <v>2721</v>
      </c>
      <c r="N266" s="390" t="s">
        <v>1699</v>
      </c>
      <c r="O266" s="390" t="s">
        <v>1699</v>
      </c>
      <c r="P266" s="390" t="s">
        <v>1383</v>
      </c>
      <c r="Q266" s="388" t="s">
        <v>1383</v>
      </c>
      <c r="R266" s="390">
        <v>9</v>
      </c>
      <c r="S266" s="390" t="s">
        <v>1533</v>
      </c>
      <c r="T266" s="390">
        <v>75</v>
      </c>
      <c r="U266" s="390" t="s">
        <v>1533</v>
      </c>
      <c r="V266" s="390">
        <v>6403</v>
      </c>
      <c r="W266" s="390" t="s">
        <v>2722</v>
      </c>
      <c r="X266" s="390">
        <v>90174</v>
      </c>
      <c r="Y266" s="390" t="s">
        <v>2723</v>
      </c>
      <c r="Z266" s="391" t="s">
        <v>2724</v>
      </c>
    </row>
    <row r="267" spans="2:26" ht="15.75" customHeight="1" x14ac:dyDescent="0.3">
      <c r="B267" s="387" t="s">
        <v>1375</v>
      </c>
      <c r="C267" s="388">
        <v>121793</v>
      </c>
      <c r="D267" s="388" t="s">
        <v>2725</v>
      </c>
      <c r="E267" s="388" t="s">
        <v>1377</v>
      </c>
      <c r="F267" s="388" t="s">
        <v>2726</v>
      </c>
      <c r="G267" s="388" t="s">
        <v>1379</v>
      </c>
      <c r="H267" s="388" t="s">
        <v>1380</v>
      </c>
      <c r="I267" s="388" t="s">
        <v>1393</v>
      </c>
      <c r="J267" s="388" t="s">
        <v>1382</v>
      </c>
      <c r="K267" s="388" t="s">
        <v>1383</v>
      </c>
      <c r="L267" s="389">
        <v>20</v>
      </c>
      <c r="M267" s="390" t="s">
        <v>2727</v>
      </c>
      <c r="N267" s="390" t="s">
        <v>1510</v>
      </c>
      <c r="O267" s="390" t="s">
        <v>2728</v>
      </c>
      <c r="P267" s="390" t="s">
        <v>1387</v>
      </c>
      <c r="Q267" s="388" t="s">
        <v>1383</v>
      </c>
      <c r="R267" s="390">
        <v>8</v>
      </c>
      <c r="S267" s="390" t="s">
        <v>1483</v>
      </c>
      <c r="T267" s="390">
        <v>82</v>
      </c>
      <c r="U267" s="390" t="s">
        <v>1511</v>
      </c>
      <c r="V267" s="390">
        <v>4555</v>
      </c>
      <c r="W267" s="390" t="s">
        <v>1512</v>
      </c>
      <c r="X267" s="390">
        <v>80218</v>
      </c>
      <c r="Y267" s="390" t="s">
        <v>1513</v>
      </c>
      <c r="Z267" s="391" t="s">
        <v>2729</v>
      </c>
    </row>
    <row r="268" spans="2:26" ht="15.75" customHeight="1" x14ac:dyDescent="0.3">
      <c r="B268" s="387" t="s">
        <v>1375</v>
      </c>
      <c r="C268" s="388">
        <v>121797</v>
      </c>
      <c r="D268" s="388" t="s">
        <v>2730</v>
      </c>
      <c r="E268" s="388" t="s">
        <v>1377</v>
      </c>
      <c r="F268" s="388" t="s">
        <v>1378</v>
      </c>
      <c r="G268" s="388" t="s">
        <v>1379</v>
      </c>
      <c r="H268" s="388" t="s">
        <v>1380</v>
      </c>
      <c r="I268" s="388" t="s">
        <v>1530</v>
      </c>
      <c r="J268" s="388" t="s">
        <v>1382</v>
      </c>
      <c r="K268" s="388" t="s">
        <v>1383</v>
      </c>
      <c r="L268" s="389">
        <v>53</v>
      </c>
      <c r="M268" s="390" t="s">
        <v>2731</v>
      </c>
      <c r="N268" s="390" t="s">
        <v>2732</v>
      </c>
      <c r="O268" s="390" t="s">
        <v>1482</v>
      </c>
      <c r="P268" s="390" t="s">
        <v>1387</v>
      </c>
      <c r="Q268" s="388" t="s">
        <v>1383</v>
      </c>
      <c r="R268" s="390">
        <v>15</v>
      </c>
      <c r="S268" s="390" t="s">
        <v>1735</v>
      </c>
      <c r="T268" s="390">
        <v>35</v>
      </c>
      <c r="U268" s="390" t="s">
        <v>2733</v>
      </c>
      <c r="V268" s="390">
        <v>1204</v>
      </c>
      <c r="W268" s="390" t="s">
        <v>2734</v>
      </c>
      <c r="X268" s="390">
        <v>150004</v>
      </c>
      <c r="Y268" s="390" t="s">
        <v>2735</v>
      </c>
      <c r="Z268" s="391" t="s">
        <v>2736</v>
      </c>
    </row>
    <row r="269" spans="2:26" ht="15.75" customHeight="1" x14ac:dyDescent="0.3">
      <c r="B269" s="387" t="s">
        <v>1375</v>
      </c>
      <c r="C269" s="388">
        <v>121802</v>
      </c>
      <c r="D269" s="388" t="s">
        <v>2737</v>
      </c>
      <c r="E269" s="388" t="s">
        <v>1377</v>
      </c>
      <c r="F269" s="388" t="s">
        <v>2726</v>
      </c>
      <c r="G269" s="388" t="s">
        <v>1379</v>
      </c>
      <c r="H269" s="388" t="s">
        <v>1380</v>
      </c>
      <c r="I269" s="388" t="s">
        <v>1393</v>
      </c>
      <c r="J269" s="388" t="s">
        <v>1382</v>
      </c>
      <c r="K269" s="388" t="s">
        <v>1383</v>
      </c>
      <c r="L269" s="389">
        <v>40</v>
      </c>
      <c r="M269" s="390" t="s">
        <v>1595</v>
      </c>
      <c r="N269" s="390" t="s">
        <v>2738</v>
      </c>
      <c r="O269" s="390" t="s">
        <v>2739</v>
      </c>
      <c r="P269" s="390" t="s">
        <v>1387</v>
      </c>
      <c r="Q269" s="388" t="s">
        <v>1383</v>
      </c>
      <c r="R269" s="390">
        <v>10</v>
      </c>
      <c r="S269" s="390" t="s">
        <v>1552</v>
      </c>
      <c r="T269" s="390">
        <v>26</v>
      </c>
      <c r="U269" s="390" t="s">
        <v>1553</v>
      </c>
      <c r="V269" s="390">
        <v>5405</v>
      </c>
      <c r="W269" s="390" t="s">
        <v>1570</v>
      </c>
      <c r="X269" s="390">
        <v>100116</v>
      </c>
      <c r="Y269" s="390" t="s">
        <v>1570</v>
      </c>
      <c r="Z269" s="391" t="s">
        <v>1597</v>
      </c>
    </row>
    <row r="270" spans="2:26" ht="15.75" customHeight="1" x14ac:dyDescent="0.3">
      <c r="B270" s="387" t="s">
        <v>1375</v>
      </c>
      <c r="C270" s="388">
        <v>121805</v>
      </c>
      <c r="D270" s="388" t="s">
        <v>2740</v>
      </c>
      <c r="E270" s="388" t="s">
        <v>1377</v>
      </c>
      <c r="F270" s="388" t="s">
        <v>2726</v>
      </c>
      <c r="G270" s="388" t="s">
        <v>1379</v>
      </c>
      <c r="H270" s="388" t="s">
        <v>1380</v>
      </c>
      <c r="I270" s="388" t="s">
        <v>1393</v>
      </c>
      <c r="J270" s="388" t="s">
        <v>1382</v>
      </c>
      <c r="K270" s="388" t="s">
        <v>1383</v>
      </c>
      <c r="L270" s="389">
        <v>40</v>
      </c>
      <c r="M270" s="390" t="s">
        <v>1621</v>
      </c>
      <c r="N270" s="390" t="s">
        <v>1622</v>
      </c>
      <c r="O270" s="390" t="s">
        <v>2741</v>
      </c>
      <c r="P270" s="390" t="s">
        <v>1387</v>
      </c>
      <c r="Q270" s="388" t="s">
        <v>1383</v>
      </c>
      <c r="R270" s="390">
        <v>11</v>
      </c>
      <c r="S270" s="390" t="s">
        <v>1608</v>
      </c>
      <c r="T270" s="390">
        <v>28</v>
      </c>
      <c r="U270" s="390" t="s">
        <v>1609</v>
      </c>
      <c r="V270" s="390">
        <v>9263</v>
      </c>
      <c r="W270" s="390" t="s">
        <v>1623</v>
      </c>
      <c r="X270" s="390">
        <v>110724</v>
      </c>
      <c r="Y270" s="390" t="s">
        <v>1624</v>
      </c>
      <c r="Z270" s="391" t="s">
        <v>1625</v>
      </c>
    </row>
    <row r="271" spans="2:26" ht="15.75" customHeight="1" x14ac:dyDescent="0.3">
      <c r="B271" s="387" t="s">
        <v>1375</v>
      </c>
      <c r="C271" s="388">
        <v>121812</v>
      </c>
      <c r="D271" s="388" t="s">
        <v>2742</v>
      </c>
      <c r="E271" s="388" t="s">
        <v>1377</v>
      </c>
      <c r="F271" s="388" t="s">
        <v>1378</v>
      </c>
      <c r="G271" s="388" t="s">
        <v>1379</v>
      </c>
      <c r="H271" s="388" t="s">
        <v>1380</v>
      </c>
      <c r="I271" s="388" t="s">
        <v>1393</v>
      </c>
      <c r="J271" s="388" t="s">
        <v>1382</v>
      </c>
      <c r="K271" s="388" t="s">
        <v>1383</v>
      </c>
      <c r="L271" s="389">
        <v>66</v>
      </c>
      <c r="M271" s="390" t="s">
        <v>2184</v>
      </c>
      <c r="N271" s="390" t="s">
        <v>2743</v>
      </c>
      <c r="O271" s="390" t="s">
        <v>1386</v>
      </c>
      <c r="P271" s="390" t="s">
        <v>1387</v>
      </c>
      <c r="Q271" s="388" t="s">
        <v>1383</v>
      </c>
      <c r="R271" s="390">
        <v>4</v>
      </c>
      <c r="S271" s="390" t="s">
        <v>1451</v>
      </c>
      <c r="T271" s="390">
        <v>50</v>
      </c>
      <c r="U271" s="390" t="s">
        <v>1458</v>
      </c>
      <c r="V271" s="390">
        <v>1355</v>
      </c>
      <c r="W271" s="390" t="s">
        <v>2186</v>
      </c>
      <c r="X271" s="390">
        <v>40091</v>
      </c>
      <c r="Y271" s="390" t="s">
        <v>2187</v>
      </c>
      <c r="Z271" s="391" t="s">
        <v>2188</v>
      </c>
    </row>
    <row r="272" spans="2:26" ht="15.75" customHeight="1" x14ac:dyDescent="0.3">
      <c r="B272" s="387" t="s">
        <v>1375</v>
      </c>
      <c r="C272" s="388">
        <v>121816</v>
      </c>
      <c r="D272" s="388" t="s">
        <v>2744</v>
      </c>
      <c r="E272" s="388" t="s">
        <v>1377</v>
      </c>
      <c r="F272" s="388" t="s">
        <v>2293</v>
      </c>
      <c r="G272" s="388" t="s">
        <v>1379</v>
      </c>
      <c r="H272" s="388" t="s">
        <v>1380</v>
      </c>
      <c r="I272" s="388" t="s">
        <v>1393</v>
      </c>
      <c r="J272" s="388" t="s">
        <v>1382</v>
      </c>
      <c r="K272" s="388" t="s">
        <v>1383</v>
      </c>
      <c r="L272" s="389">
        <v>83</v>
      </c>
      <c r="M272" s="390" t="s">
        <v>2745</v>
      </c>
      <c r="N272" s="390" t="s">
        <v>2746</v>
      </c>
      <c r="O272" s="390" t="s">
        <v>1386</v>
      </c>
      <c r="P272" s="390" t="s">
        <v>1387</v>
      </c>
      <c r="Q272" s="388" t="s">
        <v>2747</v>
      </c>
      <c r="R272" s="390">
        <v>19</v>
      </c>
      <c r="S272" s="390" t="s">
        <v>1841</v>
      </c>
      <c r="T272" s="390">
        <v>68</v>
      </c>
      <c r="U272" s="390" t="s">
        <v>1901</v>
      </c>
      <c r="V272" s="390">
        <v>2456</v>
      </c>
      <c r="W272" s="390" t="s">
        <v>1902</v>
      </c>
      <c r="X272" s="390">
        <v>190280</v>
      </c>
      <c r="Y272" s="390" t="s">
        <v>2748</v>
      </c>
      <c r="Z272" s="391" t="s">
        <v>2749</v>
      </c>
    </row>
    <row r="273" spans="2:26" ht="15.75" customHeight="1" x14ac:dyDescent="0.3">
      <c r="B273" s="387" t="s">
        <v>1375</v>
      </c>
      <c r="C273" s="388">
        <v>121817</v>
      </c>
      <c r="D273" s="388" t="s">
        <v>2750</v>
      </c>
      <c r="E273" s="388" t="s">
        <v>1377</v>
      </c>
      <c r="F273" s="388" t="s">
        <v>2726</v>
      </c>
      <c r="G273" s="388" t="s">
        <v>1379</v>
      </c>
      <c r="H273" s="388" t="s">
        <v>1380</v>
      </c>
      <c r="I273" s="388" t="s">
        <v>1393</v>
      </c>
      <c r="J273" s="388" t="s">
        <v>1382</v>
      </c>
      <c r="K273" s="388" t="s">
        <v>1383</v>
      </c>
      <c r="L273" s="389">
        <v>20</v>
      </c>
      <c r="M273" s="390" t="s">
        <v>2555</v>
      </c>
      <c r="N273" s="390" t="s">
        <v>2154</v>
      </c>
      <c r="O273" s="390" t="s">
        <v>2751</v>
      </c>
      <c r="P273" s="390" t="s">
        <v>1387</v>
      </c>
      <c r="Q273" s="388" t="s">
        <v>1383</v>
      </c>
      <c r="R273" s="390">
        <v>4</v>
      </c>
      <c r="S273" s="390" t="s">
        <v>1451</v>
      </c>
      <c r="T273" s="390">
        <v>34</v>
      </c>
      <c r="U273" s="390" t="s">
        <v>1452</v>
      </c>
      <c r="V273" s="390">
        <v>1303</v>
      </c>
      <c r="W273" s="390" t="s">
        <v>2557</v>
      </c>
      <c r="X273" s="390">
        <v>40040</v>
      </c>
      <c r="Y273" s="390" t="s">
        <v>2558</v>
      </c>
      <c r="Z273" s="391" t="s">
        <v>2559</v>
      </c>
    </row>
    <row r="274" spans="2:26" ht="15.75" customHeight="1" x14ac:dyDescent="0.3">
      <c r="B274" s="387" t="s">
        <v>1375</v>
      </c>
      <c r="C274" s="388">
        <v>121821</v>
      </c>
      <c r="D274" s="388" t="s">
        <v>2752</v>
      </c>
      <c r="E274" s="388" t="s">
        <v>1377</v>
      </c>
      <c r="F274" s="388" t="s">
        <v>2726</v>
      </c>
      <c r="G274" s="388" t="s">
        <v>1379</v>
      </c>
      <c r="H274" s="388" t="s">
        <v>1380</v>
      </c>
      <c r="I274" s="388" t="s">
        <v>1393</v>
      </c>
      <c r="J274" s="388" t="s">
        <v>1382</v>
      </c>
      <c r="K274" s="388" t="s">
        <v>1383</v>
      </c>
      <c r="L274" s="389">
        <v>20</v>
      </c>
      <c r="M274" s="390" t="s">
        <v>1822</v>
      </c>
      <c r="N274" s="390" t="s">
        <v>2753</v>
      </c>
      <c r="O274" s="390" t="s">
        <v>1465</v>
      </c>
      <c r="P274" s="390" t="s">
        <v>1387</v>
      </c>
      <c r="Q274" s="388" t="s">
        <v>1383</v>
      </c>
      <c r="R274" s="390">
        <v>18</v>
      </c>
      <c r="S274" s="390" t="s">
        <v>1790</v>
      </c>
      <c r="T274" s="390">
        <v>53</v>
      </c>
      <c r="U274" s="390" t="s">
        <v>1823</v>
      </c>
      <c r="V274" s="390">
        <v>1411</v>
      </c>
      <c r="W274" s="390" t="s">
        <v>1824</v>
      </c>
      <c r="X274" s="390">
        <v>180174</v>
      </c>
      <c r="Y274" s="390" t="s">
        <v>1825</v>
      </c>
      <c r="Z274" s="391" t="s">
        <v>1826</v>
      </c>
    </row>
    <row r="275" spans="2:26" ht="15.75" customHeight="1" x14ac:dyDescent="0.3">
      <c r="B275" s="387" t="s">
        <v>1375</v>
      </c>
      <c r="C275" s="388">
        <v>121823</v>
      </c>
      <c r="D275" s="388" t="s">
        <v>2754</v>
      </c>
      <c r="E275" s="388" t="s">
        <v>1377</v>
      </c>
      <c r="F275" s="388" t="s">
        <v>2726</v>
      </c>
      <c r="G275" s="388" t="s">
        <v>1379</v>
      </c>
      <c r="H275" s="388" t="s">
        <v>1380</v>
      </c>
      <c r="I275" s="388" t="s">
        <v>1381</v>
      </c>
      <c r="J275" s="388" t="s">
        <v>1382</v>
      </c>
      <c r="K275" s="388" t="s">
        <v>1383</v>
      </c>
      <c r="L275" s="389">
        <v>20</v>
      </c>
      <c r="M275" s="390" t="s">
        <v>1411</v>
      </c>
      <c r="N275" s="390" t="s">
        <v>1412</v>
      </c>
      <c r="O275" s="390" t="s">
        <v>2755</v>
      </c>
      <c r="P275" s="390" t="s">
        <v>1387</v>
      </c>
      <c r="Q275" s="388" t="s">
        <v>1383</v>
      </c>
      <c r="R275" s="390">
        <v>2</v>
      </c>
      <c r="S275" s="390" t="s">
        <v>1406</v>
      </c>
      <c r="T275" s="390">
        <v>89</v>
      </c>
      <c r="U275" s="390" t="s">
        <v>1413</v>
      </c>
      <c r="V275" s="390">
        <v>208125</v>
      </c>
      <c r="W275" s="390" t="s">
        <v>1414</v>
      </c>
      <c r="X275" s="390">
        <v>20095</v>
      </c>
      <c r="Y275" s="390" t="s">
        <v>1415</v>
      </c>
      <c r="Z275" s="391" t="s">
        <v>2547</v>
      </c>
    </row>
    <row r="276" spans="2:26" ht="15.75" customHeight="1" x14ac:dyDescent="0.3">
      <c r="B276" s="387" t="s">
        <v>1375</v>
      </c>
      <c r="C276" s="388">
        <v>121826</v>
      </c>
      <c r="D276" s="388" t="s">
        <v>2756</v>
      </c>
      <c r="E276" s="388" t="s">
        <v>1377</v>
      </c>
      <c r="F276" s="388" t="s">
        <v>2726</v>
      </c>
      <c r="G276" s="388" t="s">
        <v>1379</v>
      </c>
      <c r="H276" s="388" t="s">
        <v>1380</v>
      </c>
      <c r="I276" s="388" t="s">
        <v>1393</v>
      </c>
      <c r="J276" s="388" t="s">
        <v>1382</v>
      </c>
      <c r="K276" s="388" t="s">
        <v>1383</v>
      </c>
      <c r="L276" s="389">
        <v>40</v>
      </c>
      <c r="M276" s="390" t="s">
        <v>2757</v>
      </c>
      <c r="N276" s="390" t="s">
        <v>1852</v>
      </c>
      <c r="O276" s="390" t="s">
        <v>2755</v>
      </c>
      <c r="P276" s="390" t="s">
        <v>1387</v>
      </c>
      <c r="Q276" s="388" t="s">
        <v>1383</v>
      </c>
      <c r="R276" s="390">
        <v>19</v>
      </c>
      <c r="S276" s="390" t="s">
        <v>1841</v>
      </c>
      <c r="T276" s="390">
        <v>69</v>
      </c>
      <c r="U276" s="390" t="s">
        <v>1853</v>
      </c>
      <c r="V276" s="390">
        <v>2418</v>
      </c>
      <c r="W276" s="390" t="s">
        <v>1850</v>
      </c>
      <c r="X276" s="390">
        <v>190098</v>
      </c>
      <c r="Y276" s="390" t="s">
        <v>1850</v>
      </c>
      <c r="Z276" s="391" t="s">
        <v>1854</v>
      </c>
    </row>
    <row r="277" spans="2:26" ht="15.75" customHeight="1" x14ac:dyDescent="0.3">
      <c r="B277" s="387" t="s">
        <v>1375</v>
      </c>
      <c r="C277" s="388">
        <v>121833</v>
      </c>
      <c r="D277" s="388" t="s">
        <v>2758</v>
      </c>
      <c r="E277" s="388" t="s">
        <v>1377</v>
      </c>
      <c r="F277" s="388" t="s">
        <v>2726</v>
      </c>
      <c r="G277" s="388" t="s">
        <v>1379</v>
      </c>
      <c r="H277" s="388" t="s">
        <v>1380</v>
      </c>
      <c r="I277" s="388" t="s">
        <v>1393</v>
      </c>
      <c r="J277" s="388" t="s">
        <v>1382</v>
      </c>
      <c r="K277" s="388" t="s">
        <v>1383</v>
      </c>
      <c r="L277" s="389">
        <v>20</v>
      </c>
      <c r="M277" s="390" t="s">
        <v>2379</v>
      </c>
      <c r="N277" s="390" t="s">
        <v>2380</v>
      </c>
      <c r="O277" s="390" t="s">
        <v>2741</v>
      </c>
      <c r="P277" s="390" t="s">
        <v>1387</v>
      </c>
      <c r="Q277" s="388" t="s">
        <v>1383</v>
      </c>
      <c r="R277" s="390">
        <v>11</v>
      </c>
      <c r="S277" s="390" t="s">
        <v>1608</v>
      </c>
      <c r="T277" s="390">
        <v>28</v>
      </c>
      <c r="U277" s="390" t="s">
        <v>1609</v>
      </c>
      <c r="V277" s="390">
        <v>9223</v>
      </c>
      <c r="W277" s="390" t="s">
        <v>1610</v>
      </c>
      <c r="X277" s="390">
        <v>110830</v>
      </c>
      <c r="Y277" s="390" t="s">
        <v>2381</v>
      </c>
      <c r="Z277" s="391" t="s">
        <v>2382</v>
      </c>
    </row>
    <row r="278" spans="2:26" ht="15.75" customHeight="1" x14ac:dyDescent="0.3">
      <c r="B278" s="387" t="s">
        <v>1375</v>
      </c>
      <c r="C278" s="388">
        <v>121854</v>
      </c>
      <c r="D278" s="388" t="s">
        <v>2759</v>
      </c>
      <c r="E278" s="388" t="s">
        <v>1377</v>
      </c>
      <c r="F278" s="388" t="s">
        <v>1378</v>
      </c>
      <c r="G278" s="388" t="s">
        <v>1379</v>
      </c>
      <c r="H278" s="388" t="s">
        <v>1471</v>
      </c>
      <c r="I278" s="388" t="s">
        <v>1861</v>
      </c>
      <c r="J278" s="388" t="s">
        <v>1382</v>
      </c>
      <c r="K278" s="388" t="s">
        <v>1383</v>
      </c>
      <c r="L278" s="389">
        <v>121</v>
      </c>
      <c r="M278" s="390" t="s">
        <v>2760</v>
      </c>
      <c r="N278" s="390" t="s">
        <v>2761</v>
      </c>
      <c r="O278" s="390" t="s">
        <v>1386</v>
      </c>
      <c r="P278" s="390" t="s">
        <v>1387</v>
      </c>
      <c r="Q278" s="388" t="s">
        <v>1383</v>
      </c>
      <c r="R278" s="390">
        <v>19</v>
      </c>
      <c r="S278" s="390" t="s">
        <v>1841</v>
      </c>
      <c r="T278" s="390">
        <v>69</v>
      </c>
      <c r="U278" s="390" t="s">
        <v>1853</v>
      </c>
      <c r="V278" s="390">
        <v>2424</v>
      </c>
      <c r="W278" s="390" t="s">
        <v>2762</v>
      </c>
      <c r="X278" s="390">
        <v>190152</v>
      </c>
      <c r="Y278" s="390" t="s">
        <v>2763</v>
      </c>
      <c r="Z278" s="391" t="s">
        <v>2764</v>
      </c>
    </row>
    <row r="279" spans="2:26" ht="15.75" customHeight="1" x14ac:dyDescent="0.3">
      <c r="B279" s="387" t="s">
        <v>1375</v>
      </c>
      <c r="C279" s="388">
        <v>121857</v>
      </c>
      <c r="D279" s="388" t="s">
        <v>2765</v>
      </c>
      <c r="E279" s="388" t="s">
        <v>1377</v>
      </c>
      <c r="F279" s="388" t="s">
        <v>1378</v>
      </c>
      <c r="G279" s="388" t="s">
        <v>1845</v>
      </c>
      <c r="H279" s="388" t="s">
        <v>1380</v>
      </c>
      <c r="I279" s="388" t="s">
        <v>1530</v>
      </c>
      <c r="J279" s="388" t="s">
        <v>1382</v>
      </c>
      <c r="K279" s="388" t="s">
        <v>1383</v>
      </c>
      <c r="L279" s="389">
        <v>34</v>
      </c>
      <c r="M279" s="390" t="s">
        <v>2766</v>
      </c>
      <c r="N279" s="390" t="s">
        <v>2095</v>
      </c>
      <c r="O279" s="390" t="s">
        <v>1386</v>
      </c>
      <c r="P279" s="390" t="s">
        <v>1387</v>
      </c>
      <c r="Q279" s="388" t="s">
        <v>1383</v>
      </c>
      <c r="R279" s="390">
        <v>4</v>
      </c>
      <c r="S279" s="390" t="s">
        <v>1451</v>
      </c>
      <c r="T279" s="390">
        <v>33</v>
      </c>
      <c r="U279" s="390" t="s">
        <v>1475</v>
      </c>
      <c r="V279" s="390">
        <v>1210</v>
      </c>
      <c r="W279" s="390" t="s">
        <v>2767</v>
      </c>
      <c r="X279" s="390">
        <v>40144</v>
      </c>
      <c r="Y279" s="390" t="s">
        <v>2768</v>
      </c>
      <c r="Z279" s="391" t="s">
        <v>2769</v>
      </c>
    </row>
    <row r="280" spans="2:26" ht="15.75" customHeight="1" x14ac:dyDescent="0.3">
      <c r="B280" s="387" t="s">
        <v>1375</v>
      </c>
      <c r="C280" s="388">
        <v>121859</v>
      </c>
      <c r="D280" s="388" t="s">
        <v>2770</v>
      </c>
      <c r="E280" s="388" t="s">
        <v>1377</v>
      </c>
      <c r="F280" s="388" t="s">
        <v>1378</v>
      </c>
      <c r="G280" s="388" t="s">
        <v>1379</v>
      </c>
      <c r="H280" s="388" t="s">
        <v>1380</v>
      </c>
      <c r="I280" s="388" t="s">
        <v>1393</v>
      </c>
      <c r="J280" s="388" t="s">
        <v>1382</v>
      </c>
      <c r="K280" s="388" t="s">
        <v>1383</v>
      </c>
      <c r="L280" s="389">
        <v>124</v>
      </c>
      <c r="M280" s="390" t="s">
        <v>2368</v>
      </c>
      <c r="N280" s="390" t="s">
        <v>2771</v>
      </c>
      <c r="O280" s="390" t="s">
        <v>1465</v>
      </c>
      <c r="P280" s="390" t="s">
        <v>1387</v>
      </c>
      <c r="Q280" s="388" t="s">
        <v>1383</v>
      </c>
      <c r="R280" s="390">
        <v>11</v>
      </c>
      <c r="S280" s="390" t="s">
        <v>1608</v>
      </c>
      <c r="T280" s="390">
        <v>71</v>
      </c>
      <c r="U280" s="390" t="s">
        <v>1938</v>
      </c>
      <c r="V280" s="390">
        <v>9251</v>
      </c>
      <c r="W280" s="390" t="s">
        <v>2370</v>
      </c>
      <c r="X280" s="390">
        <v>110531</v>
      </c>
      <c r="Y280" s="390" t="s">
        <v>2371</v>
      </c>
      <c r="Z280" s="391" t="s">
        <v>2372</v>
      </c>
    </row>
    <row r="281" spans="2:26" ht="15.75" customHeight="1" x14ac:dyDescent="0.3">
      <c r="B281" s="387" t="s">
        <v>1375</v>
      </c>
      <c r="C281" s="388">
        <v>121860</v>
      </c>
      <c r="D281" s="388" t="s">
        <v>2772</v>
      </c>
      <c r="E281" s="388" t="s">
        <v>1377</v>
      </c>
      <c r="F281" s="388" t="s">
        <v>1378</v>
      </c>
      <c r="G281" s="388" t="s">
        <v>1379</v>
      </c>
      <c r="H281" s="388" t="s">
        <v>1471</v>
      </c>
      <c r="I281" s="388" t="s">
        <v>1393</v>
      </c>
      <c r="J281" s="388" t="s">
        <v>1382</v>
      </c>
      <c r="K281" s="388" t="s">
        <v>1383</v>
      </c>
      <c r="L281" s="389">
        <v>753</v>
      </c>
      <c r="M281" s="390" t="s">
        <v>2773</v>
      </c>
      <c r="N281" s="390" t="s">
        <v>2774</v>
      </c>
      <c r="O281" s="390" t="s">
        <v>1474</v>
      </c>
      <c r="P281" s="390" t="s">
        <v>1387</v>
      </c>
      <c r="Q281" s="388" t="s">
        <v>1383</v>
      </c>
      <c r="R281" s="390">
        <v>7</v>
      </c>
      <c r="S281" s="390" t="s">
        <v>1687</v>
      </c>
      <c r="T281" s="390">
        <v>87</v>
      </c>
      <c r="U281" s="390" t="s">
        <v>2025</v>
      </c>
      <c r="V281" s="390">
        <v>4638</v>
      </c>
      <c r="W281" s="390" t="s">
        <v>2775</v>
      </c>
      <c r="X281" s="390">
        <v>70274</v>
      </c>
      <c r="Y281" s="390" t="s">
        <v>2776</v>
      </c>
      <c r="Z281" s="391" t="s">
        <v>2777</v>
      </c>
    </row>
    <row r="282" spans="2:26" ht="15.75" customHeight="1" x14ac:dyDescent="0.3">
      <c r="B282" s="387" t="s">
        <v>1375</v>
      </c>
      <c r="C282" s="388">
        <v>121869</v>
      </c>
      <c r="D282" s="388" t="s">
        <v>2778</v>
      </c>
      <c r="E282" s="388" t="s">
        <v>1377</v>
      </c>
      <c r="F282" s="388" t="s">
        <v>1378</v>
      </c>
      <c r="G282" s="388" t="s">
        <v>1439</v>
      </c>
      <c r="H282" s="388" t="s">
        <v>1380</v>
      </c>
      <c r="I282" s="388" t="s">
        <v>2779</v>
      </c>
      <c r="J282" s="388" t="s">
        <v>1382</v>
      </c>
      <c r="K282" s="388" t="s">
        <v>1383</v>
      </c>
      <c r="L282" s="389">
        <v>0</v>
      </c>
      <c r="M282" s="390" t="s">
        <v>2780</v>
      </c>
      <c r="N282" s="390" t="s">
        <v>1699</v>
      </c>
      <c r="O282" s="390" t="s">
        <v>1699</v>
      </c>
      <c r="P282" s="390" t="s">
        <v>1383</v>
      </c>
      <c r="Q282" s="388" t="s">
        <v>1383</v>
      </c>
      <c r="R282" s="390">
        <v>18</v>
      </c>
      <c r="S282" s="390" t="s">
        <v>1790</v>
      </c>
      <c r="T282" s="390">
        <v>55</v>
      </c>
      <c r="U282" s="390" t="s">
        <v>1980</v>
      </c>
      <c r="V282" s="390">
        <v>1416</v>
      </c>
      <c r="W282" s="390" t="s">
        <v>2418</v>
      </c>
      <c r="X282" s="390">
        <v>180151</v>
      </c>
      <c r="Y282" s="390" t="s">
        <v>2781</v>
      </c>
      <c r="Z282" s="391" t="s">
        <v>2782</v>
      </c>
    </row>
    <row r="283" spans="2:26" ht="15.75" customHeight="1" x14ac:dyDescent="0.3">
      <c r="B283" s="387" t="s">
        <v>1375</v>
      </c>
      <c r="C283" s="388">
        <v>121872</v>
      </c>
      <c r="D283" s="388" t="s">
        <v>2783</v>
      </c>
      <c r="E283" s="388" t="s">
        <v>1377</v>
      </c>
      <c r="F283" s="388" t="s">
        <v>1378</v>
      </c>
      <c r="G283" s="388" t="s">
        <v>1379</v>
      </c>
      <c r="H283" s="388" t="s">
        <v>1380</v>
      </c>
      <c r="I283" s="388" t="s">
        <v>1393</v>
      </c>
      <c r="J283" s="388" t="s">
        <v>1382</v>
      </c>
      <c r="K283" s="388" t="s">
        <v>1383</v>
      </c>
      <c r="L283" s="389">
        <v>101</v>
      </c>
      <c r="M283" s="390" t="s">
        <v>2784</v>
      </c>
      <c r="N283" s="390" t="s">
        <v>2785</v>
      </c>
      <c r="O283" s="390" t="s">
        <v>1474</v>
      </c>
      <c r="P283" s="390" t="s">
        <v>1387</v>
      </c>
      <c r="Q283" s="388" t="s">
        <v>1383</v>
      </c>
      <c r="R283" s="390">
        <v>7</v>
      </c>
      <c r="S283" s="390" t="s">
        <v>1687</v>
      </c>
      <c r="T283" s="390">
        <v>86</v>
      </c>
      <c r="U283" s="390" t="s">
        <v>1927</v>
      </c>
      <c r="V283" s="390">
        <v>4630</v>
      </c>
      <c r="W283" s="390" t="s">
        <v>2043</v>
      </c>
      <c r="X283" s="390">
        <v>70080</v>
      </c>
      <c r="Y283" s="390" t="s">
        <v>2786</v>
      </c>
      <c r="Z283" s="391" t="s">
        <v>2787</v>
      </c>
    </row>
    <row r="284" spans="2:26" ht="15.75" customHeight="1" x14ac:dyDescent="0.3">
      <c r="B284" s="387" t="s">
        <v>1375</v>
      </c>
      <c r="C284" s="388">
        <v>121873</v>
      </c>
      <c r="D284" s="388" t="s">
        <v>2788</v>
      </c>
      <c r="E284" s="388" t="s">
        <v>1377</v>
      </c>
      <c r="F284" s="388" t="s">
        <v>1378</v>
      </c>
      <c r="G284" s="388" t="s">
        <v>1379</v>
      </c>
      <c r="H284" s="388" t="s">
        <v>1380</v>
      </c>
      <c r="I284" s="388" t="s">
        <v>1530</v>
      </c>
      <c r="J284" s="388" t="s">
        <v>1382</v>
      </c>
      <c r="K284" s="388" t="s">
        <v>1383</v>
      </c>
      <c r="L284" s="389">
        <v>106</v>
      </c>
      <c r="M284" s="390" t="s">
        <v>2789</v>
      </c>
      <c r="N284" s="390" t="s">
        <v>2790</v>
      </c>
      <c r="O284" s="390" t="s">
        <v>1386</v>
      </c>
      <c r="P284" s="390" t="s">
        <v>1387</v>
      </c>
      <c r="Q284" s="388" t="s">
        <v>1383</v>
      </c>
      <c r="R284" s="390">
        <v>14</v>
      </c>
      <c r="S284" s="390" t="s">
        <v>1718</v>
      </c>
      <c r="T284" s="390">
        <v>102</v>
      </c>
      <c r="U284" s="390" t="s">
        <v>1719</v>
      </c>
      <c r="V284" s="390">
        <v>4104</v>
      </c>
      <c r="W284" s="390" t="s">
        <v>2791</v>
      </c>
      <c r="X284" s="390">
        <v>140008</v>
      </c>
      <c r="Y284" s="390" t="s">
        <v>2791</v>
      </c>
      <c r="Z284" s="391" t="s">
        <v>2792</v>
      </c>
    </row>
    <row r="285" spans="2:26" ht="15.75" customHeight="1" x14ac:dyDescent="0.3">
      <c r="B285" s="387" t="s">
        <v>1375</v>
      </c>
      <c r="C285" s="388">
        <v>121875</v>
      </c>
      <c r="D285" s="388" t="s">
        <v>2793</v>
      </c>
      <c r="E285" s="388" t="s">
        <v>1377</v>
      </c>
      <c r="F285" s="388" t="s">
        <v>2726</v>
      </c>
      <c r="G285" s="388" t="s">
        <v>1379</v>
      </c>
      <c r="H285" s="388" t="s">
        <v>1380</v>
      </c>
      <c r="I285" s="388" t="s">
        <v>1393</v>
      </c>
      <c r="J285" s="388" t="s">
        <v>1382</v>
      </c>
      <c r="K285" s="388" t="s">
        <v>1383</v>
      </c>
      <c r="L285" s="389">
        <v>20</v>
      </c>
      <c r="M285" s="390" t="s">
        <v>2794</v>
      </c>
      <c r="N285" s="390" t="s">
        <v>2795</v>
      </c>
      <c r="O285" s="390" t="s">
        <v>2755</v>
      </c>
      <c r="P285" s="390" t="s">
        <v>1387</v>
      </c>
      <c r="Q285" s="388" t="s">
        <v>1383</v>
      </c>
      <c r="R285" s="390">
        <v>19</v>
      </c>
      <c r="S285" s="390" t="s">
        <v>1841</v>
      </c>
      <c r="T285" s="390">
        <v>69</v>
      </c>
      <c r="U285" s="390" t="s">
        <v>1853</v>
      </c>
      <c r="V285" s="390">
        <v>2438</v>
      </c>
      <c r="W285" s="390" t="s">
        <v>2113</v>
      </c>
      <c r="X285" s="390">
        <v>190233</v>
      </c>
      <c r="Y285" s="390" t="s">
        <v>2113</v>
      </c>
      <c r="Z285" s="391" t="s">
        <v>2796</v>
      </c>
    </row>
    <row r="286" spans="2:26" ht="15.75" customHeight="1" x14ac:dyDescent="0.3">
      <c r="B286" s="387" t="s">
        <v>1375</v>
      </c>
      <c r="C286" s="388">
        <v>121876</v>
      </c>
      <c r="D286" s="388" t="s">
        <v>2797</v>
      </c>
      <c r="E286" s="388" t="s">
        <v>1377</v>
      </c>
      <c r="F286" s="388" t="s">
        <v>1378</v>
      </c>
      <c r="G286" s="388" t="s">
        <v>1379</v>
      </c>
      <c r="H286" s="388" t="s">
        <v>1380</v>
      </c>
      <c r="I286" s="388" t="s">
        <v>1530</v>
      </c>
      <c r="J286" s="388" t="s">
        <v>1382</v>
      </c>
      <c r="K286" s="388" t="s">
        <v>1383</v>
      </c>
      <c r="L286" s="389">
        <v>126</v>
      </c>
      <c r="M286" s="390" t="s">
        <v>2798</v>
      </c>
      <c r="N286" s="390" t="s">
        <v>2799</v>
      </c>
      <c r="O286" s="390" t="s">
        <v>1386</v>
      </c>
      <c r="P286" s="390" t="s">
        <v>1387</v>
      </c>
      <c r="Q286" s="388" t="s">
        <v>1383</v>
      </c>
      <c r="R286" s="390">
        <v>1</v>
      </c>
      <c r="S286" s="390" t="s">
        <v>1388</v>
      </c>
      <c r="T286" s="390">
        <v>9</v>
      </c>
      <c r="U286" s="390" t="s">
        <v>1392</v>
      </c>
      <c r="V286" s="390">
        <v>8533</v>
      </c>
      <c r="W286" s="390" t="s">
        <v>2800</v>
      </c>
      <c r="X286" s="390">
        <v>10098</v>
      </c>
      <c r="Y286" s="390" t="s">
        <v>2801</v>
      </c>
      <c r="Z286" s="391" t="s">
        <v>2802</v>
      </c>
    </row>
    <row r="287" spans="2:26" ht="15.75" customHeight="1" x14ac:dyDescent="0.3">
      <c r="B287" s="387" t="s">
        <v>1375</v>
      </c>
      <c r="C287" s="388">
        <v>121877</v>
      </c>
      <c r="D287" s="388" t="s">
        <v>2803</v>
      </c>
      <c r="E287" s="388" t="s">
        <v>1377</v>
      </c>
      <c r="F287" s="388" t="s">
        <v>1378</v>
      </c>
      <c r="G287" s="388" t="s">
        <v>1379</v>
      </c>
      <c r="H287" s="388" t="s">
        <v>1380</v>
      </c>
      <c r="I287" s="388" t="s">
        <v>1530</v>
      </c>
      <c r="J287" s="388" t="s">
        <v>1382</v>
      </c>
      <c r="K287" s="388" t="s">
        <v>1383</v>
      </c>
      <c r="L287" s="389">
        <v>117</v>
      </c>
      <c r="M287" s="390" t="s">
        <v>2804</v>
      </c>
      <c r="N287" s="390" t="s">
        <v>2805</v>
      </c>
      <c r="O287" s="390" t="s">
        <v>1386</v>
      </c>
      <c r="P287" s="390" t="s">
        <v>1387</v>
      </c>
      <c r="Q287" s="388" t="s">
        <v>1383</v>
      </c>
      <c r="R287" s="390">
        <v>1</v>
      </c>
      <c r="S287" s="390" t="s">
        <v>1388</v>
      </c>
      <c r="T287" s="390">
        <v>12</v>
      </c>
      <c r="U287" s="390" t="s">
        <v>2018</v>
      </c>
      <c r="V287" s="390">
        <v>8519</v>
      </c>
      <c r="W287" s="390" t="s">
        <v>2019</v>
      </c>
      <c r="X287" s="390">
        <v>10252</v>
      </c>
      <c r="Y287" s="390" t="s">
        <v>2806</v>
      </c>
      <c r="Z287" s="391" t="s">
        <v>2807</v>
      </c>
    </row>
    <row r="288" spans="2:26" ht="15.75" customHeight="1" x14ac:dyDescent="0.3">
      <c r="B288" s="387" t="s">
        <v>1375</v>
      </c>
      <c r="C288" s="388">
        <v>121878</v>
      </c>
      <c r="D288" s="388" t="s">
        <v>2808</v>
      </c>
      <c r="E288" s="388" t="s">
        <v>1377</v>
      </c>
      <c r="F288" s="388" t="s">
        <v>1378</v>
      </c>
      <c r="G288" s="388" t="s">
        <v>1379</v>
      </c>
      <c r="H288" s="388" t="s">
        <v>1380</v>
      </c>
      <c r="I288" s="388" t="s">
        <v>1393</v>
      </c>
      <c r="J288" s="388" t="s">
        <v>1382</v>
      </c>
      <c r="K288" s="388" t="s">
        <v>1383</v>
      </c>
      <c r="L288" s="389">
        <v>187</v>
      </c>
      <c r="M288" s="390" t="s">
        <v>2809</v>
      </c>
      <c r="N288" s="390" t="s">
        <v>2810</v>
      </c>
      <c r="O288" s="390" t="s">
        <v>1386</v>
      </c>
      <c r="P288" s="390" t="s">
        <v>1387</v>
      </c>
      <c r="Q288" s="388" t="s">
        <v>1383</v>
      </c>
      <c r="R288" s="390">
        <v>1</v>
      </c>
      <c r="S288" s="390" t="s">
        <v>1388</v>
      </c>
      <c r="T288" s="390">
        <v>12</v>
      </c>
      <c r="U288" s="390" t="s">
        <v>2018</v>
      </c>
      <c r="V288" s="390">
        <v>8502</v>
      </c>
      <c r="W288" s="390" t="s">
        <v>2811</v>
      </c>
      <c r="X288" s="390">
        <v>10010</v>
      </c>
      <c r="Y288" s="390" t="s">
        <v>2808</v>
      </c>
      <c r="Z288" s="391" t="s">
        <v>2812</v>
      </c>
    </row>
    <row r="289" spans="2:26" ht="15.75" customHeight="1" x14ac:dyDescent="0.3">
      <c r="B289" s="387" t="s">
        <v>1375</v>
      </c>
      <c r="C289" s="388">
        <v>121879</v>
      </c>
      <c r="D289" s="388" t="s">
        <v>2813</v>
      </c>
      <c r="E289" s="388" t="s">
        <v>1377</v>
      </c>
      <c r="F289" s="388" t="s">
        <v>1378</v>
      </c>
      <c r="G289" s="388" t="s">
        <v>1379</v>
      </c>
      <c r="H289" s="388" t="s">
        <v>1380</v>
      </c>
      <c r="I289" s="388" t="s">
        <v>1393</v>
      </c>
      <c r="J289" s="388" t="s">
        <v>1382</v>
      </c>
      <c r="K289" s="388" t="s">
        <v>1383</v>
      </c>
      <c r="L289" s="389">
        <v>70</v>
      </c>
      <c r="M289" s="390" t="s">
        <v>2814</v>
      </c>
      <c r="N289" s="390" t="s">
        <v>1803</v>
      </c>
      <c r="O289" s="390" t="s">
        <v>1465</v>
      </c>
      <c r="P289" s="390" t="s">
        <v>1387</v>
      </c>
      <c r="Q289" s="388" t="s">
        <v>1383</v>
      </c>
      <c r="R289" s="390">
        <v>5</v>
      </c>
      <c r="S289" s="390" t="s">
        <v>1466</v>
      </c>
      <c r="T289" s="390">
        <v>57</v>
      </c>
      <c r="U289" s="390" t="s">
        <v>1639</v>
      </c>
      <c r="V289" s="390">
        <v>2621</v>
      </c>
      <c r="W289" s="390" t="s">
        <v>2815</v>
      </c>
      <c r="X289" s="390">
        <v>50030</v>
      </c>
      <c r="Y289" s="390" t="s">
        <v>2816</v>
      </c>
      <c r="Z289" s="391" t="s">
        <v>2817</v>
      </c>
    </row>
    <row r="290" spans="2:26" ht="15.75" customHeight="1" x14ac:dyDescent="0.3">
      <c r="B290" s="387" t="s">
        <v>1375</v>
      </c>
      <c r="C290" s="388">
        <v>121880</v>
      </c>
      <c r="D290" s="388" t="s">
        <v>2818</v>
      </c>
      <c r="E290" s="388" t="s">
        <v>1377</v>
      </c>
      <c r="F290" s="388" t="s">
        <v>1378</v>
      </c>
      <c r="G290" s="388" t="s">
        <v>1379</v>
      </c>
      <c r="H290" s="388" t="s">
        <v>1380</v>
      </c>
      <c r="I290" s="388" t="s">
        <v>1393</v>
      </c>
      <c r="J290" s="388" t="s">
        <v>1382</v>
      </c>
      <c r="K290" s="388" t="s">
        <v>1383</v>
      </c>
      <c r="L290" s="389">
        <v>108</v>
      </c>
      <c r="M290" s="390" t="s">
        <v>2819</v>
      </c>
      <c r="N290" s="390" t="s">
        <v>2820</v>
      </c>
      <c r="O290" s="390" t="s">
        <v>1465</v>
      </c>
      <c r="P290" s="390" t="s">
        <v>1387</v>
      </c>
      <c r="Q290" s="388" t="s">
        <v>1383</v>
      </c>
      <c r="R290" s="390">
        <v>5</v>
      </c>
      <c r="S290" s="390" t="s">
        <v>1466</v>
      </c>
      <c r="T290" s="390">
        <v>58</v>
      </c>
      <c r="U290" s="390" t="s">
        <v>1878</v>
      </c>
      <c r="V290" s="390">
        <v>2536</v>
      </c>
      <c r="W290" s="390" t="s">
        <v>1942</v>
      </c>
      <c r="X290" s="390">
        <v>50264</v>
      </c>
      <c r="Y290" s="390" t="s">
        <v>2818</v>
      </c>
      <c r="Z290" s="391" t="s">
        <v>2821</v>
      </c>
    </row>
    <row r="291" spans="2:26" ht="15.75" customHeight="1" x14ac:dyDescent="0.3">
      <c r="B291" s="387" t="s">
        <v>1375</v>
      </c>
      <c r="C291" s="388">
        <v>121881</v>
      </c>
      <c r="D291" s="388" t="s">
        <v>2822</v>
      </c>
      <c r="E291" s="388" t="s">
        <v>1377</v>
      </c>
      <c r="F291" s="388" t="s">
        <v>1378</v>
      </c>
      <c r="G291" s="388" t="s">
        <v>1379</v>
      </c>
      <c r="H291" s="388" t="s">
        <v>1380</v>
      </c>
      <c r="I291" s="388" t="s">
        <v>1393</v>
      </c>
      <c r="J291" s="388" t="s">
        <v>1382</v>
      </c>
      <c r="K291" s="388" t="s">
        <v>1383</v>
      </c>
      <c r="L291" s="389">
        <v>104</v>
      </c>
      <c r="M291" s="390" t="s">
        <v>2823</v>
      </c>
      <c r="N291" s="390" t="s">
        <v>2824</v>
      </c>
      <c r="O291" s="390" t="s">
        <v>1465</v>
      </c>
      <c r="P291" s="390" t="s">
        <v>1387</v>
      </c>
      <c r="Q291" s="388" t="s">
        <v>1383</v>
      </c>
      <c r="R291" s="390">
        <v>5</v>
      </c>
      <c r="S291" s="390" t="s">
        <v>1466</v>
      </c>
      <c r="T291" s="390">
        <v>58</v>
      </c>
      <c r="U291" s="390" t="s">
        <v>1878</v>
      </c>
      <c r="V291" s="390">
        <v>2538</v>
      </c>
      <c r="W291" s="390" t="s">
        <v>2433</v>
      </c>
      <c r="X291" s="390">
        <v>50140</v>
      </c>
      <c r="Y291" s="390" t="s">
        <v>2825</v>
      </c>
      <c r="Z291" s="391" t="s">
        <v>2826</v>
      </c>
    </row>
    <row r="292" spans="2:26" ht="15.75" customHeight="1" x14ac:dyDescent="0.3">
      <c r="B292" s="387" t="s">
        <v>1375</v>
      </c>
      <c r="C292" s="388">
        <v>121882</v>
      </c>
      <c r="D292" s="388" t="s">
        <v>2827</v>
      </c>
      <c r="E292" s="388" t="s">
        <v>1377</v>
      </c>
      <c r="F292" s="388" t="s">
        <v>1378</v>
      </c>
      <c r="G292" s="388" t="s">
        <v>1379</v>
      </c>
      <c r="H292" s="388" t="s">
        <v>1380</v>
      </c>
      <c r="I292" s="388" t="s">
        <v>1393</v>
      </c>
      <c r="J292" s="388" t="s">
        <v>1382</v>
      </c>
      <c r="K292" s="388" t="s">
        <v>1383</v>
      </c>
      <c r="L292" s="389">
        <v>64</v>
      </c>
      <c r="M292" s="390" t="s">
        <v>2828</v>
      </c>
      <c r="N292" s="390" t="s">
        <v>1789</v>
      </c>
      <c r="O292" s="390" t="s">
        <v>1465</v>
      </c>
      <c r="P292" s="390" t="s">
        <v>1387</v>
      </c>
      <c r="Q292" s="388" t="s">
        <v>1383</v>
      </c>
      <c r="R292" s="390">
        <v>5</v>
      </c>
      <c r="S292" s="390" t="s">
        <v>1466</v>
      </c>
      <c r="T292" s="390">
        <v>58</v>
      </c>
      <c r="U292" s="390" t="s">
        <v>1878</v>
      </c>
      <c r="V292" s="390">
        <v>2543</v>
      </c>
      <c r="W292" s="390" t="s">
        <v>1878</v>
      </c>
      <c r="X292" s="390">
        <v>50043</v>
      </c>
      <c r="Y292" s="390" t="s">
        <v>1878</v>
      </c>
      <c r="Z292" s="391" t="s">
        <v>2829</v>
      </c>
    </row>
    <row r="293" spans="2:26" ht="15.75" customHeight="1" x14ac:dyDescent="0.3">
      <c r="B293" s="387" t="s">
        <v>1375</v>
      </c>
      <c r="C293" s="388">
        <v>121883</v>
      </c>
      <c r="D293" s="388" t="s">
        <v>1875</v>
      </c>
      <c r="E293" s="388" t="s">
        <v>1377</v>
      </c>
      <c r="F293" s="388" t="s">
        <v>1378</v>
      </c>
      <c r="G293" s="388" t="s">
        <v>1379</v>
      </c>
      <c r="H293" s="388" t="s">
        <v>1380</v>
      </c>
      <c r="I293" s="388" t="s">
        <v>1393</v>
      </c>
      <c r="J293" s="388" t="s">
        <v>1382</v>
      </c>
      <c r="K293" s="388" t="s">
        <v>1383</v>
      </c>
      <c r="L293" s="389">
        <v>100</v>
      </c>
      <c r="M293" s="390" t="s">
        <v>2830</v>
      </c>
      <c r="N293" s="390" t="s">
        <v>1814</v>
      </c>
      <c r="O293" s="390" t="s">
        <v>1465</v>
      </c>
      <c r="P293" s="390" t="s">
        <v>1387</v>
      </c>
      <c r="Q293" s="388" t="s">
        <v>1383</v>
      </c>
      <c r="R293" s="390">
        <v>5</v>
      </c>
      <c r="S293" s="390" t="s">
        <v>1466</v>
      </c>
      <c r="T293" s="390">
        <v>58</v>
      </c>
      <c r="U293" s="390" t="s">
        <v>1878</v>
      </c>
      <c r="V293" s="390">
        <v>2537</v>
      </c>
      <c r="W293" s="390" t="s">
        <v>1875</v>
      </c>
      <c r="X293" s="390">
        <v>50036</v>
      </c>
      <c r="Y293" s="390" t="s">
        <v>2831</v>
      </c>
      <c r="Z293" s="391" t="s">
        <v>2832</v>
      </c>
    </row>
    <row r="294" spans="2:26" ht="15.75" customHeight="1" x14ac:dyDescent="0.3">
      <c r="B294" s="387" t="s">
        <v>1375</v>
      </c>
      <c r="C294" s="388">
        <v>121885</v>
      </c>
      <c r="D294" s="388" t="s">
        <v>2833</v>
      </c>
      <c r="E294" s="388" t="s">
        <v>1377</v>
      </c>
      <c r="F294" s="388" t="s">
        <v>2726</v>
      </c>
      <c r="G294" s="388" t="s">
        <v>1379</v>
      </c>
      <c r="H294" s="388" t="s">
        <v>1380</v>
      </c>
      <c r="I294" s="388" t="s">
        <v>1393</v>
      </c>
      <c r="J294" s="388" t="s">
        <v>1382</v>
      </c>
      <c r="K294" s="388" t="s">
        <v>1383</v>
      </c>
      <c r="L294" s="389">
        <v>20</v>
      </c>
      <c r="M294" s="390" t="s">
        <v>2834</v>
      </c>
      <c r="N294" s="390" t="s">
        <v>2835</v>
      </c>
      <c r="O294" s="390" t="s">
        <v>2728</v>
      </c>
      <c r="P294" s="390" t="s">
        <v>1387</v>
      </c>
      <c r="Q294" s="388" t="s">
        <v>1383</v>
      </c>
      <c r="R294" s="390">
        <v>8</v>
      </c>
      <c r="S294" s="390" t="s">
        <v>1483</v>
      </c>
      <c r="T294" s="390">
        <v>82</v>
      </c>
      <c r="U294" s="390" t="s">
        <v>1511</v>
      </c>
      <c r="V294" s="390">
        <v>4603</v>
      </c>
      <c r="W294" s="390" t="s">
        <v>1934</v>
      </c>
      <c r="X294" s="390">
        <v>80093</v>
      </c>
      <c r="Y294" s="390" t="s">
        <v>2836</v>
      </c>
      <c r="Z294" s="391" t="s">
        <v>2837</v>
      </c>
    </row>
    <row r="295" spans="2:26" ht="15.75" customHeight="1" x14ac:dyDescent="0.3">
      <c r="B295" s="387" t="s">
        <v>1375</v>
      </c>
      <c r="C295" s="388">
        <v>121886</v>
      </c>
      <c r="D295" s="388" t="s">
        <v>2838</v>
      </c>
      <c r="E295" s="388" t="s">
        <v>1377</v>
      </c>
      <c r="F295" s="388" t="s">
        <v>1378</v>
      </c>
      <c r="G295" s="388" t="s">
        <v>1379</v>
      </c>
      <c r="H295" s="388" t="s">
        <v>1471</v>
      </c>
      <c r="I295" s="388" t="s">
        <v>1861</v>
      </c>
      <c r="J295" s="388" t="s">
        <v>1382</v>
      </c>
      <c r="K295" s="388" t="s">
        <v>1383</v>
      </c>
      <c r="L295" s="389">
        <v>93</v>
      </c>
      <c r="M295" s="390" t="s">
        <v>2839</v>
      </c>
      <c r="N295" s="390" t="s">
        <v>1803</v>
      </c>
      <c r="O295" s="390" t="s">
        <v>1465</v>
      </c>
      <c r="P295" s="390" t="s">
        <v>1387</v>
      </c>
      <c r="Q295" s="388" t="s">
        <v>1383</v>
      </c>
      <c r="R295" s="390">
        <v>18</v>
      </c>
      <c r="S295" s="390" t="s">
        <v>1790</v>
      </c>
      <c r="T295" s="390">
        <v>55</v>
      </c>
      <c r="U295" s="390" t="s">
        <v>1980</v>
      </c>
      <c r="V295" s="390">
        <v>2510</v>
      </c>
      <c r="W295" s="390" t="s">
        <v>2840</v>
      </c>
      <c r="X295" s="390">
        <v>180035</v>
      </c>
      <c r="Y295" s="390" t="s">
        <v>1529</v>
      </c>
      <c r="Z295" s="391" t="s">
        <v>2841</v>
      </c>
    </row>
    <row r="296" spans="2:26" ht="15.75" customHeight="1" x14ac:dyDescent="0.3">
      <c r="B296" s="387" t="s">
        <v>1375</v>
      </c>
      <c r="C296" s="388">
        <v>121891</v>
      </c>
      <c r="D296" s="388" t="s">
        <v>2842</v>
      </c>
      <c r="E296" s="388" t="s">
        <v>1377</v>
      </c>
      <c r="F296" s="388" t="s">
        <v>1378</v>
      </c>
      <c r="G296" s="388" t="s">
        <v>1379</v>
      </c>
      <c r="H296" s="388" t="s">
        <v>1380</v>
      </c>
      <c r="I296" s="388" t="s">
        <v>1393</v>
      </c>
      <c r="J296" s="388" t="s">
        <v>1382</v>
      </c>
      <c r="K296" s="388" t="s">
        <v>1383</v>
      </c>
      <c r="L296" s="389">
        <v>103</v>
      </c>
      <c r="M296" s="390" t="s">
        <v>2843</v>
      </c>
      <c r="N296" s="390" t="s">
        <v>2844</v>
      </c>
      <c r="O296" s="390" t="s">
        <v>1386</v>
      </c>
      <c r="P296" s="390" t="s">
        <v>1387</v>
      </c>
      <c r="Q296" s="388" t="s">
        <v>1383</v>
      </c>
      <c r="R296" s="390">
        <v>3</v>
      </c>
      <c r="S296" s="390" t="s">
        <v>1430</v>
      </c>
      <c r="T296" s="390">
        <v>96</v>
      </c>
      <c r="U296" s="390" t="s">
        <v>1431</v>
      </c>
      <c r="V296" s="390">
        <v>3208</v>
      </c>
      <c r="W296" s="390" t="s">
        <v>2277</v>
      </c>
      <c r="X296" s="390">
        <v>30038</v>
      </c>
      <c r="Y296" s="390" t="s">
        <v>2845</v>
      </c>
      <c r="Z296" s="391" t="s">
        <v>2846</v>
      </c>
    </row>
    <row r="297" spans="2:26" ht="15.75" customHeight="1" x14ac:dyDescent="0.3">
      <c r="B297" s="387" t="s">
        <v>1375</v>
      </c>
      <c r="C297" s="388">
        <v>122007</v>
      </c>
      <c r="D297" s="388" t="s">
        <v>2847</v>
      </c>
      <c r="E297" s="388" t="s">
        <v>1377</v>
      </c>
      <c r="F297" s="388" t="s">
        <v>1378</v>
      </c>
      <c r="G297" s="388" t="s">
        <v>1379</v>
      </c>
      <c r="H297" s="388" t="s">
        <v>1380</v>
      </c>
      <c r="I297" s="388" t="s">
        <v>1393</v>
      </c>
      <c r="J297" s="388" t="s">
        <v>1382</v>
      </c>
      <c r="K297" s="388" t="s">
        <v>1383</v>
      </c>
      <c r="L297" s="389">
        <v>277</v>
      </c>
      <c r="M297" s="390" t="s">
        <v>2848</v>
      </c>
      <c r="N297" s="390" t="s">
        <v>2849</v>
      </c>
      <c r="O297" s="390" t="s">
        <v>1386</v>
      </c>
      <c r="P297" s="390" t="s">
        <v>1387</v>
      </c>
      <c r="Q297" s="388" t="s">
        <v>1383</v>
      </c>
      <c r="R297" s="390">
        <v>3</v>
      </c>
      <c r="S297" s="390" t="s">
        <v>1430</v>
      </c>
      <c r="T297" s="390">
        <v>96</v>
      </c>
      <c r="U297" s="390" t="s">
        <v>1431</v>
      </c>
      <c r="V297" s="390">
        <v>3212</v>
      </c>
      <c r="W297" s="390" t="s">
        <v>1431</v>
      </c>
      <c r="X297" s="390">
        <v>30030</v>
      </c>
      <c r="Y297" s="390" t="s">
        <v>2850</v>
      </c>
      <c r="Z297" s="391" t="s">
        <v>2851</v>
      </c>
    </row>
    <row r="298" spans="2:26" ht="15.75" customHeight="1" x14ac:dyDescent="0.3">
      <c r="B298" s="387" t="s">
        <v>1375</v>
      </c>
      <c r="C298" s="388">
        <v>122008</v>
      </c>
      <c r="D298" s="388" t="s">
        <v>2852</v>
      </c>
      <c r="E298" s="388" t="s">
        <v>1377</v>
      </c>
      <c r="F298" s="388" t="s">
        <v>2726</v>
      </c>
      <c r="G298" s="388" t="s">
        <v>1379</v>
      </c>
      <c r="H298" s="388" t="s">
        <v>1380</v>
      </c>
      <c r="I298" s="388" t="s">
        <v>1393</v>
      </c>
      <c r="J298" s="388" t="s">
        <v>1382</v>
      </c>
      <c r="K298" s="388" t="s">
        <v>1383</v>
      </c>
      <c r="L298" s="389">
        <v>20</v>
      </c>
      <c r="M298" s="390" t="s">
        <v>1744</v>
      </c>
      <c r="N298" s="390" t="s">
        <v>1745</v>
      </c>
      <c r="O298" s="390" t="s">
        <v>2755</v>
      </c>
      <c r="P298" s="390" t="s">
        <v>1387</v>
      </c>
      <c r="Q298" s="388" t="s">
        <v>1383</v>
      </c>
      <c r="R298" s="390">
        <v>16</v>
      </c>
      <c r="S298" s="390" t="s">
        <v>1746</v>
      </c>
      <c r="T298" s="390">
        <v>40</v>
      </c>
      <c r="U298" s="390" t="s">
        <v>1747</v>
      </c>
      <c r="V298" s="390">
        <v>4209</v>
      </c>
      <c r="W298" s="390" t="s">
        <v>1748</v>
      </c>
      <c r="X298" s="390">
        <v>160058</v>
      </c>
      <c r="Y298" s="390" t="s">
        <v>1748</v>
      </c>
      <c r="Z298" s="391" t="s">
        <v>1749</v>
      </c>
    </row>
    <row r="299" spans="2:26" ht="15.75" customHeight="1" x14ac:dyDescent="0.3">
      <c r="B299" s="387" t="s">
        <v>1375</v>
      </c>
      <c r="C299" s="388">
        <v>122010</v>
      </c>
      <c r="D299" s="388" t="s">
        <v>2853</v>
      </c>
      <c r="E299" s="388" t="s">
        <v>1377</v>
      </c>
      <c r="F299" s="388" t="s">
        <v>1378</v>
      </c>
      <c r="G299" s="388" t="s">
        <v>1379</v>
      </c>
      <c r="H299" s="388" t="s">
        <v>1471</v>
      </c>
      <c r="I299" s="388" t="s">
        <v>1393</v>
      </c>
      <c r="J299" s="388" t="s">
        <v>1382</v>
      </c>
      <c r="K299" s="388" t="s">
        <v>1383</v>
      </c>
      <c r="L299" s="389">
        <v>260</v>
      </c>
      <c r="M299" s="390" t="s">
        <v>2854</v>
      </c>
      <c r="N299" s="390" t="s">
        <v>2855</v>
      </c>
      <c r="O299" s="390" t="s">
        <v>1474</v>
      </c>
      <c r="P299" s="390" t="s">
        <v>1387</v>
      </c>
      <c r="Q299" s="388" t="s">
        <v>1383</v>
      </c>
      <c r="R299" s="390">
        <v>19</v>
      </c>
      <c r="S299" s="390" t="s">
        <v>1841</v>
      </c>
      <c r="T299" s="390">
        <v>68</v>
      </c>
      <c r="U299" s="390" t="s">
        <v>1901</v>
      </c>
      <c r="V299" s="390">
        <v>2530</v>
      </c>
      <c r="W299" s="390" t="s">
        <v>2856</v>
      </c>
      <c r="X299" s="390">
        <v>190119</v>
      </c>
      <c r="Y299" s="390" t="s">
        <v>2853</v>
      </c>
      <c r="Z299" s="391" t="s">
        <v>2857</v>
      </c>
    </row>
    <row r="300" spans="2:26" ht="15.75" customHeight="1" x14ac:dyDescent="0.3">
      <c r="B300" s="387" t="s">
        <v>1375</v>
      </c>
      <c r="C300" s="388">
        <v>122021</v>
      </c>
      <c r="D300" s="388" t="s">
        <v>2426</v>
      </c>
      <c r="E300" s="388" t="s">
        <v>1377</v>
      </c>
      <c r="F300" s="388" t="s">
        <v>1378</v>
      </c>
      <c r="G300" s="388" t="s">
        <v>1379</v>
      </c>
      <c r="H300" s="388" t="s">
        <v>1380</v>
      </c>
      <c r="I300" s="388" t="s">
        <v>1393</v>
      </c>
      <c r="J300" s="388" t="s">
        <v>1382</v>
      </c>
      <c r="K300" s="388" t="s">
        <v>1383</v>
      </c>
      <c r="L300" s="389">
        <v>100</v>
      </c>
      <c r="M300" s="390" t="s">
        <v>2858</v>
      </c>
      <c r="N300" s="390" t="s">
        <v>2859</v>
      </c>
      <c r="O300" s="390" t="s">
        <v>1465</v>
      </c>
      <c r="P300" s="390" t="s">
        <v>1387</v>
      </c>
      <c r="Q300" s="388" t="s">
        <v>1383</v>
      </c>
      <c r="R300" s="390">
        <v>5</v>
      </c>
      <c r="S300" s="390" t="s">
        <v>1466</v>
      </c>
      <c r="T300" s="390">
        <v>52</v>
      </c>
      <c r="U300" s="390" t="s">
        <v>1467</v>
      </c>
      <c r="V300" s="390">
        <v>1335</v>
      </c>
      <c r="W300" s="390" t="s">
        <v>2860</v>
      </c>
      <c r="X300" s="390">
        <v>50283</v>
      </c>
      <c r="Y300" s="390" t="s">
        <v>2860</v>
      </c>
      <c r="Z300" s="391" t="s">
        <v>2861</v>
      </c>
    </row>
    <row r="301" spans="2:26" ht="15.75" customHeight="1" x14ac:dyDescent="0.3">
      <c r="B301" s="387" t="s">
        <v>1375</v>
      </c>
      <c r="C301" s="388">
        <v>122022</v>
      </c>
      <c r="D301" s="388" t="s">
        <v>2862</v>
      </c>
      <c r="E301" s="388" t="s">
        <v>1377</v>
      </c>
      <c r="F301" s="388" t="s">
        <v>1378</v>
      </c>
      <c r="G301" s="388" t="s">
        <v>1439</v>
      </c>
      <c r="H301" s="388" t="s">
        <v>1380</v>
      </c>
      <c r="I301" s="388" t="s">
        <v>1530</v>
      </c>
      <c r="J301" s="388" t="s">
        <v>1382</v>
      </c>
      <c r="K301" s="388" t="s">
        <v>1383</v>
      </c>
      <c r="L301" s="389">
        <v>0</v>
      </c>
      <c r="M301" s="390" t="s">
        <v>2863</v>
      </c>
      <c r="N301" s="390" t="s">
        <v>1699</v>
      </c>
      <c r="O301" s="390" t="s">
        <v>1699</v>
      </c>
      <c r="P301" s="390" t="s">
        <v>1383</v>
      </c>
      <c r="Q301" s="388" t="s">
        <v>1383</v>
      </c>
      <c r="R301" s="390">
        <v>9</v>
      </c>
      <c r="S301" s="390" t="s">
        <v>1533</v>
      </c>
      <c r="T301" s="390">
        <v>114</v>
      </c>
      <c r="U301" s="390" t="s">
        <v>2864</v>
      </c>
      <c r="V301" s="390">
        <v>6301</v>
      </c>
      <c r="W301" s="390" t="s">
        <v>2300</v>
      </c>
      <c r="X301" s="390">
        <v>90125</v>
      </c>
      <c r="Y301" s="390" t="s">
        <v>2300</v>
      </c>
      <c r="Z301" s="391" t="s">
        <v>2865</v>
      </c>
    </row>
    <row r="302" spans="2:26" ht="15.75" customHeight="1" x14ac:dyDescent="0.3">
      <c r="B302" s="387" t="s">
        <v>1375</v>
      </c>
      <c r="C302" s="388">
        <v>122024</v>
      </c>
      <c r="D302" s="388" t="s">
        <v>2866</v>
      </c>
      <c r="E302" s="388" t="s">
        <v>1377</v>
      </c>
      <c r="F302" s="388" t="s">
        <v>1378</v>
      </c>
      <c r="G302" s="388" t="s">
        <v>1379</v>
      </c>
      <c r="H302" s="388" t="s">
        <v>1380</v>
      </c>
      <c r="I302" s="388" t="s">
        <v>1440</v>
      </c>
      <c r="J302" s="388" t="s">
        <v>1382</v>
      </c>
      <c r="K302" s="388" t="s">
        <v>1383</v>
      </c>
      <c r="L302" s="389">
        <v>67</v>
      </c>
      <c r="M302" s="390" t="s">
        <v>2867</v>
      </c>
      <c r="N302" s="390" t="s">
        <v>2868</v>
      </c>
      <c r="O302" s="390" t="s">
        <v>1386</v>
      </c>
      <c r="P302" s="390" t="s">
        <v>1387</v>
      </c>
      <c r="Q302" s="388" t="s">
        <v>1383</v>
      </c>
      <c r="R302" s="390">
        <v>1</v>
      </c>
      <c r="S302" s="390" t="s">
        <v>1388</v>
      </c>
      <c r="T302" s="390">
        <v>11</v>
      </c>
      <c r="U302" s="390" t="s">
        <v>2682</v>
      </c>
      <c r="V302" s="390">
        <v>8505</v>
      </c>
      <c r="W302" s="390" t="s">
        <v>2682</v>
      </c>
      <c r="X302" s="390">
        <v>10067</v>
      </c>
      <c r="Y302" s="390" t="s">
        <v>2869</v>
      </c>
      <c r="Z302" s="391" t="s">
        <v>2870</v>
      </c>
    </row>
    <row r="303" spans="2:26" ht="15.75" customHeight="1" x14ac:dyDescent="0.3">
      <c r="B303" s="387" t="s">
        <v>1375</v>
      </c>
      <c r="C303" s="388">
        <v>122030</v>
      </c>
      <c r="D303" s="388" t="s">
        <v>2871</v>
      </c>
      <c r="E303" s="388" t="s">
        <v>1377</v>
      </c>
      <c r="F303" s="388" t="s">
        <v>1378</v>
      </c>
      <c r="G303" s="388" t="s">
        <v>1379</v>
      </c>
      <c r="H303" s="388" t="s">
        <v>1380</v>
      </c>
      <c r="I303" s="388" t="s">
        <v>1393</v>
      </c>
      <c r="J303" s="388" t="s">
        <v>1382</v>
      </c>
      <c r="K303" s="388" t="s">
        <v>1383</v>
      </c>
      <c r="L303" s="389">
        <v>221</v>
      </c>
      <c r="M303" s="390" t="s">
        <v>2872</v>
      </c>
      <c r="N303" s="390" t="s">
        <v>2873</v>
      </c>
      <c r="O303" s="390" t="s">
        <v>1474</v>
      </c>
      <c r="P303" s="390" t="s">
        <v>1387</v>
      </c>
      <c r="Q303" s="388" t="s">
        <v>1383</v>
      </c>
      <c r="R303" s="390">
        <v>7</v>
      </c>
      <c r="S303" s="390" t="s">
        <v>1687</v>
      </c>
      <c r="T303" s="390">
        <v>84</v>
      </c>
      <c r="U303" s="390" t="s">
        <v>1920</v>
      </c>
      <c r="V303" s="390">
        <v>4579</v>
      </c>
      <c r="W303" s="390" t="s">
        <v>2486</v>
      </c>
      <c r="X303" s="390">
        <v>70165</v>
      </c>
      <c r="Y303" s="390" t="s">
        <v>2874</v>
      </c>
      <c r="Z303" s="391" t="s">
        <v>2875</v>
      </c>
    </row>
    <row r="304" spans="2:26" ht="15.75" customHeight="1" x14ac:dyDescent="0.3">
      <c r="B304" s="387" t="s">
        <v>1375</v>
      </c>
      <c r="C304" s="388">
        <v>122031</v>
      </c>
      <c r="D304" s="388" t="s">
        <v>2876</v>
      </c>
      <c r="E304" s="388" t="s">
        <v>1377</v>
      </c>
      <c r="F304" s="388" t="s">
        <v>2726</v>
      </c>
      <c r="G304" s="388" t="s">
        <v>1379</v>
      </c>
      <c r="H304" s="388" t="s">
        <v>1380</v>
      </c>
      <c r="I304" s="388" t="s">
        <v>1393</v>
      </c>
      <c r="J304" s="388" t="s">
        <v>1382</v>
      </c>
      <c r="K304" s="388" t="s">
        <v>1383</v>
      </c>
      <c r="L304" s="389">
        <v>20</v>
      </c>
      <c r="M304" s="390" t="s">
        <v>2368</v>
      </c>
      <c r="N304" s="390" t="s">
        <v>2369</v>
      </c>
      <c r="O304" s="390" t="s">
        <v>2741</v>
      </c>
      <c r="P304" s="390" t="s">
        <v>1387</v>
      </c>
      <c r="Q304" s="388" t="s">
        <v>1383</v>
      </c>
      <c r="R304" s="390">
        <v>11</v>
      </c>
      <c r="S304" s="390" t="s">
        <v>1608</v>
      </c>
      <c r="T304" s="390">
        <v>71</v>
      </c>
      <c r="U304" s="390" t="s">
        <v>1938</v>
      </c>
      <c r="V304" s="390">
        <v>9251</v>
      </c>
      <c r="W304" s="390" t="s">
        <v>2370</v>
      </c>
      <c r="X304" s="390">
        <v>110531</v>
      </c>
      <c r="Y304" s="390" t="s">
        <v>2371</v>
      </c>
      <c r="Z304" s="391" t="s">
        <v>2372</v>
      </c>
    </row>
    <row r="305" spans="2:26" ht="15.75" customHeight="1" x14ac:dyDescent="0.3">
      <c r="B305" s="387" t="s">
        <v>1375</v>
      </c>
      <c r="C305" s="388">
        <v>122033</v>
      </c>
      <c r="D305" s="388" t="s">
        <v>1469</v>
      </c>
      <c r="E305" s="388" t="s">
        <v>1377</v>
      </c>
      <c r="F305" s="388" t="s">
        <v>1378</v>
      </c>
      <c r="G305" s="388" t="s">
        <v>1379</v>
      </c>
      <c r="H305" s="388" t="s">
        <v>1380</v>
      </c>
      <c r="I305" s="388" t="s">
        <v>1393</v>
      </c>
      <c r="J305" s="388" t="s">
        <v>1382</v>
      </c>
      <c r="K305" s="388" t="s">
        <v>1383</v>
      </c>
      <c r="L305" s="389">
        <v>91</v>
      </c>
      <c r="M305" s="390" t="s">
        <v>2877</v>
      </c>
      <c r="N305" s="390" t="s">
        <v>2878</v>
      </c>
      <c r="O305" s="390" t="s">
        <v>1474</v>
      </c>
      <c r="P305" s="390" t="s">
        <v>1387</v>
      </c>
      <c r="Q305" s="388" t="s">
        <v>1383</v>
      </c>
      <c r="R305" s="390">
        <v>7</v>
      </c>
      <c r="S305" s="390" t="s">
        <v>1687</v>
      </c>
      <c r="T305" s="390">
        <v>86</v>
      </c>
      <c r="U305" s="390" t="s">
        <v>1927</v>
      </c>
      <c r="V305" s="390">
        <v>4632</v>
      </c>
      <c r="W305" s="390" t="s">
        <v>1468</v>
      </c>
      <c r="X305" s="390">
        <v>70138</v>
      </c>
      <c r="Y305" s="390" t="s">
        <v>2879</v>
      </c>
      <c r="Z305" s="391" t="s">
        <v>2880</v>
      </c>
    </row>
    <row r="306" spans="2:26" ht="15.75" customHeight="1" x14ac:dyDescent="0.3">
      <c r="B306" s="387" t="s">
        <v>1375</v>
      </c>
      <c r="C306" s="388">
        <v>122034</v>
      </c>
      <c r="D306" s="388" t="s">
        <v>2881</v>
      </c>
      <c r="E306" s="388" t="s">
        <v>1377</v>
      </c>
      <c r="F306" s="388" t="s">
        <v>1378</v>
      </c>
      <c r="G306" s="388" t="s">
        <v>1379</v>
      </c>
      <c r="H306" s="388" t="s">
        <v>1380</v>
      </c>
      <c r="I306" s="388" t="s">
        <v>1393</v>
      </c>
      <c r="J306" s="388" t="s">
        <v>1382</v>
      </c>
      <c r="K306" s="388" t="s">
        <v>1383</v>
      </c>
      <c r="L306" s="389">
        <v>137</v>
      </c>
      <c r="M306" s="390" t="s">
        <v>2882</v>
      </c>
      <c r="N306" s="390" t="s">
        <v>2883</v>
      </c>
      <c r="O306" s="390" t="s">
        <v>1474</v>
      </c>
      <c r="P306" s="390" t="s">
        <v>1387</v>
      </c>
      <c r="Q306" s="388" t="s">
        <v>1383</v>
      </c>
      <c r="R306" s="390">
        <v>7</v>
      </c>
      <c r="S306" s="390" t="s">
        <v>1687</v>
      </c>
      <c r="T306" s="390">
        <v>86</v>
      </c>
      <c r="U306" s="390" t="s">
        <v>1927</v>
      </c>
      <c r="V306" s="390">
        <v>4632</v>
      </c>
      <c r="W306" s="390" t="s">
        <v>1468</v>
      </c>
      <c r="X306" s="390">
        <v>70254</v>
      </c>
      <c r="Y306" s="390" t="s">
        <v>2884</v>
      </c>
      <c r="Z306" s="391" t="s">
        <v>2885</v>
      </c>
    </row>
    <row r="307" spans="2:26" ht="15.75" customHeight="1" x14ac:dyDescent="0.3">
      <c r="B307" s="387" t="s">
        <v>1375</v>
      </c>
      <c r="C307" s="388">
        <v>122038</v>
      </c>
      <c r="D307" s="388" t="s">
        <v>2886</v>
      </c>
      <c r="E307" s="388" t="s">
        <v>1377</v>
      </c>
      <c r="F307" s="388" t="s">
        <v>1378</v>
      </c>
      <c r="G307" s="388" t="s">
        <v>1379</v>
      </c>
      <c r="H307" s="388" t="s">
        <v>1380</v>
      </c>
      <c r="I307" s="388" t="s">
        <v>1530</v>
      </c>
      <c r="J307" s="388" t="s">
        <v>1382</v>
      </c>
      <c r="K307" s="388" t="s">
        <v>1383</v>
      </c>
      <c r="L307" s="389">
        <v>109</v>
      </c>
      <c r="M307" s="390" t="s">
        <v>2887</v>
      </c>
      <c r="N307" s="390" t="s">
        <v>2888</v>
      </c>
      <c r="O307" s="390" t="s">
        <v>1474</v>
      </c>
      <c r="P307" s="390" t="s">
        <v>1387</v>
      </c>
      <c r="Q307" s="388" t="s">
        <v>1383</v>
      </c>
      <c r="R307" s="390">
        <v>7</v>
      </c>
      <c r="S307" s="390" t="s">
        <v>1687</v>
      </c>
      <c r="T307" s="390">
        <v>84</v>
      </c>
      <c r="U307" s="390" t="s">
        <v>1920</v>
      </c>
      <c r="V307" s="390">
        <v>4593</v>
      </c>
      <c r="W307" s="390" t="s">
        <v>2871</v>
      </c>
      <c r="X307" s="390">
        <v>70042</v>
      </c>
      <c r="Y307" s="390" t="s">
        <v>2889</v>
      </c>
      <c r="Z307" s="391" t="s">
        <v>2890</v>
      </c>
    </row>
    <row r="308" spans="2:26" ht="15.75" customHeight="1" x14ac:dyDescent="0.3">
      <c r="B308" s="387" t="s">
        <v>1375</v>
      </c>
      <c r="C308" s="388">
        <v>122039</v>
      </c>
      <c r="D308" s="388" t="s">
        <v>2891</v>
      </c>
      <c r="E308" s="388" t="s">
        <v>1377</v>
      </c>
      <c r="F308" s="388" t="s">
        <v>1378</v>
      </c>
      <c r="G308" s="388" t="s">
        <v>1379</v>
      </c>
      <c r="H308" s="388" t="s">
        <v>1380</v>
      </c>
      <c r="I308" s="388" t="s">
        <v>1440</v>
      </c>
      <c r="J308" s="388" t="s">
        <v>1382</v>
      </c>
      <c r="K308" s="388" t="s">
        <v>1383</v>
      </c>
      <c r="L308" s="389">
        <v>190</v>
      </c>
      <c r="M308" s="390" t="s">
        <v>2892</v>
      </c>
      <c r="N308" s="390" t="s">
        <v>2893</v>
      </c>
      <c r="O308" s="390" t="s">
        <v>1482</v>
      </c>
      <c r="P308" s="390" t="s">
        <v>1387</v>
      </c>
      <c r="Q308" s="388" t="s">
        <v>1383</v>
      </c>
      <c r="R308" s="390">
        <v>15</v>
      </c>
      <c r="S308" s="390" t="s">
        <v>1735</v>
      </c>
      <c r="T308" s="390">
        <v>35</v>
      </c>
      <c r="U308" s="390" t="s">
        <v>2733</v>
      </c>
      <c r="V308" s="390">
        <v>1208</v>
      </c>
      <c r="W308" s="390" t="s">
        <v>2894</v>
      </c>
      <c r="X308" s="390">
        <v>150015</v>
      </c>
      <c r="Y308" s="390" t="s">
        <v>2895</v>
      </c>
      <c r="Z308" s="391" t="s">
        <v>2896</v>
      </c>
    </row>
    <row r="309" spans="2:26" ht="15.75" customHeight="1" x14ac:dyDescent="0.3">
      <c r="B309" s="387" t="s">
        <v>1375</v>
      </c>
      <c r="C309" s="388">
        <v>122064</v>
      </c>
      <c r="D309" s="388" t="s">
        <v>2897</v>
      </c>
      <c r="E309" s="388" t="s">
        <v>1377</v>
      </c>
      <c r="F309" s="388" t="s">
        <v>1378</v>
      </c>
      <c r="G309" s="388" t="s">
        <v>1439</v>
      </c>
      <c r="H309" s="388" t="s">
        <v>1380</v>
      </c>
      <c r="I309" s="388" t="s">
        <v>2315</v>
      </c>
      <c r="J309" s="388" t="s">
        <v>1382</v>
      </c>
      <c r="K309" s="388" t="s">
        <v>1383</v>
      </c>
      <c r="L309" s="389">
        <v>0</v>
      </c>
      <c r="M309" s="390" t="s">
        <v>2898</v>
      </c>
      <c r="N309" s="390" t="s">
        <v>2899</v>
      </c>
      <c r="O309" s="392" t="s">
        <v>2259</v>
      </c>
      <c r="P309" s="390" t="s">
        <v>1383</v>
      </c>
      <c r="Q309" s="388" t="s">
        <v>1383</v>
      </c>
      <c r="R309" s="390">
        <v>18</v>
      </c>
      <c r="S309" s="390" t="s">
        <v>1790</v>
      </c>
      <c r="T309" s="390">
        <v>54</v>
      </c>
      <c r="U309" s="390" t="s">
        <v>1791</v>
      </c>
      <c r="V309" s="390">
        <v>1414</v>
      </c>
      <c r="W309" s="390" t="s">
        <v>2900</v>
      </c>
      <c r="X309" s="390">
        <v>180031</v>
      </c>
      <c r="Y309" s="390" t="s">
        <v>2901</v>
      </c>
      <c r="Z309" s="391" t="s">
        <v>2902</v>
      </c>
    </row>
    <row r="310" spans="2:26" ht="15.75" customHeight="1" x14ac:dyDescent="0.3">
      <c r="B310" s="387" t="s">
        <v>1375</v>
      </c>
      <c r="C310" s="388">
        <v>122073</v>
      </c>
      <c r="D310" s="388" t="s">
        <v>2903</v>
      </c>
      <c r="E310" s="388" t="s">
        <v>1377</v>
      </c>
      <c r="F310" s="388" t="s">
        <v>1378</v>
      </c>
      <c r="G310" s="388" t="s">
        <v>1379</v>
      </c>
      <c r="H310" s="388" t="s">
        <v>1380</v>
      </c>
      <c r="I310" s="388" t="s">
        <v>1393</v>
      </c>
      <c r="J310" s="388" t="s">
        <v>1382</v>
      </c>
      <c r="K310" s="388" t="s">
        <v>1383</v>
      </c>
      <c r="L310" s="389">
        <v>119</v>
      </c>
      <c r="M310" s="390" t="s">
        <v>2904</v>
      </c>
      <c r="N310" s="390" t="s">
        <v>2905</v>
      </c>
      <c r="O310" s="390" t="s">
        <v>1482</v>
      </c>
      <c r="P310" s="390" t="s">
        <v>1387</v>
      </c>
      <c r="Q310" s="388" t="s">
        <v>1383</v>
      </c>
      <c r="R310" s="390">
        <v>8</v>
      </c>
      <c r="S310" s="390" t="s">
        <v>1483</v>
      </c>
      <c r="T310" s="390">
        <v>48</v>
      </c>
      <c r="U310" s="390" t="s">
        <v>2265</v>
      </c>
      <c r="V310" s="390">
        <v>4517</v>
      </c>
      <c r="W310" s="390" t="s">
        <v>2906</v>
      </c>
      <c r="X310" s="390">
        <v>80136</v>
      </c>
      <c r="Y310" s="390" t="s">
        <v>2906</v>
      </c>
      <c r="Z310" s="391" t="s">
        <v>2907</v>
      </c>
    </row>
    <row r="311" spans="2:26" ht="15.75" customHeight="1" x14ac:dyDescent="0.3">
      <c r="B311" s="387" t="s">
        <v>1375</v>
      </c>
      <c r="C311" s="388">
        <v>122074</v>
      </c>
      <c r="D311" s="388" t="s">
        <v>2908</v>
      </c>
      <c r="E311" s="388" t="s">
        <v>1377</v>
      </c>
      <c r="F311" s="388" t="s">
        <v>1378</v>
      </c>
      <c r="G311" s="388" t="s">
        <v>1379</v>
      </c>
      <c r="H311" s="388" t="s">
        <v>1380</v>
      </c>
      <c r="I311" s="388" t="s">
        <v>1393</v>
      </c>
      <c r="J311" s="388" t="s">
        <v>1382</v>
      </c>
      <c r="K311" s="388" t="s">
        <v>1383</v>
      </c>
      <c r="L311" s="389">
        <v>163</v>
      </c>
      <c r="M311" s="390" t="s">
        <v>2909</v>
      </c>
      <c r="N311" s="390" t="s">
        <v>2910</v>
      </c>
      <c r="O311" s="390" t="s">
        <v>1482</v>
      </c>
      <c r="P311" s="390" t="s">
        <v>1387</v>
      </c>
      <c r="Q311" s="388" t="s">
        <v>1383</v>
      </c>
      <c r="R311" s="390">
        <v>8</v>
      </c>
      <c r="S311" s="390" t="s">
        <v>1483</v>
      </c>
      <c r="T311" s="390">
        <v>81</v>
      </c>
      <c r="U311" s="390" t="s">
        <v>1490</v>
      </c>
      <c r="V311" s="390">
        <v>4557</v>
      </c>
      <c r="W311" s="390" t="s">
        <v>1490</v>
      </c>
      <c r="X311" s="390">
        <v>80129</v>
      </c>
      <c r="Y311" s="390" t="s">
        <v>1490</v>
      </c>
      <c r="Z311" s="391" t="s">
        <v>2911</v>
      </c>
    </row>
    <row r="312" spans="2:26" ht="15.75" customHeight="1" x14ac:dyDescent="0.3">
      <c r="B312" s="387" t="s">
        <v>1375</v>
      </c>
      <c r="C312" s="388">
        <v>122075</v>
      </c>
      <c r="D312" s="388" t="s">
        <v>2912</v>
      </c>
      <c r="E312" s="388" t="s">
        <v>1377</v>
      </c>
      <c r="F312" s="388" t="s">
        <v>1378</v>
      </c>
      <c r="G312" s="388" t="s">
        <v>1379</v>
      </c>
      <c r="H312" s="388" t="s">
        <v>1380</v>
      </c>
      <c r="I312" s="388" t="s">
        <v>1393</v>
      </c>
      <c r="J312" s="388" t="s">
        <v>1382</v>
      </c>
      <c r="K312" s="388" t="s">
        <v>1383</v>
      </c>
      <c r="L312" s="389">
        <v>114</v>
      </c>
      <c r="M312" s="390" t="s">
        <v>2913</v>
      </c>
      <c r="N312" s="390" t="s">
        <v>2914</v>
      </c>
      <c r="O312" s="390" t="s">
        <v>1482</v>
      </c>
      <c r="P312" s="390" t="s">
        <v>1387</v>
      </c>
      <c r="Q312" s="388" t="s">
        <v>1383</v>
      </c>
      <c r="R312" s="390">
        <v>8</v>
      </c>
      <c r="S312" s="390" t="s">
        <v>1483</v>
      </c>
      <c r="T312" s="390">
        <v>81</v>
      </c>
      <c r="U312" s="390" t="s">
        <v>1490</v>
      </c>
      <c r="V312" s="390">
        <v>4535</v>
      </c>
      <c r="W312" s="390" t="s">
        <v>2912</v>
      </c>
      <c r="X312" s="390">
        <v>80076</v>
      </c>
      <c r="Y312" s="390" t="s">
        <v>2912</v>
      </c>
      <c r="Z312" s="391" t="s">
        <v>2915</v>
      </c>
    </row>
    <row r="313" spans="2:26" ht="15.75" customHeight="1" x14ac:dyDescent="0.3">
      <c r="B313" s="387" t="s">
        <v>1375</v>
      </c>
      <c r="C313" s="388">
        <v>122077</v>
      </c>
      <c r="D313" s="388" t="s">
        <v>2916</v>
      </c>
      <c r="E313" s="388" t="s">
        <v>1377</v>
      </c>
      <c r="F313" s="388" t="s">
        <v>1378</v>
      </c>
      <c r="G313" s="388" t="s">
        <v>1379</v>
      </c>
      <c r="H313" s="388" t="s">
        <v>1380</v>
      </c>
      <c r="I313" s="388" t="s">
        <v>1393</v>
      </c>
      <c r="J313" s="388" t="s">
        <v>1382</v>
      </c>
      <c r="K313" s="388" t="s">
        <v>1383</v>
      </c>
      <c r="L313" s="389">
        <v>91</v>
      </c>
      <c r="M313" s="390" t="s">
        <v>2917</v>
      </c>
      <c r="N313" s="390" t="s">
        <v>2918</v>
      </c>
      <c r="O313" s="390" t="s">
        <v>1482</v>
      </c>
      <c r="P313" s="390" t="s">
        <v>1387</v>
      </c>
      <c r="Q313" s="388" t="s">
        <v>1383</v>
      </c>
      <c r="R313" s="390">
        <v>8</v>
      </c>
      <c r="S313" s="390" t="s">
        <v>1483</v>
      </c>
      <c r="T313" s="390">
        <v>48</v>
      </c>
      <c r="U313" s="390" t="s">
        <v>2265</v>
      </c>
      <c r="V313" s="390">
        <v>4532</v>
      </c>
      <c r="W313" s="390" t="s">
        <v>2919</v>
      </c>
      <c r="X313" s="390">
        <v>80158</v>
      </c>
      <c r="Y313" s="390" t="s">
        <v>2916</v>
      </c>
      <c r="Z313" s="391" t="s">
        <v>2920</v>
      </c>
    </row>
    <row r="314" spans="2:26" ht="15.75" customHeight="1" x14ac:dyDescent="0.3">
      <c r="B314" s="387" t="s">
        <v>1375</v>
      </c>
      <c r="C314" s="388">
        <v>122078</v>
      </c>
      <c r="D314" s="388" t="s">
        <v>2921</v>
      </c>
      <c r="E314" s="388" t="s">
        <v>1377</v>
      </c>
      <c r="F314" s="388" t="s">
        <v>1378</v>
      </c>
      <c r="G314" s="388" t="s">
        <v>1379</v>
      </c>
      <c r="H314" s="388" t="s">
        <v>1380</v>
      </c>
      <c r="I314" s="388" t="s">
        <v>1393</v>
      </c>
      <c r="J314" s="388" t="s">
        <v>1382</v>
      </c>
      <c r="K314" s="388" t="s">
        <v>1383</v>
      </c>
      <c r="L314" s="389">
        <v>103</v>
      </c>
      <c r="M314" s="390" t="s">
        <v>2922</v>
      </c>
      <c r="N314" s="390" t="s">
        <v>2923</v>
      </c>
      <c r="O314" s="390" t="s">
        <v>1482</v>
      </c>
      <c r="P314" s="390" t="s">
        <v>1387</v>
      </c>
      <c r="Q314" s="388" t="s">
        <v>1383</v>
      </c>
      <c r="R314" s="390">
        <v>8</v>
      </c>
      <c r="S314" s="390" t="s">
        <v>1483</v>
      </c>
      <c r="T314" s="390">
        <v>48</v>
      </c>
      <c r="U314" s="390" t="s">
        <v>2265</v>
      </c>
      <c r="V314" s="390">
        <v>4517</v>
      </c>
      <c r="W314" s="390" t="s">
        <v>2906</v>
      </c>
      <c r="X314" s="390">
        <v>80221</v>
      </c>
      <c r="Y314" s="390" t="s">
        <v>2924</v>
      </c>
      <c r="Z314" s="391" t="s">
        <v>2925</v>
      </c>
    </row>
    <row r="315" spans="2:26" ht="15.75" customHeight="1" x14ac:dyDescent="0.3">
      <c r="B315" s="387" t="s">
        <v>1375</v>
      </c>
      <c r="C315" s="388">
        <v>122079</v>
      </c>
      <c r="D315" s="388" t="s">
        <v>1991</v>
      </c>
      <c r="E315" s="388" t="s">
        <v>1377</v>
      </c>
      <c r="F315" s="388" t="s">
        <v>1378</v>
      </c>
      <c r="G315" s="388" t="s">
        <v>1379</v>
      </c>
      <c r="H315" s="388" t="s">
        <v>1380</v>
      </c>
      <c r="I315" s="388" t="s">
        <v>1381</v>
      </c>
      <c r="J315" s="388" t="s">
        <v>1382</v>
      </c>
      <c r="K315" s="388" t="s">
        <v>1383</v>
      </c>
      <c r="L315" s="389">
        <v>52</v>
      </c>
      <c r="M315" s="390" t="s">
        <v>2926</v>
      </c>
      <c r="N315" s="390" t="s">
        <v>2927</v>
      </c>
      <c r="O315" s="390" t="s">
        <v>1482</v>
      </c>
      <c r="P315" s="390" t="s">
        <v>1387</v>
      </c>
      <c r="Q315" s="388" t="s">
        <v>1383</v>
      </c>
      <c r="R315" s="390">
        <v>8</v>
      </c>
      <c r="S315" s="390" t="s">
        <v>1483</v>
      </c>
      <c r="T315" s="390">
        <v>82</v>
      </c>
      <c r="U315" s="390" t="s">
        <v>1511</v>
      </c>
      <c r="V315" s="390">
        <v>4617</v>
      </c>
      <c r="W315" s="390" t="s">
        <v>1991</v>
      </c>
      <c r="X315" s="390">
        <v>80280</v>
      </c>
      <c r="Y315" s="390" t="s">
        <v>1991</v>
      </c>
      <c r="Z315" s="391" t="s">
        <v>2928</v>
      </c>
    </row>
    <row r="316" spans="2:26" ht="15.75" customHeight="1" x14ac:dyDescent="0.3">
      <c r="B316" s="387" t="s">
        <v>1375</v>
      </c>
      <c r="C316" s="388">
        <v>122080</v>
      </c>
      <c r="D316" s="388" t="s">
        <v>2929</v>
      </c>
      <c r="E316" s="388" t="s">
        <v>1377</v>
      </c>
      <c r="F316" s="388" t="s">
        <v>1378</v>
      </c>
      <c r="G316" s="388" t="s">
        <v>1379</v>
      </c>
      <c r="H316" s="388" t="s">
        <v>1380</v>
      </c>
      <c r="I316" s="388" t="s">
        <v>1393</v>
      </c>
      <c r="J316" s="388" t="s">
        <v>1382</v>
      </c>
      <c r="K316" s="388" t="s">
        <v>1383</v>
      </c>
      <c r="L316" s="389">
        <v>129</v>
      </c>
      <c r="M316" s="390" t="s">
        <v>2834</v>
      </c>
      <c r="N316" s="390" t="s">
        <v>2835</v>
      </c>
      <c r="O316" s="390" t="s">
        <v>1482</v>
      </c>
      <c r="P316" s="390" t="s">
        <v>1387</v>
      </c>
      <c r="Q316" s="388" t="s">
        <v>1383</v>
      </c>
      <c r="R316" s="390">
        <v>8</v>
      </c>
      <c r="S316" s="390" t="s">
        <v>1483</v>
      </c>
      <c r="T316" s="390">
        <v>82</v>
      </c>
      <c r="U316" s="390" t="s">
        <v>1511</v>
      </c>
      <c r="V316" s="390">
        <v>4603</v>
      </c>
      <c r="W316" s="390" t="s">
        <v>1934</v>
      </c>
      <c r="X316" s="390">
        <v>80093</v>
      </c>
      <c r="Y316" s="390" t="s">
        <v>2836</v>
      </c>
      <c r="Z316" s="391" t="s">
        <v>2837</v>
      </c>
    </row>
    <row r="317" spans="2:26" ht="15.75" customHeight="1" x14ac:dyDescent="0.3">
      <c r="B317" s="387" t="s">
        <v>1375</v>
      </c>
      <c r="C317" s="388">
        <v>122081</v>
      </c>
      <c r="D317" s="388" t="s">
        <v>2930</v>
      </c>
      <c r="E317" s="388" t="s">
        <v>1377</v>
      </c>
      <c r="F317" s="388" t="s">
        <v>1378</v>
      </c>
      <c r="G317" s="388" t="s">
        <v>1379</v>
      </c>
      <c r="H317" s="388" t="s">
        <v>1380</v>
      </c>
      <c r="I317" s="388" t="s">
        <v>1393</v>
      </c>
      <c r="J317" s="388" t="s">
        <v>1382</v>
      </c>
      <c r="K317" s="388" t="s">
        <v>1383</v>
      </c>
      <c r="L317" s="389">
        <v>111</v>
      </c>
      <c r="M317" s="390" t="s">
        <v>2931</v>
      </c>
      <c r="N317" s="390" t="s">
        <v>1442</v>
      </c>
      <c r="O317" s="390" t="s">
        <v>1465</v>
      </c>
      <c r="P317" s="390" t="s">
        <v>1387</v>
      </c>
      <c r="Q317" s="388" t="s">
        <v>1383</v>
      </c>
      <c r="R317" s="390">
        <v>11</v>
      </c>
      <c r="S317" s="390" t="s">
        <v>1608</v>
      </c>
      <c r="T317" s="390">
        <v>28</v>
      </c>
      <c r="U317" s="390" t="s">
        <v>1609</v>
      </c>
      <c r="V317" s="390">
        <v>9203</v>
      </c>
      <c r="W317" s="390" t="s">
        <v>2429</v>
      </c>
      <c r="X317" s="390">
        <v>110341</v>
      </c>
      <c r="Y317" s="390" t="s">
        <v>2932</v>
      </c>
      <c r="Z317" s="391" t="s">
        <v>2933</v>
      </c>
    </row>
    <row r="318" spans="2:26" ht="15.75" customHeight="1" x14ac:dyDescent="0.3">
      <c r="B318" s="387" t="s">
        <v>1375</v>
      </c>
      <c r="C318" s="388">
        <v>122082</v>
      </c>
      <c r="D318" s="388" t="s">
        <v>2934</v>
      </c>
      <c r="E318" s="388" t="s">
        <v>1377</v>
      </c>
      <c r="F318" s="388" t="s">
        <v>1378</v>
      </c>
      <c r="G318" s="388" t="s">
        <v>1379</v>
      </c>
      <c r="H318" s="388" t="s">
        <v>1380</v>
      </c>
      <c r="I318" s="388" t="s">
        <v>1440</v>
      </c>
      <c r="J318" s="388" t="s">
        <v>1382</v>
      </c>
      <c r="K318" s="388" t="s">
        <v>1383</v>
      </c>
      <c r="L318" s="389">
        <v>67</v>
      </c>
      <c r="M318" s="390" t="s">
        <v>2935</v>
      </c>
      <c r="N318" s="390" t="s">
        <v>2936</v>
      </c>
      <c r="O318" s="390" t="s">
        <v>1465</v>
      </c>
      <c r="P318" s="390" t="s">
        <v>1387</v>
      </c>
      <c r="Q318" s="388" t="s">
        <v>1383</v>
      </c>
      <c r="R318" s="390">
        <v>11</v>
      </c>
      <c r="S318" s="390" t="s">
        <v>1608</v>
      </c>
      <c r="T318" s="390">
        <v>28</v>
      </c>
      <c r="U318" s="390" t="s">
        <v>1609</v>
      </c>
      <c r="V318" s="390">
        <v>9202</v>
      </c>
      <c r="W318" s="390" t="s">
        <v>1609</v>
      </c>
      <c r="X318" s="390">
        <v>110209</v>
      </c>
      <c r="Y318" s="390" t="s">
        <v>2934</v>
      </c>
      <c r="Z318" s="391" t="s">
        <v>2937</v>
      </c>
    </row>
    <row r="319" spans="2:26" ht="15.75" customHeight="1" x14ac:dyDescent="0.3">
      <c r="B319" s="387" t="s">
        <v>1375</v>
      </c>
      <c r="C319" s="388">
        <v>122083</v>
      </c>
      <c r="D319" s="388" t="s">
        <v>2000</v>
      </c>
      <c r="E319" s="388" t="s">
        <v>1377</v>
      </c>
      <c r="F319" s="388" t="s">
        <v>1378</v>
      </c>
      <c r="G319" s="388" t="s">
        <v>1379</v>
      </c>
      <c r="H319" s="388" t="s">
        <v>1380</v>
      </c>
      <c r="I319" s="388" t="s">
        <v>1393</v>
      </c>
      <c r="J319" s="388" t="s">
        <v>1382</v>
      </c>
      <c r="K319" s="388" t="s">
        <v>1383</v>
      </c>
      <c r="L319" s="389">
        <v>138</v>
      </c>
      <c r="M319" s="390" t="s">
        <v>2938</v>
      </c>
      <c r="N319" s="390" t="s">
        <v>2939</v>
      </c>
      <c r="O319" s="390" t="s">
        <v>1465</v>
      </c>
      <c r="P319" s="390" t="s">
        <v>1387</v>
      </c>
      <c r="Q319" s="388" t="s">
        <v>1383</v>
      </c>
      <c r="R319" s="390">
        <v>11</v>
      </c>
      <c r="S319" s="390" t="s">
        <v>1608</v>
      </c>
      <c r="T319" s="390">
        <v>28</v>
      </c>
      <c r="U319" s="390" t="s">
        <v>1609</v>
      </c>
      <c r="V319" s="390">
        <v>9205</v>
      </c>
      <c r="W319" s="390" t="s">
        <v>2378</v>
      </c>
      <c r="X319" s="390">
        <v>110119</v>
      </c>
      <c r="Y319" s="390" t="s">
        <v>2940</v>
      </c>
      <c r="Z319" s="391" t="s">
        <v>2941</v>
      </c>
    </row>
    <row r="320" spans="2:26" ht="15.75" customHeight="1" x14ac:dyDescent="0.3">
      <c r="B320" s="387" t="s">
        <v>1375</v>
      </c>
      <c r="C320" s="388">
        <v>122084</v>
      </c>
      <c r="D320" s="388" t="s">
        <v>2942</v>
      </c>
      <c r="E320" s="388" t="s">
        <v>1377</v>
      </c>
      <c r="F320" s="388" t="s">
        <v>1378</v>
      </c>
      <c r="G320" s="388" t="s">
        <v>1379</v>
      </c>
      <c r="H320" s="388" t="s">
        <v>1380</v>
      </c>
      <c r="I320" s="388" t="s">
        <v>1393</v>
      </c>
      <c r="J320" s="388" t="s">
        <v>1382</v>
      </c>
      <c r="K320" s="388" t="s">
        <v>1383</v>
      </c>
      <c r="L320" s="389">
        <v>112</v>
      </c>
      <c r="M320" s="390" t="s">
        <v>2943</v>
      </c>
      <c r="N320" s="390" t="s">
        <v>2944</v>
      </c>
      <c r="O320" s="390" t="s">
        <v>1465</v>
      </c>
      <c r="P320" s="390" t="s">
        <v>1387</v>
      </c>
      <c r="Q320" s="388" t="s">
        <v>1383</v>
      </c>
      <c r="R320" s="390">
        <v>11</v>
      </c>
      <c r="S320" s="390" t="s">
        <v>1608</v>
      </c>
      <c r="T320" s="390">
        <v>71</v>
      </c>
      <c r="U320" s="390" t="s">
        <v>1938</v>
      </c>
      <c r="V320" s="390">
        <v>9257</v>
      </c>
      <c r="W320" s="390" t="s">
        <v>1938</v>
      </c>
      <c r="X320" s="390">
        <v>110292</v>
      </c>
      <c r="Y320" s="390" t="s">
        <v>2945</v>
      </c>
      <c r="Z320" s="391" t="s">
        <v>2946</v>
      </c>
    </row>
    <row r="321" spans="2:26" ht="15.75" customHeight="1" x14ac:dyDescent="0.3">
      <c r="B321" s="387" t="s">
        <v>1375</v>
      </c>
      <c r="C321" s="388">
        <v>122085</v>
      </c>
      <c r="D321" s="388" t="s">
        <v>1895</v>
      </c>
      <c r="E321" s="388" t="s">
        <v>1377</v>
      </c>
      <c r="F321" s="388" t="s">
        <v>1378</v>
      </c>
      <c r="G321" s="388" t="s">
        <v>1379</v>
      </c>
      <c r="H321" s="388" t="s">
        <v>1380</v>
      </c>
      <c r="I321" s="388" t="s">
        <v>1530</v>
      </c>
      <c r="J321" s="388" t="s">
        <v>1382</v>
      </c>
      <c r="K321" s="388" t="s">
        <v>1383</v>
      </c>
      <c r="L321" s="389">
        <v>96</v>
      </c>
      <c r="M321" s="390" t="s">
        <v>2947</v>
      </c>
      <c r="N321" s="390" t="s">
        <v>2258</v>
      </c>
      <c r="O321" s="390" t="s">
        <v>1465</v>
      </c>
      <c r="P321" s="390" t="s">
        <v>1387</v>
      </c>
      <c r="Q321" s="388" t="s">
        <v>1383</v>
      </c>
      <c r="R321" s="390">
        <v>11</v>
      </c>
      <c r="S321" s="390" t="s">
        <v>1608</v>
      </c>
      <c r="T321" s="390">
        <v>28</v>
      </c>
      <c r="U321" s="390" t="s">
        <v>1609</v>
      </c>
      <c r="V321" s="390">
        <v>9237</v>
      </c>
      <c r="W321" s="390" t="s">
        <v>2948</v>
      </c>
      <c r="X321" s="390">
        <v>110558</v>
      </c>
      <c r="Y321" s="390" t="s">
        <v>1895</v>
      </c>
      <c r="Z321" s="391" t="s">
        <v>2949</v>
      </c>
    </row>
    <row r="322" spans="2:26" ht="15.75" customHeight="1" x14ac:dyDescent="0.3">
      <c r="B322" s="387" t="s">
        <v>1375</v>
      </c>
      <c r="C322" s="388">
        <v>122086</v>
      </c>
      <c r="D322" s="388" t="s">
        <v>2950</v>
      </c>
      <c r="E322" s="388" t="s">
        <v>1377</v>
      </c>
      <c r="F322" s="388" t="s">
        <v>1378</v>
      </c>
      <c r="G322" s="388" t="s">
        <v>1379</v>
      </c>
      <c r="H322" s="388" t="s">
        <v>1380</v>
      </c>
      <c r="I322" s="388" t="s">
        <v>1440</v>
      </c>
      <c r="J322" s="388" t="s">
        <v>1382</v>
      </c>
      <c r="K322" s="388" t="s">
        <v>1383</v>
      </c>
      <c r="L322" s="389">
        <v>70</v>
      </c>
      <c r="M322" s="390" t="s">
        <v>2951</v>
      </c>
      <c r="N322" s="390" t="s">
        <v>2944</v>
      </c>
      <c r="O322" s="390" t="s">
        <v>1465</v>
      </c>
      <c r="P322" s="390" t="s">
        <v>1387</v>
      </c>
      <c r="Q322" s="388" t="s">
        <v>1383</v>
      </c>
      <c r="R322" s="390">
        <v>11</v>
      </c>
      <c r="S322" s="390" t="s">
        <v>1608</v>
      </c>
      <c r="T322" s="390">
        <v>71</v>
      </c>
      <c r="U322" s="390" t="s">
        <v>1938</v>
      </c>
      <c r="V322" s="390">
        <v>9216</v>
      </c>
      <c r="W322" s="390" t="s">
        <v>2945</v>
      </c>
      <c r="X322" s="390">
        <v>110292</v>
      </c>
      <c r="Y322" s="390" t="s">
        <v>2945</v>
      </c>
      <c r="Z322" s="391" t="s">
        <v>2952</v>
      </c>
    </row>
    <row r="323" spans="2:26" ht="15.75" customHeight="1" x14ac:dyDescent="0.3">
      <c r="B323" s="387" t="s">
        <v>1375</v>
      </c>
      <c r="C323" s="388">
        <v>122087</v>
      </c>
      <c r="D323" s="388" t="s">
        <v>2953</v>
      </c>
      <c r="E323" s="388" t="s">
        <v>1377</v>
      </c>
      <c r="F323" s="388" t="s">
        <v>1378</v>
      </c>
      <c r="G323" s="388" t="s">
        <v>1379</v>
      </c>
      <c r="H323" s="388" t="s">
        <v>1380</v>
      </c>
      <c r="I323" s="388" t="s">
        <v>1393</v>
      </c>
      <c r="J323" s="388" t="s">
        <v>1382</v>
      </c>
      <c r="K323" s="388" t="s">
        <v>1383</v>
      </c>
      <c r="L323" s="389">
        <v>89</v>
      </c>
      <c r="M323" s="390" t="s">
        <v>2954</v>
      </c>
      <c r="N323" s="390" t="s">
        <v>2955</v>
      </c>
      <c r="O323" s="390" t="s">
        <v>1474</v>
      </c>
      <c r="P323" s="390" t="s">
        <v>1387</v>
      </c>
      <c r="Q323" s="388" t="s">
        <v>1383</v>
      </c>
      <c r="R323" s="390">
        <v>7</v>
      </c>
      <c r="S323" s="390" t="s">
        <v>1687</v>
      </c>
      <c r="T323" s="390">
        <v>85</v>
      </c>
      <c r="U323" s="390" t="s">
        <v>1688</v>
      </c>
      <c r="V323" s="390">
        <v>4528</v>
      </c>
      <c r="W323" s="390" t="s">
        <v>2956</v>
      </c>
      <c r="X323" s="390">
        <v>70269</v>
      </c>
      <c r="Y323" s="390" t="s">
        <v>2957</v>
      </c>
      <c r="Z323" s="391" t="s">
        <v>2958</v>
      </c>
    </row>
    <row r="324" spans="2:26" ht="15.75" customHeight="1" x14ac:dyDescent="0.3">
      <c r="B324" s="387" t="s">
        <v>1375</v>
      </c>
      <c r="C324" s="388">
        <v>122088</v>
      </c>
      <c r="D324" s="388" t="s">
        <v>2959</v>
      </c>
      <c r="E324" s="388" t="s">
        <v>1377</v>
      </c>
      <c r="F324" s="388" t="s">
        <v>1378</v>
      </c>
      <c r="G324" s="388" t="s">
        <v>1439</v>
      </c>
      <c r="H324" s="388" t="s">
        <v>1380</v>
      </c>
      <c r="I324" s="388" t="s">
        <v>1530</v>
      </c>
      <c r="J324" s="388" t="s">
        <v>1382</v>
      </c>
      <c r="K324" s="388" t="s">
        <v>1383</v>
      </c>
      <c r="L324" s="389">
        <v>0</v>
      </c>
      <c r="M324" s="390" t="s">
        <v>2960</v>
      </c>
      <c r="N324" s="390" t="s">
        <v>1699</v>
      </c>
      <c r="O324" s="390" t="s">
        <v>1699</v>
      </c>
      <c r="P324" s="390" t="s">
        <v>1383</v>
      </c>
      <c r="Q324" s="388" t="s">
        <v>1383</v>
      </c>
      <c r="R324" s="390">
        <v>7</v>
      </c>
      <c r="S324" s="390" t="s">
        <v>1687</v>
      </c>
      <c r="T324" s="390">
        <v>86</v>
      </c>
      <c r="U324" s="390" t="s">
        <v>1927</v>
      </c>
      <c r="V324" s="390">
        <v>4633</v>
      </c>
      <c r="W324" s="390" t="s">
        <v>2961</v>
      </c>
      <c r="X324" s="390">
        <v>70321</v>
      </c>
      <c r="Y324" s="390" t="s">
        <v>2962</v>
      </c>
      <c r="Z324" s="391" t="s">
        <v>2963</v>
      </c>
    </row>
    <row r="325" spans="2:26" ht="15.75" customHeight="1" x14ac:dyDescent="0.3">
      <c r="B325" s="387" t="s">
        <v>1375</v>
      </c>
      <c r="C325" s="388">
        <v>122089</v>
      </c>
      <c r="D325" s="388" t="s">
        <v>2964</v>
      </c>
      <c r="E325" s="388" t="s">
        <v>1377</v>
      </c>
      <c r="F325" s="388" t="s">
        <v>1378</v>
      </c>
      <c r="G325" s="388" t="s">
        <v>1439</v>
      </c>
      <c r="H325" s="388" t="s">
        <v>1380</v>
      </c>
      <c r="I325" s="388" t="s">
        <v>1530</v>
      </c>
      <c r="J325" s="388" t="s">
        <v>1382</v>
      </c>
      <c r="K325" s="388" t="s">
        <v>1383</v>
      </c>
      <c r="L325" s="389">
        <v>0</v>
      </c>
      <c r="M325" s="390" t="s">
        <v>2965</v>
      </c>
      <c r="N325" s="390" t="s">
        <v>1699</v>
      </c>
      <c r="O325" s="390" t="s">
        <v>1699</v>
      </c>
      <c r="P325" s="390" t="s">
        <v>1383</v>
      </c>
      <c r="Q325" s="388" t="s">
        <v>1383</v>
      </c>
      <c r="R325" s="390">
        <v>7</v>
      </c>
      <c r="S325" s="390" t="s">
        <v>1687</v>
      </c>
      <c r="T325" s="390">
        <v>85</v>
      </c>
      <c r="U325" s="390" t="s">
        <v>1688</v>
      </c>
      <c r="V325" s="390">
        <v>4528</v>
      </c>
      <c r="W325" s="390" t="s">
        <v>2956</v>
      </c>
      <c r="X325" s="390">
        <v>70168</v>
      </c>
      <c r="Y325" s="390" t="s">
        <v>2966</v>
      </c>
      <c r="Z325" s="391" t="s">
        <v>2967</v>
      </c>
    </row>
    <row r="326" spans="2:26" ht="15.75" customHeight="1" x14ac:dyDescent="0.3">
      <c r="B326" s="387" t="s">
        <v>1375</v>
      </c>
      <c r="C326" s="388">
        <v>122090</v>
      </c>
      <c r="D326" s="388" t="s">
        <v>2968</v>
      </c>
      <c r="E326" s="388" t="s">
        <v>1377</v>
      </c>
      <c r="F326" s="388" t="s">
        <v>1378</v>
      </c>
      <c r="G326" s="388" t="s">
        <v>1379</v>
      </c>
      <c r="H326" s="388" t="s">
        <v>1380</v>
      </c>
      <c r="I326" s="388" t="s">
        <v>1393</v>
      </c>
      <c r="J326" s="388" t="s">
        <v>1382</v>
      </c>
      <c r="K326" s="388" t="s">
        <v>1383</v>
      </c>
      <c r="L326" s="389">
        <v>114</v>
      </c>
      <c r="M326" s="390" t="s">
        <v>2969</v>
      </c>
      <c r="N326" s="390" t="s">
        <v>2970</v>
      </c>
      <c r="O326" s="390" t="s">
        <v>1474</v>
      </c>
      <c r="P326" s="390" t="s">
        <v>1387</v>
      </c>
      <c r="Q326" s="388" t="s">
        <v>1383</v>
      </c>
      <c r="R326" s="390">
        <v>7</v>
      </c>
      <c r="S326" s="390" t="s">
        <v>1687</v>
      </c>
      <c r="T326" s="390">
        <v>85</v>
      </c>
      <c r="U326" s="390" t="s">
        <v>1688</v>
      </c>
      <c r="V326" s="390">
        <v>4528</v>
      </c>
      <c r="W326" s="390" t="s">
        <v>2956</v>
      </c>
      <c r="X326" s="390">
        <v>70120</v>
      </c>
      <c r="Y326" s="390" t="s">
        <v>2971</v>
      </c>
      <c r="Z326" s="391" t="s">
        <v>2972</v>
      </c>
    </row>
    <row r="327" spans="2:26" ht="15.75" customHeight="1" x14ac:dyDescent="0.3">
      <c r="B327" s="387" t="s">
        <v>1375</v>
      </c>
      <c r="C327" s="388">
        <v>122091</v>
      </c>
      <c r="D327" s="388" t="s">
        <v>2973</v>
      </c>
      <c r="E327" s="388" t="s">
        <v>1377</v>
      </c>
      <c r="F327" s="388" t="s">
        <v>1378</v>
      </c>
      <c r="G327" s="388" t="s">
        <v>1379</v>
      </c>
      <c r="H327" s="388" t="s">
        <v>1380</v>
      </c>
      <c r="I327" s="388" t="s">
        <v>1393</v>
      </c>
      <c r="J327" s="388" t="s">
        <v>1382</v>
      </c>
      <c r="K327" s="388" t="s">
        <v>1383</v>
      </c>
      <c r="L327" s="389">
        <v>138</v>
      </c>
      <c r="M327" s="390" t="s">
        <v>2974</v>
      </c>
      <c r="N327" s="390" t="s">
        <v>2159</v>
      </c>
      <c r="O327" s="390" t="s">
        <v>1474</v>
      </c>
      <c r="P327" s="390" t="s">
        <v>1387</v>
      </c>
      <c r="Q327" s="388" t="s">
        <v>1383</v>
      </c>
      <c r="R327" s="390">
        <v>7</v>
      </c>
      <c r="S327" s="390" t="s">
        <v>1687</v>
      </c>
      <c r="T327" s="390">
        <v>85</v>
      </c>
      <c r="U327" s="390" t="s">
        <v>1688</v>
      </c>
      <c r="V327" s="390">
        <v>4550</v>
      </c>
      <c r="W327" s="390" t="s">
        <v>2975</v>
      </c>
      <c r="X327" s="390">
        <v>70069</v>
      </c>
      <c r="Y327" s="390" t="s">
        <v>2976</v>
      </c>
      <c r="Z327" s="391" t="s">
        <v>2977</v>
      </c>
    </row>
    <row r="328" spans="2:26" ht="15.75" customHeight="1" x14ac:dyDescent="0.3">
      <c r="B328" s="387" t="s">
        <v>1375</v>
      </c>
      <c r="C328" s="388">
        <v>122092</v>
      </c>
      <c r="D328" s="388" t="s">
        <v>2978</v>
      </c>
      <c r="E328" s="388" t="s">
        <v>1377</v>
      </c>
      <c r="F328" s="388" t="s">
        <v>1378</v>
      </c>
      <c r="G328" s="388" t="s">
        <v>1379</v>
      </c>
      <c r="H328" s="388" t="s">
        <v>1380</v>
      </c>
      <c r="I328" s="388" t="s">
        <v>1393</v>
      </c>
      <c r="J328" s="388" t="s">
        <v>1382</v>
      </c>
      <c r="K328" s="388" t="s">
        <v>1383</v>
      </c>
      <c r="L328" s="389">
        <v>65</v>
      </c>
      <c r="M328" s="390" t="s">
        <v>2979</v>
      </c>
      <c r="N328" s="390" t="s">
        <v>2980</v>
      </c>
      <c r="O328" s="390" t="s">
        <v>1474</v>
      </c>
      <c r="P328" s="390" t="s">
        <v>1387</v>
      </c>
      <c r="Q328" s="388" t="s">
        <v>1383</v>
      </c>
      <c r="R328" s="390">
        <v>7</v>
      </c>
      <c r="S328" s="390" t="s">
        <v>1687</v>
      </c>
      <c r="T328" s="390">
        <v>49</v>
      </c>
      <c r="U328" s="390" t="s">
        <v>2981</v>
      </c>
      <c r="V328" s="390">
        <v>4529</v>
      </c>
      <c r="W328" s="390" t="s">
        <v>2982</v>
      </c>
      <c r="X328" s="390">
        <v>70072</v>
      </c>
      <c r="Y328" s="390" t="s">
        <v>2983</v>
      </c>
      <c r="Z328" s="391" t="s">
        <v>2984</v>
      </c>
    </row>
    <row r="329" spans="2:26" ht="15.75" customHeight="1" x14ac:dyDescent="0.3">
      <c r="B329" s="387" t="s">
        <v>1375</v>
      </c>
      <c r="C329" s="388">
        <v>122094</v>
      </c>
      <c r="D329" s="388" t="s">
        <v>2985</v>
      </c>
      <c r="E329" s="388" t="s">
        <v>1377</v>
      </c>
      <c r="F329" s="388" t="s">
        <v>1378</v>
      </c>
      <c r="G329" s="388" t="s">
        <v>1439</v>
      </c>
      <c r="H329" s="388" t="s">
        <v>1380</v>
      </c>
      <c r="I329" s="388" t="s">
        <v>1530</v>
      </c>
      <c r="J329" s="388" t="s">
        <v>1382</v>
      </c>
      <c r="K329" s="388" t="s">
        <v>1383</v>
      </c>
      <c r="L329" s="389">
        <v>0</v>
      </c>
      <c r="M329" s="390" t="s">
        <v>2986</v>
      </c>
      <c r="N329" s="390" t="s">
        <v>1638</v>
      </c>
      <c r="O329" s="390" t="s">
        <v>1474</v>
      </c>
      <c r="P329" s="390" t="s">
        <v>1387</v>
      </c>
      <c r="Q329" s="388" t="s">
        <v>1383</v>
      </c>
      <c r="R329" s="390">
        <v>7</v>
      </c>
      <c r="S329" s="390" t="s">
        <v>1687</v>
      </c>
      <c r="T329" s="390">
        <v>84</v>
      </c>
      <c r="U329" s="390" t="s">
        <v>1920</v>
      </c>
      <c r="V329" s="390">
        <v>4526</v>
      </c>
      <c r="W329" s="390" t="s">
        <v>2987</v>
      </c>
      <c r="X329" s="390">
        <v>70019</v>
      </c>
      <c r="Y329" s="390" t="s">
        <v>2988</v>
      </c>
      <c r="Z329" s="391" t="s">
        <v>2989</v>
      </c>
    </row>
    <row r="330" spans="2:26" ht="15.75" customHeight="1" x14ac:dyDescent="0.3">
      <c r="B330" s="387" t="s">
        <v>1375</v>
      </c>
      <c r="C330" s="388">
        <v>122096</v>
      </c>
      <c r="D330" s="388" t="s">
        <v>2990</v>
      </c>
      <c r="E330" s="388" t="s">
        <v>1377</v>
      </c>
      <c r="F330" s="388" t="s">
        <v>1378</v>
      </c>
      <c r="G330" s="388" t="s">
        <v>1379</v>
      </c>
      <c r="H330" s="388" t="s">
        <v>1380</v>
      </c>
      <c r="I330" s="388" t="s">
        <v>1393</v>
      </c>
      <c r="J330" s="388" t="s">
        <v>1382</v>
      </c>
      <c r="K330" s="388" t="s">
        <v>1383</v>
      </c>
      <c r="L330" s="389">
        <v>119</v>
      </c>
      <c r="M330" s="390" t="s">
        <v>2991</v>
      </c>
      <c r="N330" s="390" t="s">
        <v>2992</v>
      </c>
      <c r="O330" s="390" t="s">
        <v>1474</v>
      </c>
      <c r="P330" s="390" t="s">
        <v>1387</v>
      </c>
      <c r="Q330" s="388" t="s">
        <v>1383</v>
      </c>
      <c r="R330" s="390">
        <v>7</v>
      </c>
      <c r="S330" s="390" t="s">
        <v>1687</v>
      </c>
      <c r="T330" s="390">
        <v>84</v>
      </c>
      <c r="U330" s="390" t="s">
        <v>1920</v>
      </c>
      <c r="V330" s="390">
        <v>4595</v>
      </c>
      <c r="W330" s="390" t="s">
        <v>2993</v>
      </c>
      <c r="X330" s="390">
        <v>70153</v>
      </c>
      <c r="Y330" s="390" t="s">
        <v>2791</v>
      </c>
      <c r="Z330" s="391" t="s">
        <v>2994</v>
      </c>
    </row>
    <row r="331" spans="2:26" ht="15.75" customHeight="1" x14ac:dyDescent="0.3">
      <c r="B331" s="387" t="s">
        <v>1375</v>
      </c>
      <c r="C331" s="388">
        <v>122097</v>
      </c>
      <c r="D331" s="388" t="s">
        <v>2995</v>
      </c>
      <c r="E331" s="388" t="s">
        <v>1377</v>
      </c>
      <c r="F331" s="388" t="s">
        <v>1378</v>
      </c>
      <c r="G331" s="388" t="s">
        <v>1379</v>
      </c>
      <c r="H331" s="388" t="s">
        <v>1380</v>
      </c>
      <c r="I331" s="388" t="s">
        <v>1393</v>
      </c>
      <c r="J331" s="388" t="s">
        <v>1382</v>
      </c>
      <c r="K331" s="388" t="s">
        <v>1383</v>
      </c>
      <c r="L331" s="389">
        <v>65</v>
      </c>
      <c r="M331" s="390" t="s">
        <v>2996</v>
      </c>
      <c r="N331" s="390" t="s">
        <v>2997</v>
      </c>
      <c r="O331" s="390" t="s">
        <v>1474</v>
      </c>
      <c r="P331" s="390" t="s">
        <v>1387</v>
      </c>
      <c r="Q331" s="388" t="s">
        <v>1383</v>
      </c>
      <c r="R331" s="390">
        <v>7</v>
      </c>
      <c r="S331" s="390" t="s">
        <v>1687</v>
      </c>
      <c r="T331" s="390">
        <v>49</v>
      </c>
      <c r="U331" s="390" t="s">
        <v>2981</v>
      </c>
      <c r="V331" s="390">
        <v>4529</v>
      </c>
      <c r="W331" s="390" t="s">
        <v>2982</v>
      </c>
      <c r="X331" s="390">
        <v>70219</v>
      </c>
      <c r="Y331" s="390" t="s">
        <v>2995</v>
      </c>
      <c r="Z331" s="391" t="s">
        <v>2998</v>
      </c>
    </row>
    <row r="332" spans="2:26" ht="15.75" customHeight="1" x14ac:dyDescent="0.3">
      <c r="B332" s="387" t="s">
        <v>1375</v>
      </c>
      <c r="C332" s="388">
        <v>122098</v>
      </c>
      <c r="D332" s="388" t="s">
        <v>2999</v>
      </c>
      <c r="E332" s="388" t="s">
        <v>1377</v>
      </c>
      <c r="F332" s="388" t="s">
        <v>1378</v>
      </c>
      <c r="G332" s="388" t="s">
        <v>1379</v>
      </c>
      <c r="H332" s="388" t="s">
        <v>1380</v>
      </c>
      <c r="I332" s="388" t="s">
        <v>1393</v>
      </c>
      <c r="J332" s="388" t="s">
        <v>1382</v>
      </c>
      <c r="K332" s="388" t="s">
        <v>1383</v>
      </c>
      <c r="L332" s="389">
        <v>176</v>
      </c>
      <c r="M332" s="390" t="s">
        <v>3000</v>
      </c>
      <c r="N332" s="390" t="s">
        <v>3001</v>
      </c>
      <c r="O332" s="390" t="s">
        <v>1474</v>
      </c>
      <c r="P332" s="390" t="s">
        <v>1387</v>
      </c>
      <c r="Q332" s="388" t="s">
        <v>1383</v>
      </c>
      <c r="R332" s="390">
        <v>7</v>
      </c>
      <c r="S332" s="390" t="s">
        <v>1687</v>
      </c>
      <c r="T332" s="390">
        <v>49</v>
      </c>
      <c r="U332" s="390" t="s">
        <v>2981</v>
      </c>
      <c r="V332" s="390">
        <v>4538</v>
      </c>
      <c r="W332" s="390" t="s">
        <v>2999</v>
      </c>
      <c r="X332" s="390">
        <v>70220</v>
      </c>
      <c r="Y332" s="390" t="s">
        <v>2999</v>
      </c>
      <c r="Z332" s="391" t="s">
        <v>3002</v>
      </c>
    </row>
    <row r="333" spans="2:26" ht="15.75" customHeight="1" x14ac:dyDescent="0.3">
      <c r="B333" s="387" t="s">
        <v>1375</v>
      </c>
      <c r="C333" s="388">
        <v>122099</v>
      </c>
      <c r="D333" s="388" t="s">
        <v>3003</v>
      </c>
      <c r="E333" s="388" t="s">
        <v>1377</v>
      </c>
      <c r="F333" s="388" t="s">
        <v>1378</v>
      </c>
      <c r="G333" s="388" t="s">
        <v>1379</v>
      </c>
      <c r="H333" s="388" t="s">
        <v>1380</v>
      </c>
      <c r="I333" s="388" t="s">
        <v>1530</v>
      </c>
      <c r="J333" s="388" t="s">
        <v>1382</v>
      </c>
      <c r="K333" s="388" t="s">
        <v>1383</v>
      </c>
      <c r="L333" s="389">
        <v>75</v>
      </c>
      <c r="M333" s="390" t="s">
        <v>3004</v>
      </c>
      <c r="N333" s="390" t="s">
        <v>3005</v>
      </c>
      <c r="O333" s="390" t="s">
        <v>1474</v>
      </c>
      <c r="P333" s="390" t="s">
        <v>1387</v>
      </c>
      <c r="Q333" s="388" t="s">
        <v>1383</v>
      </c>
      <c r="R333" s="390">
        <v>7</v>
      </c>
      <c r="S333" s="390" t="s">
        <v>1687</v>
      </c>
      <c r="T333" s="390">
        <v>84</v>
      </c>
      <c r="U333" s="390" t="s">
        <v>1920</v>
      </c>
      <c r="V333" s="390">
        <v>4622</v>
      </c>
      <c r="W333" s="390" t="s">
        <v>3006</v>
      </c>
      <c r="X333" s="390">
        <v>70084</v>
      </c>
      <c r="Y333" s="390" t="s">
        <v>3007</v>
      </c>
      <c r="Z333" s="391" t="s">
        <v>3008</v>
      </c>
    </row>
    <row r="334" spans="2:26" ht="15.75" customHeight="1" x14ac:dyDescent="0.3">
      <c r="B334" s="387" t="s">
        <v>1375</v>
      </c>
      <c r="C334" s="388">
        <v>122100</v>
      </c>
      <c r="D334" s="388" t="s">
        <v>3009</v>
      </c>
      <c r="E334" s="388" t="s">
        <v>1377</v>
      </c>
      <c r="F334" s="388" t="s">
        <v>1378</v>
      </c>
      <c r="G334" s="388" t="s">
        <v>1379</v>
      </c>
      <c r="H334" s="388" t="s">
        <v>1380</v>
      </c>
      <c r="I334" s="388" t="s">
        <v>1530</v>
      </c>
      <c r="J334" s="388" t="s">
        <v>1382</v>
      </c>
      <c r="K334" s="388" t="s">
        <v>1383</v>
      </c>
      <c r="L334" s="389">
        <v>65</v>
      </c>
      <c r="M334" s="390" t="s">
        <v>3010</v>
      </c>
      <c r="N334" s="390" t="s">
        <v>3011</v>
      </c>
      <c r="O334" s="390" t="s">
        <v>1474</v>
      </c>
      <c r="P334" s="390" t="s">
        <v>1387</v>
      </c>
      <c r="Q334" s="388" t="s">
        <v>1383</v>
      </c>
      <c r="R334" s="390">
        <v>7</v>
      </c>
      <c r="S334" s="390" t="s">
        <v>1687</v>
      </c>
      <c r="T334" s="390">
        <v>84</v>
      </c>
      <c r="U334" s="390" t="s">
        <v>1920</v>
      </c>
      <c r="V334" s="390">
        <v>4519</v>
      </c>
      <c r="W334" s="390" t="s">
        <v>2486</v>
      </c>
      <c r="X334" s="390">
        <v>70075</v>
      </c>
      <c r="Y334" s="390" t="s">
        <v>2836</v>
      </c>
      <c r="Z334" s="391" t="s">
        <v>3012</v>
      </c>
    </row>
    <row r="335" spans="2:26" ht="15.75" customHeight="1" x14ac:dyDescent="0.3">
      <c r="B335" s="387" t="s">
        <v>1375</v>
      </c>
      <c r="C335" s="388">
        <v>122102</v>
      </c>
      <c r="D335" s="388" t="s">
        <v>3013</v>
      </c>
      <c r="E335" s="388" t="s">
        <v>1377</v>
      </c>
      <c r="F335" s="388" t="s">
        <v>1378</v>
      </c>
      <c r="G335" s="388" t="s">
        <v>1379</v>
      </c>
      <c r="H335" s="388" t="s">
        <v>1380</v>
      </c>
      <c r="I335" s="388" t="s">
        <v>1393</v>
      </c>
      <c r="J335" s="388" t="s">
        <v>1382</v>
      </c>
      <c r="K335" s="388" t="s">
        <v>1383</v>
      </c>
      <c r="L335" s="389">
        <v>90</v>
      </c>
      <c r="M335" s="390" t="s">
        <v>3014</v>
      </c>
      <c r="N335" s="390" t="s">
        <v>2859</v>
      </c>
      <c r="O335" s="390" t="s">
        <v>1465</v>
      </c>
      <c r="P335" s="390" t="s">
        <v>1387</v>
      </c>
      <c r="Q335" s="388" t="s">
        <v>1383</v>
      </c>
      <c r="R335" s="390">
        <v>18</v>
      </c>
      <c r="S335" s="390" t="s">
        <v>1790</v>
      </c>
      <c r="T335" s="390">
        <v>54</v>
      </c>
      <c r="U335" s="390" t="s">
        <v>1791</v>
      </c>
      <c r="V335" s="390">
        <v>1420</v>
      </c>
      <c r="W335" s="390" t="s">
        <v>3015</v>
      </c>
      <c r="X335" s="390">
        <v>180106</v>
      </c>
      <c r="Y335" s="390" t="s">
        <v>3016</v>
      </c>
      <c r="Z335" s="391" t="s">
        <v>3017</v>
      </c>
    </row>
    <row r="336" spans="2:26" ht="15.75" customHeight="1" x14ac:dyDescent="0.3">
      <c r="B336" s="387" t="s">
        <v>1375</v>
      </c>
      <c r="C336" s="388">
        <v>122103</v>
      </c>
      <c r="D336" s="388" t="s">
        <v>3018</v>
      </c>
      <c r="E336" s="388" t="s">
        <v>1377</v>
      </c>
      <c r="F336" s="388" t="s">
        <v>1378</v>
      </c>
      <c r="G336" s="388" t="s">
        <v>1379</v>
      </c>
      <c r="H336" s="388" t="s">
        <v>1380</v>
      </c>
      <c r="I336" s="388" t="s">
        <v>1381</v>
      </c>
      <c r="J336" s="388" t="s">
        <v>1382</v>
      </c>
      <c r="K336" s="388" t="s">
        <v>1383</v>
      </c>
      <c r="L336" s="389">
        <v>140</v>
      </c>
      <c r="M336" s="390" t="s">
        <v>3019</v>
      </c>
      <c r="N336" s="390" t="s">
        <v>2450</v>
      </c>
      <c r="O336" s="390" t="s">
        <v>1465</v>
      </c>
      <c r="P336" s="390" t="s">
        <v>1387</v>
      </c>
      <c r="Q336" s="388" t="s">
        <v>1383</v>
      </c>
      <c r="R336" s="390">
        <v>18</v>
      </c>
      <c r="S336" s="390" t="s">
        <v>1790</v>
      </c>
      <c r="T336" s="390">
        <v>55</v>
      </c>
      <c r="U336" s="390" t="s">
        <v>1980</v>
      </c>
      <c r="V336" s="390">
        <v>1416</v>
      </c>
      <c r="W336" s="390" t="s">
        <v>2418</v>
      </c>
      <c r="X336" s="390">
        <v>180081</v>
      </c>
      <c r="Y336" s="390" t="s">
        <v>3020</v>
      </c>
      <c r="Z336" s="391" t="s">
        <v>3021</v>
      </c>
    </row>
    <row r="337" spans="2:26" ht="15.75" customHeight="1" x14ac:dyDescent="0.3">
      <c r="B337" s="387" t="s">
        <v>1375</v>
      </c>
      <c r="C337" s="388">
        <v>122104</v>
      </c>
      <c r="D337" s="388" t="s">
        <v>1836</v>
      </c>
      <c r="E337" s="388" t="s">
        <v>1377</v>
      </c>
      <c r="F337" s="388" t="s">
        <v>1378</v>
      </c>
      <c r="G337" s="388" t="s">
        <v>1439</v>
      </c>
      <c r="H337" s="388" t="s">
        <v>1380</v>
      </c>
      <c r="I337" s="388" t="s">
        <v>1530</v>
      </c>
      <c r="J337" s="388" t="s">
        <v>1382</v>
      </c>
      <c r="K337" s="388" t="s">
        <v>1383</v>
      </c>
      <c r="L337" s="389">
        <v>0</v>
      </c>
      <c r="M337" s="390" t="s">
        <v>3022</v>
      </c>
      <c r="N337" s="390" t="s">
        <v>3023</v>
      </c>
      <c r="O337" s="390" t="s">
        <v>1465</v>
      </c>
      <c r="P337" s="390" t="s">
        <v>1387</v>
      </c>
      <c r="Q337" s="388" t="s">
        <v>1383</v>
      </c>
      <c r="R337" s="390">
        <v>18</v>
      </c>
      <c r="S337" s="390" t="s">
        <v>1790</v>
      </c>
      <c r="T337" s="390">
        <v>53</v>
      </c>
      <c r="U337" s="390" t="s">
        <v>1823</v>
      </c>
      <c r="V337" s="390">
        <v>1412</v>
      </c>
      <c r="W337" s="390" t="s">
        <v>1835</v>
      </c>
      <c r="X337" s="390">
        <v>180044</v>
      </c>
      <c r="Y337" s="390" t="s">
        <v>3024</v>
      </c>
      <c r="Z337" s="391" t="s">
        <v>3025</v>
      </c>
    </row>
    <row r="338" spans="2:26" ht="15.75" customHeight="1" x14ac:dyDescent="0.3">
      <c r="B338" s="387" t="s">
        <v>1375</v>
      </c>
      <c r="C338" s="388">
        <v>122105</v>
      </c>
      <c r="D338" s="388" t="s">
        <v>3026</v>
      </c>
      <c r="E338" s="388" t="s">
        <v>1377</v>
      </c>
      <c r="F338" s="388" t="s">
        <v>1378</v>
      </c>
      <c r="G338" s="388" t="s">
        <v>1379</v>
      </c>
      <c r="H338" s="388" t="s">
        <v>1380</v>
      </c>
      <c r="I338" s="388" t="s">
        <v>1393</v>
      </c>
      <c r="J338" s="388" t="s">
        <v>1382</v>
      </c>
      <c r="K338" s="388" t="s">
        <v>1383</v>
      </c>
      <c r="L338" s="389">
        <v>77</v>
      </c>
      <c r="M338" s="390" t="s">
        <v>3027</v>
      </c>
      <c r="N338" s="390" t="s">
        <v>1814</v>
      </c>
      <c r="O338" s="390" t="s">
        <v>1465</v>
      </c>
      <c r="P338" s="390" t="s">
        <v>1387</v>
      </c>
      <c r="Q338" s="388" t="s">
        <v>1383</v>
      </c>
      <c r="R338" s="390">
        <v>18</v>
      </c>
      <c r="S338" s="390" t="s">
        <v>1790</v>
      </c>
      <c r="T338" s="390">
        <v>53</v>
      </c>
      <c r="U338" s="390" t="s">
        <v>1823</v>
      </c>
      <c r="V338" s="390">
        <v>1426</v>
      </c>
      <c r="W338" s="390" t="s">
        <v>1410</v>
      </c>
      <c r="X338" s="390">
        <v>180077</v>
      </c>
      <c r="Y338" s="390" t="s">
        <v>3026</v>
      </c>
      <c r="Z338" s="391" t="s">
        <v>3028</v>
      </c>
    </row>
    <row r="339" spans="2:26" ht="15.75" customHeight="1" x14ac:dyDescent="0.3">
      <c r="B339" s="387" t="s">
        <v>1375</v>
      </c>
      <c r="C339" s="388">
        <v>122106</v>
      </c>
      <c r="D339" s="388" t="s">
        <v>3029</v>
      </c>
      <c r="E339" s="388" t="s">
        <v>1377</v>
      </c>
      <c r="F339" s="388" t="s">
        <v>1378</v>
      </c>
      <c r="G339" s="388" t="s">
        <v>1379</v>
      </c>
      <c r="H339" s="388" t="s">
        <v>1380</v>
      </c>
      <c r="I339" s="388" t="s">
        <v>1393</v>
      </c>
      <c r="J339" s="388" t="s">
        <v>1382</v>
      </c>
      <c r="K339" s="388" t="s">
        <v>1383</v>
      </c>
      <c r="L339" s="389">
        <v>88</v>
      </c>
      <c r="M339" s="390" t="s">
        <v>3030</v>
      </c>
      <c r="N339" s="390" t="s">
        <v>2337</v>
      </c>
      <c r="O339" s="390" t="s">
        <v>1465</v>
      </c>
      <c r="P339" s="390" t="s">
        <v>1387</v>
      </c>
      <c r="Q339" s="388" t="s">
        <v>1383</v>
      </c>
      <c r="R339" s="390">
        <v>18</v>
      </c>
      <c r="S339" s="390" t="s">
        <v>1790</v>
      </c>
      <c r="T339" s="390">
        <v>54</v>
      </c>
      <c r="U339" s="390" t="s">
        <v>1791</v>
      </c>
      <c r="V339" s="390">
        <v>1414</v>
      </c>
      <c r="W339" s="390" t="s">
        <v>2900</v>
      </c>
      <c r="X339" s="390">
        <v>180091</v>
      </c>
      <c r="Y339" s="390" t="s">
        <v>1791</v>
      </c>
      <c r="Z339" s="391" t="s">
        <v>3031</v>
      </c>
    </row>
    <row r="340" spans="2:26" ht="15.75" customHeight="1" x14ac:dyDescent="0.3">
      <c r="B340" s="387" t="s">
        <v>1375</v>
      </c>
      <c r="C340" s="388">
        <v>122107</v>
      </c>
      <c r="D340" s="388" t="s">
        <v>3032</v>
      </c>
      <c r="E340" s="388" t="s">
        <v>1377</v>
      </c>
      <c r="F340" s="388" t="s">
        <v>1378</v>
      </c>
      <c r="G340" s="388" t="s">
        <v>1379</v>
      </c>
      <c r="H340" s="388" t="s">
        <v>1380</v>
      </c>
      <c r="I340" s="388" t="s">
        <v>1393</v>
      </c>
      <c r="J340" s="388" t="s">
        <v>1382</v>
      </c>
      <c r="K340" s="388" t="s">
        <v>1383</v>
      </c>
      <c r="L340" s="389">
        <v>119</v>
      </c>
      <c r="M340" s="390" t="s">
        <v>3033</v>
      </c>
      <c r="N340" s="390" t="s">
        <v>1803</v>
      </c>
      <c r="O340" s="390" t="s">
        <v>1465</v>
      </c>
      <c r="P340" s="390" t="s">
        <v>1387</v>
      </c>
      <c r="Q340" s="388" t="s">
        <v>1383</v>
      </c>
      <c r="R340" s="390">
        <v>18</v>
      </c>
      <c r="S340" s="390" t="s">
        <v>1790</v>
      </c>
      <c r="T340" s="390">
        <v>54</v>
      </c>
      <c r="U340" s="390" t="s">
        <v>1791</v>
      </c>
      <c r="V340" s="390">
        <v>1414</v>
      </c>
      <c r="W340" s="390" t="s">
        <v>2900</v>
      </c>
      <c r="X340" s="390">
        <v>180031</v>
      </c>
      <c r="Y340" s="390" t="s">
        <v>2901</v>
      </c>
      <c r="Z340" s="391" t="s">
        <v>3034</v>
      </c>
    </row>
    <row r="341" spans="2:26" ht="15.75" customHeight="1" x14ac:dyDescent="0.3">
      <c r="B341" s="387" t="s">
        <v>1375</v>
      </c>
      <c r="C341" s="388">
        <v>122108</v>
      </c>
      <c r="D341" s="388" t="s">
        <v>3035</v>
      </c>
      <c r="E341" s="388" t="s">
        <v>1377</v>
      </c>
      <c r="F341" s="388" t="s">
        <v>1378</v>
      </c>
      <c r="G341" s="388" t="s">
        <v>1379</v>
      </c>
      <c r="H341" s="388" t="s">
        <v>1380</v>
      </c>
      <c r="I341" s="388" t="s">
        <v>1440</v>
      </c>
      <c r="J341" s="388" t="s">
        <v>1382</v>
      </c>
      <c r="K341" s="388" t="s">
        <v>1383</v>
      </c>
      <c r="L341" s="389">
        <v>76</v>
      </c>
      <c r="M341" s="390" t="s">
        <v>3036</v>
      </c>
      <c r="N341" s="390" t="s">
        <v>2820</v>
      </c>
      <c r="O341" s="390" t="s">
        <v>1465</v>
      </c>
      <c r="P341" s="390" t="s">
        <v>1387</v>
      </c>
      <c r="Q341" s="388" t="s">
        <v>1383</v>
      </c>
      <c r="R341" s="390">
        <v>18</v>
      </c>
      <c r="S341" s="390" t="s">
        <v>1790</v>
      </c>
      <c r="T341" s="390">
        <v>55</v>
      </c>
      <c r="U341" s="390" t="s">
        <v>1980</v>
      </c>
      <c r="V341" s="390">
        <v>1416</v>
      </c>
      <c r="W341" s="390" t="s">
        <v>2418</v>
      </c>
      <c r="X341" s="390">
        <v>180151</v>
      </c>
      <c r="Y341" s="390" t="s">
        <v>2781</v>
      </c>
      <c r="Z341" s="391" t="s">
        <v>3037</v>
      </c>
    </row>
    <row r="342" spans="2:26" ht="15.75" customHeight="1" x14ac:dyDescent="0.3">
      <c r="B342" s="387" t="s">
        <v>1375</v>
      </c>
      <c r="C342" s="388">
        <v>122109</v>
      </c>
      <c r="D342" s="388" t="s">
        <v>3038</v>
      </c>
      <c r="E342" s="388" t="s">
        <v>1377</v>
      </c>
      <c r="F342" s="388" t="s">
        <v>1378</v>
      </c>
      <c r="G342" s="388" t="s">
        <v>1379</v>
      </c>
      <c r="H342" s="388" t="s">
        <v>1380</v>
      </c>
      <c r="I342" s="388" t="s">
        <v>1530</v>
      </c>
      <c r="J342" s="388" t="s">
        <v>1382</v>
      </c>
      <c r="K342" s="388" t="s">
        <v>1383</v>
      </c>
      <c r="L342" s="389">
        <v>134</v>
      </c>
      <c r="M342" s="390" t="s">
        <v>3039</v>
      </c>
      <c r="N342" s="390" t="s">
        <v>2824</v>
      </c>
      <c r="O342" s="390" t="s">
        <v>1465</v>
      </c>
      <c r="P342" s="390" t="s">
        <v>1387</v>
      </c>
      <c r="Q342" s="388" t="s">
        <v>1383</v>
      </c>
      <c r="R342" s="390">
        <v>18</v>
      </c>
      <c r="S342" s="390" t="s">
        <v>1790</v>
      </c>
      <c r="T342" s="390">
        <v>55</v>
      </c>
      <c r="U342" s="390" t="s">
        <v>1980</v>
      </c>
      <c r="V342" s="390">
        <v>1435</v>
      </c>
      <c r="W342" s="390" t="s">
        <v>3040</v>
      </c>
      <c r="X342" s="390">
        <v>180061</v>
      </c>
      <c r="Y342" s="390" t="s">
        <v>3041</v>
      </c>
      <c r="Z342" s="391" t="s">
        <v>3042</v>
      </c>
    </row>
    <row r="343" spans="2:26" ht="15.75" customHeight="1" x14ac:dyDescent="0.3">
      <c r="B343" s="387" t="s">
        <v>1375</v>
      </c>
      <c r="C343" s="388">
        <v>122110</v>
      </c>
      <c r="D343" s="388" t="s">
        <v>3043</v>
      </c>
      <c r="E343" s="388" t="s">
        <v>1377</v>
      </c>
      <c r="F343" s="388" t="s">
        <v>1378</v>
      </c>
      <c r="G343" s="388" t="s">
        <v>1379</v>
      </c>
      <c r="H343" s="388" t="s">
        <v>1380</v>
      </c>
      <c r="I343" s="388" t="s">
        <v>1381</v>
      </c>
      <c r="J343" s="388" t="s">
        <v>1382</v>
      </c>
      <c r="K343" s="388" t="s">
        <v>1383</v>
      </c>
      <c r="L343" s="389">
        <v>99</v>
      </c>
      <c r="M343" s="390" t="s">
        <v>3044</v>
      </c>
      <c r="N343" s="390" t="s">
        <v>3045</v>
      </c>
      <c r="O343" s="390" t="s">
        <v>1386</v>
      </c>
      <c r="P343" s="390" t="s">
        <v>1387</v>
      </c>
      <c r="Q343" s="388" t="s">
        <v>1383</v>
      </c>
      <c r="R343" s="390">
        <v>4</v>
      </c>
      <c r="S343" s="390" t="s">
        <v>1451</v>
      </c>
      <c r="T343" s="390">
        <v>50</v>
      </c>
      <c r="U343" s="390" t="s">
        <v>1458</v>
      </c>
      <c r="V343" s="390">
        <v>1354</v>
      </c>
      <c r="W343" s="390" t="s">
        <v>3046</v>
      </c>
      <c r="X343" s="390">
        <v>40091</v>
      </c>
      <c r="Y343" s="390" t="s">
        <v>2187</v>
      </c>
      <c r="Z343" s="391" t="s">
        <v>3047</v>
      </c>
    </row>
    <row r="344" spans="2:26" ht="15.75" customHeight="1" x14ac:dyDescent="0.3">
      <c r="B344" s="387" t="s">
        <v>1375</v>
      </c>
      <c r="C344" s="388">
        <v>122111</v>
      </c>
      <c r="D344" s="388" t="s">
        <v>3048</v>
      </c>
      <c r="E344" s="388" t="s">
        <v>1377</v>
      </c>
      <c r="F344" s="388" t="s">
        <v>1378</v>
      </c>
      <c r="G344" s="388" t="s">
        <v>1379</v>
      </c>
      <c r="H344" s="388" t="s">
        <v>1380</v>
      </c>
      <c r="I344" s="388" t="s">
        <v>1393</v>
      </c>
      <c r="J344" s="388" t="s">
        <v>1382</v>
      </c>
      <c r="K344" s="388" t="s">
        <v>1383</v>
      </c>
      <c r="L344" s="389">
        <v>100</v>
      </c>
      <c r="M344" s="390" t="s">
        <v>3049</v>
      </c>
      <c r="N344" s="390" t="s">
        <v>3050</v>
      </c>
      <c r="O344" s="390" t="s">
        <v>1386</v>
      </c>
      <c r="P344" s="390" t="s">
        <v>1387</v>
      </c>
      <c r="Q344" s="388" t="s">
        <v>1383</v>
      </c>
      <c r="R344" s="390">
        <v>4</v>
      </c>
      <c r="S344" s="390" t="s">
        <v>1451</v>
      </c>
      <c r="T344" s="390">
        <v>51</v>
      </c>
      <c r="U344" s="390" t="s">
        <v>1885</v>
      </c>
      <c r="V344" s="390">
        <v>1325</v>
      </c>
      <c r="W344" s="390" t="s">
        <v>2102</v>
      </c>
      <c r="X344" s="390">
        <v>40260</v>
      </c>
      <c r="Y344" s="390" t="s">
        <v>3048</v>
      </c>
      <c r="Z344" s="391" t="s">
        <v>3051</v>
      </c>
    </row>
    <row r="345" spans="2:26" ht="15.75" customHeight="1" x14ac:dyDescent="0.3">
      <c r="B345" s="387" t="s">
        <v>1375</v>
      </c>
      <c r="C345" s="388">
        <v>122112</v>
      </c>
      <c r="D345" s="388" t="s">
        <v>3052</v>
      </c>
      <c r="E345" s="388" t="s">
        <v>1377</v>
      </c>
      <c r="F345" s="388" t="s">
        <v>1378</v>
      </c>
      <c r="G345" s="388" t="s">
        <v>1439</v>
      </c>
      <c r="H345" s="388" t="s">
        <v>1380</v>
      </c>
      <c r="I345" s="388" t="s">
        <v>1393</v>
      </c>
      <c r="J345" s="388" t="s">
        <v>1382</v>
      </c>
      <c r="K345" s="388" t="s">
        <v>1383</v>
      </c>
      <c r="L345" s="389">
        <v>0</v>
      </c>
      <c r="M345" s="390" t="s">
        <v>3053</v>
      </c>
      <c r="N345" s="390" t="s">
        <v>3054</v>
      </c>
      <c r="O345" s="390" t="s">
        <v>1386</v>
      </c>
      <c r="P345" s="390" t="s">
        <v>1387</v>
      </c>
      <c r="Q345" s="388" t="s">
        <v>1383</v>
      </c>
      <c r="R345" s="390">
        <v>4</v>
      </c>
      <c r="S345" s="390" t="s">
        <v>1451</v>
      </c>
      <c r="T345" s="390">
        <v>32</v>
      </c>
      <c r="U345" s="390" t="s">
        <v>1908</v>
      </c>
      <c r="V345" s="390">
        <v>1104</v>
      </c>
      <c r="W345" s="390" t="s">
        <v>3055</v>
      </c>
      <c r="X345" s="390">
        <v>40076</v>
      </c>
      <c r="Y345" s="390" t="s">
        <v>3056</v>
      </c>
      <c r="Z345" s="391" t="s">
        <v>3057</v>
      </c>
    </row>
    <row r="346" spans="2:26" ht="15.75" customHeight="1" x14ac:dyDescent="0.3">
      <c r="B346" s="387" t="s">
        <v>1375</v>
      </c>
      <c r="C346" s="388">
        <v>122113</v>
      </c>
      <c r="D346" s="388" t="s">
        <v>3058</v>
      </c>
      <c r="E346" s="388" t="s">
        <v>1377</v>
      </c>
      <c r="F346" s="388" t="s">
        <v>1378</v>
      </c>
      <c r="G346" s="388" t="s">
        <v>1439</v>
      </c>
      <c r="H346" s="388" t="s">
        <v>1380</v>
      </c>
      <c r="I346" s="388" t="s">
        <v>1530</v>
      </c>
      <c r="J346" s="388" t="s">
        <v>1382</v>
      </c>
      <c r="K346" s="388" t="s">
        <v>1383</v>
      </c>
      <c r="L346" s="389">
        <v>0</v>
      </c>
      <c r="M346" s="390" t="s">
        <v>3059</v>
      </c>
      <c r="N346" s="390" t="s">
        <v>3060</v>
      </c>
      <c r="O346" s="390" t="s">
        <v>3061</v>
      </c>
      <c r="P346" s="390" t="s">
        <v>1387</v>
      </c>
      <c r="Q346" s="388" t="s">
        <v>1383</v>
      </c>
      <c r="R346" s="390">
        <v>4</v>
      </c>
      <c r="S346" s="390" t="s">
        <v>1451</v>
      </c>
      <c r="T346" s="390">
        <v>51</v>
      </c>
      <c r="U346" s="390" t="s">
        <v>1885</v>
      </c>
      <c r="V346" s="390">
        <v>1330</v>
      </c>
      <c r="W346" s="390" t="s">
        <v>3062</v>
      </c>
      <c r="X346" s="390">
        <v>40081</v>
      </c>
      <c r="Y346" s="390" t="s">
        <v>3063</v>
      </c>
      <c r="Z346" s="391" t="s">
        <v>3064</v>
      </c>
    </row>
    <row r="347" spans="2:26" ht="15.75" customHeight="1" x14ac:dyDescent="0.3">
      <c r="B347" s="387" t="s">
        <v>1375</v>
      </c>
      <c r="C347" s="388">
        <v>122114</v>
      </c>
      <c r="D347" s="388" t="s">
        <v>3065</v>
      </c>
      <c r="E347" s="388" t="s">
        <v>1377</v>
      </c>
      <c r="F347" s="388" t="s">
        <v>1378</v>
      </c>
      <c r="G347" s="388" t="s">
        <v>1439</v>
      </c>
      <c r="H347" s="388" t="s">
        <v>1380</v>
      </c>
      <c r="I347" s="388" t="s">
        <v>1530</v>
      </c>
      <c r="J347" s="388" t="s">
        <v>1382</v>
      </c>
      <c r="K347" s="388" t="s">
        <v>1383</v>
      </c>
      <c r="L347" s="389">
        <v>0</v>
      </c>
      <c r="M347" s="390" t="s">
        <v>3066</v>
      </c>
      <c r="N347" s="390" t="s">
        <v>3067</v>
      </c>
      <c r="O347" s="390" t="s">
        <v>3061</v>
      </c>
      <c r="P347" s="390" t="s">
        <v>1387</v>
      </c>
      <c r="Q347" s="388" t="s">
        <v>1383</v>
      </c>
      <c r="R347" s="390">
        <v>4</v>
      </c>
      <c r="S347" s="390" t="s">
        <v>1451</v>
      </c>
      <c r="T347" s="390">
        <v>51</v>
      </c>
      <c r="U347" s="390" t="s">
        <v>1885</v>
      </c>
      <c r="V347" s="390">
        <v>1327</v>
      </c>
      <c r="W347" s="390" t="s">
        <v>1885</v>
      </c>
      <c r="X347" s="390">
        <v>40103</v>
      </c>
      <c r="Y347" s="390" t="s">
        <v>1885</v>
      </c>
      <c r="Z347" s="391" t="s">
        <v>3068</v>
      </c>
    </row>
    <row r="348" spans="2:26" ht="15.75" customHeight="1" x14ac:dyDescent="0.3">
      <c r="B348" s="387" t="s">
        <v>1375</v>
      </c>
      <c r="C348" s="388">
        <v>122115</v>
      </c>
      <c r="D348" s="388" t="s">
        <v>3069</v>
      </c>
      <c r="E348" s="388" t="s">
        <v>1377</v>
      </c>
      <c r="F348" s="388" t="s">
        <v>1378</v>
      </c>
      <c r="G348" s="388" t="s">
        <v>1379</v>
      </c>
      <c r="H348" s="388" t="s">
        <v>1380</v>
      </c>
      <c r="I348" s="388" t="s">
        <v>1393</v>
      </c>
      <c r="J348" s="388" t="s">
        <v>1382</v>
      </c>
      <c r="K348" s="388" t="s">
        <v>1383</v>
      </c>
      <c r="L348" s="389">
        <v>82</v>
      </c>
      <c r="M348" s="390" t="s">
        <v>3070</v>
      </c>
      <c r="N348" s="390" t="s">
        <v>3071</v>
      </c>
      <c r="O348" s="390" t="s">
        <v>1386</v>
      </c>
      <c r="P348" s="390" t="s">
        <v>1387</v>
      </c>
      <c r="Q348" s="388" t="s">
        <v>1383</v>
      </c>
      <c r="R348" s="390">
        <v>4</v>
      </c>
      <c r="S348" s="390" t="s">
        <v>1451</v>
      </c>
      <c r="T348" s="390">
        <v>34</v>
      </c>
      <c r="U348" s="390" t="s">
        <v>1452</v>
      </c>
      <c r="V348" s="390">
        <v>1409</v>
      </c>
      <c r="W348" s="390" t="s">
        <v>3026</v>
      </c>
      <c r="X348" s="390">
        <v>40178</v>
      </c>
      <c r="Y348" s="390" t="s">
        <v>3072</v>
      </c>
      <c r="Z348" s="391" t="s">
        <v>3073</v>
      </c>
    </row>
    <row r="349" spans="2:26" ht="15.75" customHeight="1" x14ac:dyDescent="0.3">
      <c r="B349" s="387" t="s">
        <v>1375</v>
      </c>
      <c r="C349" s="388">
        <v>122116</v>
      </c>
      <c r="D349" s="388" t="s">
        <v>3074</v>
      </c>
      <c r="E349" s="388" t="s">
        <v>1377</v>
      </c>
      <c r="F349" s="388" t="s">
        <v>1378</v>
      </c>
      <c r="G349" s="388" t="s">
        <v>1379</v>
      </c>
      <c r="H349" s="388" t="s">
        <v>1380</v>
      </c>
      <c r="I349" s="388" t="s">
        <v>1381</v>
      </c>
      <c r="J349" s="388" t="s">
        <v>1382</v>
      </c>
      <c r="K349" s="388" t="s">
        <v>1383</v>
      </c>
      <c r="L349" s="389">
        <v>113</v>
      </c>
      <c r="M349" s="390" t="s">
        <v>3075</v>
      </c>
      <c r="N349" s="390" t="s">
        <v>3076</v>
      </c>
      <c r="O349" s="390" t="s">
        <v>1386</v>
      </c>
      <c r="P349" s="390" t="s">
        <v>1387</v>
      </c>
      <c r="Q349" s="388" t="s">
        <v>1383</v>
      </c>
      <c r="R349" s="390">
        <v>4</v>
      </c>
      <c r="S349" s="390" t="s">
        <v>1451</v>
      </c>
      <c r="T349" s="390">
        <v>50</v>
      </c>
      <c r="U349" s="390" t="s">
        <v>1458</v>
      </c>
      <c r="V349" s="390">
        <v>1321</v>
      </c>
      <c r="W349" s="390" t="s">
        <v>3077</v>
      </c>
      <c r="X349" s="390">
        <v>40185</v>
      </c>
      <c r="Y349" s="390" t="s">
        <v>3078</v>
      </c>
      <c r="Z349" s="391" t="s">
        <v>3079</v>
      </c>
    </row>
    <row r="350" spans="2:26" ht="15.75" customHeight="1" x14ac:dyDescent="0.3">
      <c r="B350" s="387" t="s">
        <v>1375</v>
      </c>
      <c r="C350" s="388">
        <v>122117</v>
      </c>
      <c r="D350" s="388" t="s">
        <v>3080</v>
      </c>
      <c r="E350" s="388" t="s">
        <v>1377</v>
      </c>
      <c r="F350" s="388" t="s">
        <v>1378</v>
      </c>
      <c r="G350" s="388" t="s">
        <v>1379</v>
      </c>
      <c r="H350" s="388" t="s">
        <v>1380</v>
      </c>
      <c r="I350" s="388" t="s">
        <v>1530</v>
      </c>
      <c r="J350" s="388" t="s">
        <v>1382</v>
      </c>
      <c r="K350" s="388" t="s">
        <v>1383</v>
      </c>
      <c r="L350" s="389">
        <v>69</v>
      </c>
      <c r="M350" s="390" t="s">
        <v>3081</v>
      </c>
      <c r="N350" s="390" t="s">
        <v>3082</v>
      </c>
      <c r="O350" s="390" t="s">
        <v>1386</v>
      </c>
      <c r="P350" s="390" t="s">
        <v>1387</v>
      </c>
      <c r="Q350" s="388" t="s">
        <v>1383</v>
      </c>
      <c r="R350" s="390">
        <v>4</v>
      </c>
      <c r="S350" s="390" t="s">
        <v>1451</v>
      </c>
      <c r="T350" s="390">
        <v>50</v>
      </c>
      <c r="U350" s="390" t="s">
        <v>1458</v>
      </c>
      <c r="V350" s="390">
        <v>1311</v>
      </c>
      <c r="W350" s="390" t="s">
        <v>3083</v>
      </c>
      <c r="X350" s="390">
        <v>40074</v>
      </c>
      <c r="Y350" s="390" t="s">
        <v>1458</v>
      </c>
      <c r="Z350" s="391" t="s">
        <v>3084</v>
      </c>
    </row>
    <row r="351" spans="2:26" ht="15.75" customHeight="1" x14ac:dyDescent="0.3">
      <c r="B351" s="387" t="s">
        <v>1375</v>
      </c>
      <c r="C351" s="388">
        <v>122118</v>
      </c>
      <c r="D351" s="388" t="s">
        <v>3085</v>
      </c>
      <c r="E351" s="388" t="s">
        <v>1377</v>
      </c>
      <c r="F351" s="388" t="s">
        <v>1378</v>
      </c>
      <c r="G351" s="388" t="s">
        <v>1439</v>
      </c>
      <c r="H351" s="388" t="s">
        <v>1380</v>
      </c>
      <c r="I351" s="388" t="s">
        <v>1530</v>
      </c>
      <c r="J351" s="388" t="s">
        <v>1382</v>
      </c>
      <c r="K351" s="388" t="s">
        <v>1383</v>
      </c>
      <c r="L351" s="389">
        <v>0</v>
      </c>
      <c r="M351" s="390" t="s">
        <v>3086</v>
      </c>
      <c r="N351" s="390" t="s">
        <v>1745</v>
      </c>
      <c r="O351" s="390" t="s">
        <v>1699</v>
      </c>
      <c r="P351" s="390" t="s">
        <v>1383</v>
      </c>
      <c r="Q351" s="388" t="s">
        <v>1383</v>
      </c>
      <c r="R351" s="390">
        <v>4</v>
      </c>
      <c r="S351" s="390" t="s">
        <v>1451</v>
      </c>
      <c r="T351" s="390">
        <v>51</v>
      </c>
      <c r="U351" s="390" t="s">
        <v>1885</v>
      </c>
      <c r="V351" s="390">
        <v>1338</v>
      </c>
      <c r="W351" s="390" t="s">
        <v>3087</v>
      </c>
      <c r="X351" s="390">
        <v>40246</v>
      </c>
      <c r="Y351" s="390" t="s">
        <v>3088</v>
      </c>
      <c r="Z351" s="391" t="s">
        <v>3089</v>
      </c>
    </row>
    <row r="352" spans="2:26" ht="15.75" customHeight="1" x14ac:dyDescent="0.3">
      <c r="B352" s="387" t="s">
        <v>1375</v>
      </c>
      <c r="C352" s="388">
        <v>122119</v>
      </c>
      <c r="D352" s="388" t="s">
        <v>3090</v>
      </c>
      <c r="E352" s="388" t="s">
        <v>1377</v>
      </c>
      <c r="F352" s="388" t="s">
        <v>1378</v>
      </c>
      <c r="G352" s="388" t="s">
        <v>1379</v>
      </c>
      <c r="H352" s="388" t="s">
        <v>1380</v>
      </c>
      <c r="I352" s="388" t="s">
        <v>1393</v>
      </c>
      <c r="J352" s="388" t="s">
        <v>1382</v>
      </c>
      <c r="K352" s="388" t="s">
        <v>1383</v>
      </c>
      <c r="L352" s="389">
        <v>140</v>
      </c>
      <c r="M352" s="390" t="s">
        <v>3091</v>
      </c>
      <c r="N352" s="390" t="s">
        <v>3092</v>
      </c>
      <c r="O352" s="390" t="s">
        <v>1386</v>
      </c>
      <c r="P352" s="390" t="s">
        <v>1387</v>
      </c>
      <c r="Q352" s="388" t="s">
        <v>1383</v>
      </c>
      <c r="R352" s="390">
        <v>3</v>
      </c>
      <c r="S352" s="390" t="s">
        <v>1430</v>
      </c>
      <c r="T352" s="390">
        <v>96</v>
      </c>
      <c r="U352" s="390" t="s">
        <v>1431</v>
      </c>
      <c r="V352" s="390">
        <v>3210</v>
      </c>
      <c r="W352" s="390" t="s">
        <v>3093</v>
      </c>
      <c r="X352" s="390">
        <v>30013</v>
      </c>
      <c r="Y352" s="390" t="s">
        <v>3090</v>
      </c>
      <c r="Z352" s="391" t="s">
        <v>3094</v>
      </c>
    </row>
    <row r="353" spans="2:26" ht="15.75" customHeight="1" x14ac:dyDescent="0.3">
      <c r="B353" s="387" t="s">
        <v>1375</v>
      </c>
      <c r="C353" s="388">
        <v>122120</v>
      </c>
      <c r="D353" s="388" t="s">
        <v>3095</v>
      </c>
      <c r="E353" s="388" t="s">
        <v>1377</v>
      </c>
      <c r="F353" s="388" t="s">
        <v>1378</v>
      </c>
      <c r="G353" s="388" t="s">
        <v>1379</v>
      </c>
      <c r="H353" s="388" t="s">
        <v>1380</v>
      </c>
      <c r="I353" s="388" t="s">
        <v>1393</v>
      </c>
      <c r="J353" s="388" t="s">
        <v>1382</v>
      </c>
      <c r="K353" s="388" t="s">
        <v>1383</v>
      </c>
      <c r="L353" s="389">
        <v>73</v>
      </c>
      <c r="M353" s="390" t="s">
        <v>3096</v>
      </c>
      <c r="N353" s="390" t="s">
        <v>3097</v>
      </c>
      <c r="O353" s="390" t="s">
        <v>1386</v>
      </c>
      <c r="P353" s="390" t="s">
        <v>1387</v>
      </c>
      <c r="Q353" s="388" t="s">
        <v>1383</v>
      </c>
      <c r="R353" s="390">
        <v>3</v>
      </c>
      <c r="S353" s="390" t="s">
        <v>1430</v>
      </c>
      <c r="T353" s="390">
        <v>96</v>
      </c>
      <c r="U353" s="390" t="s">
        <v>1431</v>
      </c>
      <c r="V353" s="390">
        <v>3208</v>
      </c>
      <c r="W353" s="390" t="s">
        <v>2277</v>
      </c>
      <c r="X353" s="390">
        <v>30049</v>
      </c>
      <c r="Y353" s="390" t="s">
        <v>3095</v>
      </c>
      <c r="Z353" s="391" t="s">
        <v>3098</v>
      </c>
    </row>
    <row r="354" spans="2:26" ht="15.75" customHeight="1" x14ac:dyDescent="0.3">
      <c r="B354" s="387" t="s">
        <v>1375</v>
      </c>
      <c r="C354" s="388">
        <v>122121</v>
      </c>
      <c r="D354" s="388" t="s">
        <v>2542</v>
      </c>
      <c r="E354" s="388" t="s">
        <v>1377</v>
      </c>
      <c r="F354" s="388" t="s">
        <v>1378</v>
      </c>
      <c r="G354" s="388" t="s">
        <v>1379</v>
      </c>
      <c r="H354" s="388" t="s">
        <v>1380</v>
      </c>
      <c r="I354" s="388" t="s">
        <v>1393</v>
      </c>
      <c r="J354" s="388" t="s">
        <v>1382</v>
      </c>
      <c r="K354" s="388" t="s">
        <v>1383</v>
      </c>
      <c r="L354" s="389">
        <v>130</v>
      </c>
      <c r="M354" s="390" t="s">
        <v>3099</v>
      </c>
      <c r="N354" s="390" t="s">
        <v>3100</v>
      </c>
      <c r="O354" s="390" t="s">
        <v>1657</v>
      </c>
      <c r="P354" s="390" t="s">
        <v>1387</v>
      </c>
      <c r="Q354" s="388" t="s">
        <v>1383</v>
      </c>
      <c r="R354" s="390">
        <v>6</v>
      </c>
      <c r="S354" s="390" t="s">
        <v>1658</v>
      </c>
      <c r="T354" s="390">
        <v>42</v>
      </c>
      <c r="U354" s="390" t="s">
        <v>1659</v>
      </c>
      <c r="V354" s="390">
        <v>2411</v>
      </c>
      <c r="W354" s="390" t="s">
        <v>2542</v>
      </c>
      <c r="X354" s="390">
        <v>60011</v>
      </c>
      <c r="Y354" s="390" t="s">
        <v>2542</v>
      </c>
      <c r="Z354" s="391" t="s">
        <v>3101</v>
      </c>
    </row>
    <row r="355" spans="2:26" ht="15.75" customHeight="1" x14ac:dyDescent="0.3">
      <c r="B355" s="387" t="s">
        <v>1375</v>
      </c>
      <c r="C355" s="388">
        <v>122122</v>
      </c>
      <c r="D355" s="388" t="s">
        <v>3102</v>
      </c>
      <c r="E355" s="388" t="s">
        <v>1377</v>
      </c>
      <c r="F355" s="388" t="s">
        <v>1378</v>
      </c>
      <c r="G355" s="388" t="s">
        <v>1379</v>
      </c>
      <c r="H355" s="388" t="s">
        <v>1380</v>
      </c>
      <c r="I355" s="388" t="s">
        <v>3103</v>
      </c>
      <c r="J355" s="388" t="s">
        <v>1382</v>
      </c>
      <c r="K355" s="388" t="s">
        <v>1383</v>
      </c>
      <c r="L355" s="389">
        <v>109</v>
      </c>
      <c r="M355" s="390" t="s">
        <v>3104</v>
      </c>
      <c r="N355" s="390" t="s">
        <v>3100</v>
      </c>
      <c r="O355" s="390" t="s">
        <v>1657</v>
      </c>
      <c r="P355" s="390" t="s">
        <v>1387</v>
      </c>
      <c r="Q355" s="388" t="s">
        <v>1383</v>
      </c>
      <c r="R355" s="390">
        <v>6</v>
      </c>
      <c r="S355" s="390" t="s">
        <v>1658</v>
      </c>
      <c r="T355" s="390">
        <v>42</v>
      </c>
      <c r="U355" s="390" t="s">
        <v>1659</v>
      </c>
      <c r="V355" s="390">
        <v>2413</v>
      </c>
      <c r="W355" s="390" t="s">
        <v>1759</v>
      </c>
      <c r="X355" s="390">
        <v>60014</v>
      </c>
      <c r="Y355" s="390" t="s">
        <v>1759</v>
      </c>
      <c r="Z355" s="391" t="s">
        <v>3105</v>
      </c>
    </row>
    <row r="356" spans="2:26" ht="15.75" customHeight="1" x14ac:dyDescent="0.3">
      <c r="B356" s="387" t="s">
        <v>1375</v>
      </c>
      <c r="C356" s="388">
        <v>122123</v>
      </c>
      <c r="D356" s="388" t="s">
        <v>3106</v>
      </c>
      <c r="E356" s="388" t="s">
        <v>1377</v>
      </c>
      <c r="F356" s="388" t="s">
        <v>1378</v>
      </c>
      <c r="G356" s="388" t="s">
        <v>1379</v>
      </c>
      <c r="H356" s="388" t="s">
        <v>1380</v>
      </c>
      <c r="I356" s="388" t="s">
        <v>1393</v>
      </c>
      <c r="J356" s="388" t="s">
        <v>1382</v>
      </c>
      <c r="K356" s="388" t="s">
        <v>1383</v>
      </c>
      <c r="L356" s="389">
        <v>126</v>
      </c>
      <c r="M356" s="390" t="s">
        <v>3107</v>
      </c>
      <c r="N356" s="390" t="s">
        <v>1847</v>
      </c>
      <c r="O356" s="390" t="s">
        <v>1386</v>
      </c>
      <c r="P356" s="390" t="s">
        <v>1387</v>
      </c>
      <c r="Q356" s="388" t="s">
        <v>1383</v>
      </c>
      <c r="R356" s="390">
        <v>19</v>
      </c>
      <c r="S356" s="390" t="s">
        <v>1841</v>
      </c>
      <c r="T356" s="390">
        <v>66</v>
      </c>
      <c r="U356" s="390" t="s">
        <v>1844</v>
      </c>
      <c r="V356" s="390">
        <v>2513</v>
      </c>
      <c r="W356" s="390" t="s">
        <v>2206</v>
      </c>
      <c r="X356" s="390">
        <v>190212</v>
      </c>
      <c r="Y356" s="390" t="s">
        <v>3108</v>
      </c>
      <c r="Z356" s="391" t="s">
        <v>3109</v>
      </c>
    </row>
    <row r="357" spans="2:26" ht="15.75" customHeight="1" x14ac:dyDescent="0.3">
      <c r="B357" s="387" t="s">
        <v>1375</v>
      </c>
      <c r="C357" s="388">
        <v>122124</v>
      </c>
      <c r="D357" s="388" t="s">
        <v>3110</v>
      </c>
      <c r="E357" s="388" t="s">
        <v>1377</v>
      </c>
      <c r="F357" s="388" t="s">
        <v>1378</v>
      </c>
      <c r="G357" s="388" t="s">
        <v>1379</v>
      </c>
      <c r="H357" s="388" t="s">
        <v>1380</v>
      </c>
      <c r="I357" s="388" t="s">
        <v>1393</v>
      </c>
      <c r="J357" s="388" t="s">
        <v>1382</v>
      </c>
      <c r="K357" s="388" t="s">
        <v>1383</v>
      </c>
      <c r="L357" s="389">
        <v>130</v>
      </c>
      <c r="M357" s="390" t="s">
        <v>3111</v>
      </c>
      <c r="N357" s="390" t="s">
        <v>1840</v>
      </c>
      <c r="O357" s="390" t="s">
        <v>1386</v>
      </c>
      <c r="P357" s="390" t="s">
        <v>1387</v>
      </c>
      <c r="Q357" s="388" t="s">
        <v>1383</v>
      </c>
      <c r="R357" s="390">
        <v>19</v>
      </c>
      <c r="S357" s="390" t="s">
        <v>1841</v>
      </c>
      <c r="T357" s="390">
        <v>69</v>
      </c>
      <c r="U357" s="390" t="s">
        <v>1853</v>
      </c>
      <c r="V357" s="390">
        <v>2417</v>
      </c>
      <c r="W357" s="390" t="s">
        <v>3110</v>
      </c>
      <c r="X357" s="390">
        <v>190244</v>
      </c>
      <c r="Y357" s="390" t="s">
        <v>3112</v>
      </c>
      <c r="Z357" s="391" t="s">
        <v>3113</v>
      </c>
    </row>
    <row r="358" spans="2:26" ht="15.75" customHeight="1" x14ac:dyDescent="0.3">
      <c r="B358" s="387" t="s">
        <v>1375</v>
      </c>
      <c r="C358" s="388">
        <v>122125</v>
      </c>
      <c r="D358" s="388" t="s">
        <v>3114</v>
      </c>
      <c r="E358" s="388" t="s">
        <v>1377</v>
      </c>
      <c r="F358" s="388" t="s">
        <v>1378</v>
      </c>
      <c r="G358" s="388" t="s">
        <v>1379</v>
      </c>
      <c r="H358" s="388" t="s">
        <v>1380</v>
      </c>
      <c r="I358" s="388" t="s">
        <v>1393</v>
      </c>
      <c r="J358" s="388" t="s">
        <v>1382</v>
      </c>
      <c r="K358" s="388" t="s">
        <v>1383</v>
      </c>
      <c r="L358" s="389">
        <v>160</v>
      </c>
      <c r="M358" s="390" t="s">
        <v>2794</v>
      </c>
      <c r="N358" s="390" t="s">
        <v>1852</v>
      </c>
      <c r="O358" s="390" t="s">
        <v>1386</v>
      </c>
      <c r="P358" s="390" t="s">
        <v>1387</v>
      </c>
      <c r="Q358" s="388" t="s">
        <v>1383</v>
      </c>
      <c r="R358" s="390">
        <v>19</v>
      </c>
      <c r="S358" s="390" t="s">
        <v>1841</v>
      </c>
      <c r="T358" s="390">
        <v>69</v>
      </c>
      <c r="U358" s="390" t="s">
        <v>1853</v>
      </c>
      <c r="V358" s="390">
        <v>2438</v>
      </c>
      <c r="W358" s="390" t="s">
        <v>2113</v>
      </c>
      <c r="X358" s="390">
        <v>190233</v>
      </c>
      <c r="Y358" s="390" t="s">
        <v>2113</v>
      </c>
      <c r="Z358" s="391" t="s">
        <v>2796</v>
      </c>
    </row>
    <row r="359" spans="2:26" ht="15.75" customHeight="1" x14ac:dyDescent="0.3">
      <c r="B359" s="387" t="s">
        <v>1375</v>
      </c>
      <c r="C359" s="388">
        <v>122126</v>
      </c>
      <c r="D359" s="388" t="s">
        <v>1901</v>
      </c>
      <c r="E359" s="388" t="s">
        <v>1377</v>
      </c>
      <c r="F359" s="388" t="s">
        <v>1378</v>
      </c>
      <c r="G359" s="388" t="s">
        <v>1439</v>
      </c>
      <c r="H359" s="388" t="s">
        <v>1380</v>
      </c>
      <c r="I359" s="388" t="s">
        <v>1699</v>
      </c>
      <c r="J359" s="388" t="s">
        <v>1382</v>
      </c>
      <c r="K359" s="388" t="s">
        <v>1383</v>
      </c>
      <c r="L359" s="389">
        <v>0</v>
      </c>
      <c r="M359" s="390" t="s">
        <v>3115</v>
      </c>
      <c r="N359" s="390" t="s">
        <v>1699</v>
      </c>
      <c r="O359" s="390" t="s">
        <v>1699</v>
      </c>
      <c r="P359" s="390" t="s">
        <v>1383</v>
      </c>
      <c r="Q359" s="388" t="s">
        <v>1383</v>
      </c>
      <c r="R359" s="390">
        <v>19</v>
      </c>
      <c r="S359" s="390" t="s">
        <v>1841</v>
      </c>
      <c r="T359" s="390">
        <v>68</v>
      </c>
      <c r="U359" s="390" t="s">
        <v>1901</v>
      </c>
      <c r="V359" s="390">
        <v>2574</v>
      </c>
      <c r="W359" s="390" t="s">
        <v>3116</v>
      </c>
      <c r="X359" s="390">
        <v>190067</v>
      </c>
      <c r="Y359" s="390" t="s">
        <v>1901</v>
      </c>
      <c r="Z359" s="391" t="s">
        <v>3117</v>
      </c>
    </row>
    <row r="360" spans="2:26" ht="15.75" customHeight="1" x14ac:dyDescent="0.3">
      <c r="B360" s="387" t="s">
        <v>1375</v>
      </c>
      <c r="C360" s="388">
        <v>122127</v>
      </c>
      <c r="D360" s="388" t="s">
        <v>3118</v>
      </c>
      <c r="E360" s="388" t="s">
        <v>1377</v>
      </c>
      <c r="F360" s="388" t="s">
        <v>1378</v>
      </c>
      <c r="G360" s="388" t="s">
        <v>1439</v>
      </c>
      <c r="H360" s="388" t="s">
        <v>1380</v>
      </c>
      <c r="I360" s="388" t="s">
        <v>1699</v>
      </c>
      <c r="J360" s="388" t="s">
        <v>1382</v>
      </c>
      <c r="K360" s="388" t="s">
        <v>1383</v>
      </c>
      <c r="L360" s="389">
        <v>0</v>
      </c>
      <c r="M360" s="390" t="s">
        <v>3119</v>
      </c>
      <c r="N360" s="390" t="s">
        <v>1699</v>
      </c>
      <c r="O360" s="390" t="s">
        <v>1699</v>
      </c>
      <c r="P360" s="390" t="s">
        <v>1383</v>
      </c>
      <c r="Q360" s="388" t="s">
        <v>1383</v>
      </c>
      <c r="R360" s="390">
        <v>19</v>
      </c>
      <c r="S360" s="390" t="s">
        <v>1841</v>
      </c>
      <c r="T360" s="390">
        <v>67</v>
      </c>
      <c r="U360" s="390" t="s">
        <v>2049</v>
      </c>
      <c r="V360" s="390">
        <v>2540</v>
      </c>
      <c r="W360" s="390" t="s">
        <v>3118</v>
      </c>
      <c r="X360" s="390">
        <v>190073</v>
      </c>
      <c r="Y360" s="390" t="s">
        <v>3118</v>
      </c>
      <c r="Z360" s="391" t="s">
        <v>3120</v>
      </c>
    </row>
    <row r="361" spans="2:26" ht="15.75" customHeight="1" x14ac:dyDescent="0.3">
      <c r="B361" s="387" t="s">
        <v>1375</v>
      </c>
      <c r="C361" s="388">
        <v>122129</v>
      </c>
      <c r="D361" s="388" t="s">
        <v>3121</v>
      </c>
      <c r="E361" s="388" t="s">
        <v>1377</v>
      </c>
      <c r="F361" s="388" t="s">
        <v>1378</v>
      </c>
      <c r="G361" s="388" t="s">
        <v>1379</v>
      </c>
      <c r="H361" s="388" t="s">
        <v>1380</v>
      </c>
      <c r="I361" s="388" t="s">
        <v>1393</v>
      </c>
      <c r="J361" s="388" t="s">
        <v>1382</v>
      </c>
      <c r="K361" s="388" t="s">
        <v>1383</v>
      </c>
      <c r="L361" s="389">
        <v>148</v>
      </c>
      <c r="M361" s="390" t="s">
        <v>3122</v>
      </c>
      <c r="N361" s="390" t="s">
        <v>3123</v>
      </c>
      <c r="O361" s="390" t="s">
        <v>1386</v>
      </c>
      <c r="P361" s="390" t="s">
        <v>1387</v>
      </c>
      <c r="Q361" s="388" t="s">
        <v>1383</v>
      </c>
      <c r="R361" s="390">
        <v>19</v>
      </c>
      <c r="S361" s="390" t="s">
        <v>1841</v>
      </c>
      <c r="T361" s="390">
        <v>66</v>
      </c>
      <c r="U361" s="390" t="s">
        <v>1844</v>
      </c>
      <c r="V361" s="390">
        <v>2531</v>
      </c>
      <c r="W361" s="390" t="s">
        <v>2189</v>
      </c>
      <c r="X361" s="390">
        <v>190086</v>
      </c>
      <c r="Y361" s="390" t="s">
        <v>1652</v>
      </c>
      <c r="Z361" s="391" t="s">
        <v>3124</v>
      </c>
    </row>
    <row r="362" spans="2:26" ht="15.75" customHeight="1" x14ac:dyDescent="0.3">
      <c r="B362" s="387" t="s">
        <v>1375</v>
      </c>
      <c r="C362" s="388">
        <v>122130</v>
      </c>
      <c r="D362" s="388" t="s">
        <v>3125</v>
      </c>
      <c r="E362" s="388" t="s">
        <v>1377</v>
      </c>
      <c r="F362" s="388" t="s">
        <v>1378</v>
      </c>
      <c r="G362" s="388" t="s">
        <v>1379</v>
      </c>
      <c r="H362" s="388" t="s">
        <v>1380</v>
      </c>
      <c r="I362" s="388" t="s">
        <v>1393</v>
      </c>
      <c r="J362" s="388" t="s">
        <v>1382</v>
      </c>
      <c r="K362" s="388" t="s">
        <v>1383</v>
      </c>
      <c r="L362" s="389">
        <v>118</v>
      </c>
      <c r="M362" s="390" t="s">
        <v>3126</v>
      </c>
      <c r="N362" s="390" t="s">
        <v>3127</v>
      </c>
      <c r="O362" s="390" t="s">
        <v>1386</v>
      </c>
      <c r="P362" s="390" t="s">
        <v>1387</v>
      </c>
      <c r="Q362" s="388" t="s">
        <v>1383</v>
      </c>
      <c r="R362" s="390">
        <v>19</v>
      </c>
      <c r="S362" s="390" t="s">
        <v>1841</v>
      </c>
      <c r="T362" s="390">
        <v>66</v>
      </c>
      <c r="U362" s="390" t="s">
        <v>1844</v>
      </c>
      <c r="V362" s="390">
        <v>2557</v>
      </c>
      <c r="W362" s="390" t="s">
        <v>3128</v>
      </c>
      <c r="X362" s="390">
        <v>190086</v>
      </c>
      <c r="Y362" s="390" t="s">
        <v>1652</v>
      </c>
      <c r="Z362" s="391" t="s">
        <v>3129</v>
      </c>
    </row>
    <row r="363" spans="2:26" ht="15.75" customHeight="1" x14ac:dyDescent="0.3">
      <c r="B363" s="387" t="s">
        <v>1375</v>
      </c>
      <c r="C363" s="388">
        <v>122131</v>
      </c>
      <c r="D363" s="388" t="s">
        <v>3130</v>
      </c>
      <c r="E363" s="388" t="s">
        <v>1377</v>
      </c>
      <c r="F363" s="388" t="s">
        <v>1378</v>
      </c>
      <c r="G363" s="388" t="s">
        <v>1379</v>
      </c>
      <c r="H363" s="388" t="s">
        <v>1380</v>
      </c>
      <c r="I363" s="388" t="s">
        <v>1393</v>
      </c>
      <c r="J363" s="388" t="s">
        <v>1382</v>
      </c>
      <c r="K363" s="388" t="s">
        <v>1383</v>
      </c>
      <c r="L363" s="389">
        <v>101</v>
      </c>
      <c r="M363" s="390" t="s">
        <v>3131</v>
      </c>
      <c r="N363" s="390" t="s">
        <v>3132</v>
      </c>
      <c r="O363" s="390" t="s">
        <v>1386</v>
      </c>
      <c r="P363" s="390" t="s">
        <v>1387</v>
      </c>
      <c r="Q363" s="388" t="s">
        <v>1383</v>
      </c>
      <c r="R363" s="390">
        <v>19</v>
      </c>
      <c r="S363" s="390" t="s">
        <v>1841</v>
      </c>
      <c r="T363" s="390">
        <v>66</v>
      </c>
      <c r="U363" s="390" t="s">
        <v>1844</v>
      </c>
      <c r="V363" s="390">
        <v>2557</v>
      </c>
      <c r="W363" s="390" t="s">
        <v>3128</v>
      </c>
      <c r="X363" s="390">
        <v>190086</v>
      </c>
      <c r="Y363" s="390" t="s">
        <v>1652</v>
      </c>
      <c r="Z363" s="391" t="s">
        <v>3133</v>
      </c>
    </row>
    <row r="364" spans="2:26" ht="15.75" customHeight="1" x14ac:dyDescent="0.3">
      <c r="B364" s="387" t="s">
        <v>1375</v>
      </c>
      <c r="C364" s="388">
        <v>122132</v>
      </c>
      <c r="D364" s="388" t="s">
        <v>3134</v>
      </c>
      <c r="E364" s="388" t="s">
        <v>1377</v>
      </c>
      <c r="F364" s="388" t="s">
        <v>1378</v>
      </c>
      <c r="G364" s="388" t="s">
        <v>1379</v>
      </c>
      <c r="H364" s="388" t="s">
        <v>1380</v>
      </c>
      <c r="I364" s="388" t="s">
        <v>1530</v>
      </c>
      <c r="J364" s="388" t="s">
        <v>1382</v>
      </c>
      <c r="K364" s="388" t="s">
        <v>1383</v>
      </c>
      <c r="L364" s="389">
        <v>54</v>
      </c>
      <c r="M364" s="390" t="s">
        <v>3135</v>
      </c>
      <c r="N364" s="390" t="s">
        <v>3136</v>
      </c>
      <c r="O364" s="390" t="s">
        <v>1386</v>
      </c>
      <c r="P364" s="390" t="s">
        <v>1387</v>
      </c>
      <c r="Q364" s="388" t="s">
        <v>1383</v>
      </c>
      <c r="R364" s="390">
        <v>19</v>
      </c>
      <c r="S364" s="390" t="s">
        <v>1841</v>
      </c>
      <c r="T364" s="390">
        <v>69</v>
      </c>
      <c r="U364" s="390" t="s">
        <v>1853</v>
      </c>
      <c r="V364" s="390">
        <v>2418</v>
      </c>
      <c r="W364" s="390" t="s">
        <v>1850</v>
      </c>
      <c r="X364" s="390">
        <v>190098</v>
      </c>
      <c r="Y364" s="390" t="s">
        <v>1850</v>
      </c>
      <c r="Z364" s="391" t="s">
        <v>3137</v>
      </c>
    </row>
    <row r="365" spans="2:26" ht="15.75" customHeight="1" x14ac:dyDescent="0.3">
      <c r="B365" s="387" t="s">
        <v>1375</v>
      </c>
      <c r="C365" s="388">
        <v>122133</v>
      </c>
      <c r="D365" s="388" t="s">
        <v>3138</v>
      </c>
      <c r="E365" s="388" t="s">
        <v>1377</v>
      </c>
      <c r="F365" s="388" t="s">
        <v>1378</v>
      </c>
      <c r="G365" s="388" t="s">
        <v>1379</v>
      </c>
      <c r="H365" s="388" t="s">
        <v>1380</v>
      </c>
      <c r="I365" s="388" t="s">
        <v>1393</v>
      </c>
      <c r="J365" s="388" t="s">
        <v>1382</v>
      </c>
      <c r="K365" s="388" t="s">
        <v>1383</v>
      </c>
      <c r="L365" s="389">
        <v>128</v>
      </c>
      <c r="M365" s="390" t="s">
        <v>3139</v>
      </c>
      <c r="N365" s="390" t="s">
        <v>2578</v>
      </c>
      <c r="O365" s="390" t="s">
        <v>1386</v>
      </c>
      <c r="P365" s="390" t="s">
        <v>1387</v>
      </c>
      <c r="Q365" s="388" t="s">
        <v>1383</v>
      </c>
      <c r="R365" s="390">
        <v>19</v>
      </c>
      <c r="S365" s="390" t="s">
        <v>1841</v>
      </c>
      <c r="T365" s="390">
        <v>67</v>
      </c>
      <c r="U365" s="390" t="s">
        <v>2049</v>
      </c>
      <c r="V365" s="390">
        <v>2554</v>
      </c>
      <c r="W365" s="390" t="s">
        <v>3140</v>
      </c>
      <c r="X365" s="390">
        <v>190042</v>
      </c>
      <c r="Y365" s="390" t="s">
        <v>3141</v>
      </c>
      <c r="Z365" s="391" t="s">
        <v>3142</v>
      </c>
    </row>
    <row r="366" spans="2:26" ht="15.75" customHeight="1" x14ac:dyDescent="0.3">
      <c r="B366" s="387" t="s">
        <v>1375</v>
      </c>
      <c r="C366" s="388">
        <v>122135</v>
      </c>
      <c r="D366" s="388" t="s">
        <v>3143</v>
      </c>
      <c r="E366" s="388" t="s">
        <v>1377</v>
      </c>
      <c r="F366" s="388" t="s">
        <v>1378</v>
      </c>
      <c r="G366" s="388" t="s">
        <v>1379</v>
      </c>
      <c r="H366" s="388" t="s">
        <v>1380</v>
      </c>
      <c r="I366" s="388" t="s">
        <v>1393</v>
      </c>
      <c r="J366" s="388" t="s">
        <v>1382</v>
      </c>
      <c r="K366" s="388" t="s">
        <v>1383</v>
      </c>
      <c r="L366" s="389">
        <v>114</v>
      </c>
      <c r="M366" s="390" t="s">
        <v>3144</v>
      </c>
      <c r="N366" s="390" t="s">
        <v>1847</v>
      </c>
      <c r="O366" s="390" t="s">
        <v>1386</v>
      </c>
      <c r="P366" s="390" t="s">
        <v>1387</v>
      </c>
      <c r="Q366" s="388" t="s">
        <v>1383</v>
      </c>
      <c r="R366" s="390">
        <v>19</v>
      </c>
      <c r="S366" s="390" t="s">
        <v>1841</v>
      </c>
      <c r="T366" s="390">
        <v>70</v>
      </c>
      <c r="U366" s="390" t="s">
        <v>1842</v>
      </c>
      <c r="V366" s="390">
        <v>2434</v>
      </c>
      <c r="W366" s="390" t="s">
        <v>3145</v>
      </c>
      <c r="X366" s="390">
        <v>190125</v>
      </c>
      <c r="Y366" s="390" t="s">
        <v>3146</v>
      </c>
      <c r="Z366" s="391" t="s">
        <v>3147</v>
      </c>
    </row>
    <row r="367" spans="2:26" ht="15.75" customHeight="1" x14ac:dyDescent="0.3">
      <c r="B367" s="387" t="s">
        <v>1375</v>
      </c>
      <c r="C367" s="388">
        <v>122136</v>
      </c>
      <c r="D367" s="388" t="s">
        <v>3148</v>
      </c>
      <c r="E367" s="388" t="s">
        <v>1377</v>
      </c>
      <c r="F367" s="388" t="s">
        <v>1378</v>
      </c>
      <c r="G367" s="388" t="s">
        <v>1379</v>
      </c>
      <c r="H367" s="388" t="s">
        <v>1380</v>
      </c>
      <c r="I367" s="388" t="s">
        <v>1381</v>
      </c>
      <c r="J367" s="388" t="s">
        <v>1382</v>
      </c>
      <c r="K367" s="388" t="s">
        <v>1383</v>
      </c>
      <c r="L367" s="389">
        <v>94</v>
      </c>
      <c r="M367" s="390" t="s">
        <v>3149</v>
      </c>
      <c r="N367" s="390" t="s">
        <v>3150</v>
      </c>
      <c r="O367" s="390" t="s">
        <v>1386</v>
      </c>
      <c r="P367" s="390" t="s">
        <v>1387</v>
      </c>
      <c r="Q367" s="388" t="s">
        <v>1383</v>
      </c>
      <c r="R367" s="390">
        <v>19</v>
      </c>
      <c r="S367" s="390" t="s">
        <v>1841</v>
      </c>
      <c r="T367" s="390">
        <v>67</v>
      </c>
      <c r="U367" s="390" t="s">
        <v>2049</v>
      </c>
      <c r="V367" s="390">
        <v>2552</v>
      </c>
      <c r="W367" s="390" t="s">
        <v>3151</v>
      </c>
      <c r="X367" s="390">
        <v>190111</v>
      </c>
      <c r="Y367" s="390" t="s">
        <v>3152</v>
      </c>
      <c r="Z367" s="391" t="s">
        <v>3153</v>
      </c>
    </row>
    <row r="368" spans="2:26" ht="15.75" customHeight="1" x14ac:dyDescent="0.3">
      <c r="B368" s="387" t="s">
        <v>1375</v>
      </c>
      <c r="C368" s="388">
        <v>122137</v>
      </c>
      <c r="D368" s="388" t="s">
        <v>3154</v>
      </c>
      <c r="E368" s="388" t="s">
        <v>1377</v>
      </c>
      <c r="F368" s="388" t="s">
        <v>1378</v>
      </c>
      <c r="G368" s="388" t="s">
        <v>1379</v>
      </c>
      <c r="H368" s="388" t="s">
        <v>1380</v>
      </c>
      <c r="I368" s="388" t="s">
        <v>1530</v>
      </c>
      <c r="J368" s="388" t="s">
        <v>1382</v>
      </c>
      <c r="K368" s="388" t="s">
        <v>1383</v>
      </c>
      <c r="L368" s="389">
        <v>45</v>
      </c>
      <c r="M368" s="390" t="s">
        <v>3155</v>
      </c>
      <c r="N368" s="390" t="s">
        <v>3132</v>
      </c>
      <c r="O368" s="390" t="s">
        <v>1386</v>
      </c>
      <c r="P368" s="390" t="s">
        <v>1387</v>
      </c>
      <c r="Q368" s="388" t="s">
        <v>1383</v>
      </c>
      <c r="R368" s="390">
        <v>19</v>
      </c>
      <c r="S368" s="390" t="s">
        <v>1841</v>
      </c>
      <c r="T368" s="390">
        <v>69</v>
      </c>
      <c r="U368" s="390" t="s">
        <v>1853</v>
      </c>
      <c r="V368" s="390">
        <v>2443</v>
      </c>
      <c r="W368" s="390" t="s">
        <v>3156</v>
      </c>
      <c r="X368" s="390">
        <v>190098</v>
      </c>
      <c r="Y368" s="390" t="s">
        <v>1850</v>
      </c>
      <c r="Z368" s="391" t="s">
        <v>3157</v>
      </c>
    </row>
    <row r="369" spans="2:26" ht="15.75" customHeight="1" x14ac:dyDescent="0.3">
      <c r="B369" s="387" t="s">
        <v>1375</v>
      </c>
      <c r="C369" s="388">
        <v>122138</v>
      </c>
      <c r="D369" s="388" t="s">
        <v>3158</v>
      </c>
      <c r="E369" s="388" t="s">
        <v>1377</v>
      </c>
      <c r="F369" s="388" t="s">
        <v>1378</v>
      </c>
      <c r="G369" s="388" t="s">
        <v>1379</v>
      </c>
      <c r="H369" s="388" t="s">
        <v>1380</v>
      </c>
      <c r="I369" s="388" t="s">
        <v>1393</v>
      </c>
      <c r="J369" s="388" t="s">
        <v>1382</v>
      </c>
      <c r="K369" s="388" t="s">
        <v>1383</v>
      </c>
      <c r="L369" s="389">
        <v>199</v>
      </c>
      <c r="M369" s="390" t="s">
        <v>3159</v>
      </c>
      <c r="N369" s="390" t="s">
        <v>3150</v>
      </c>
      <c r="O369" s="390" t="s">
        <v>1386</v>
      </c>
      <c r="P369" s="390" t="s">
        <v>1387</v>
      </c>
      <c r="Q369" s="388" t="s">
        <v>1383</v>
      </c>
      <c r="R369" s="390">
        <v>19</v>
      </c>
      <c r="S369" s="390" t="s">
        <v>1841</v>
      </c>
      <c r="T369" s="390">
        <v>68</v>
      </c>
      <c r="U369" s="390" t="s">
        <v>1901</v>
      </c>
      <c r="V369" s="390">
        <v>2564</v>
      </c>
      <c r="W369" s="390" t="s">
        <v>3160</v>
      </c>
      <c r="X369" s="390">
        <v>190053</v>
      </c>
      <c r="Y369" s="390" t="s">
        <v>3160</v>
      </c>
      <c r="Z369" s="391" t="s">
        <v>3161</v>
      </c>
    </row>
    <row r="370" spans="2:26" ht="15.75" customHeight="1" x14ac:dyDescent="0.3">
      <c r="B370" s="387" t="s">
        <v>1375</v>
      </c>
      <c r="C370" s="388">
        <v>122139</v>
      </c>
      <c r="D370" s="388" t="s">
        <v>3162</v>
      </c>
      <c r="E370" s="388" t="s">
        <v>1377</v>
      </c>
      <c r="F370" s="388" t="s">
        <v>1378</v>
      </c>
      <c r="G370" s="388" t="s">
        <v>1379</v>
      </c>
      <c r="H370" s="388" t="s">
        <v>1380</v>
      </c>
      <c r="I370" s="388" t="s">
        <v>1393</v>
      </c>
      <c r="J370" s="388" t="s">
        <v>1382</v>
      </c>
      <c r="K370" s="388" t="s">
        <v>1383</v>
      </c>
      <c r="L370" s="389">
        <v>126</v>
      </c>
      <c r="M370" s="390" t="s">
        <v>3163</v>
      </c>
      <c r="N370" s="390" t="s">
        <v>2795</v>
      </c>
      <c r="O370" s="390" t="s">
        <v>1386</v>
      </c>
      <c r="P370" s="390" t="s">
        <v>1387</v>
      </c>
      <c r="Q370" s="388" t="s">
        <v>1383</v>
      </c>
      <c r="R370" s="390">
        <v>19</v>
      </c>
      <c r="S370" s="390" t="s">
        <v>1841</v>
      </c>
      <c r="T370" s="390">
        <v>67</v>
      </c>
      <c r="U370" s="390" t="s">
        <v>2049</v>
      </c>
      <c r="V370" s="390">
        <v>2504</v>
      </c>
      <c r="W370" s="390" t="s">
        <v>2050</v>
      </c>
      <c r="X370" s="390">
        <v>190108</v>
      </c>
      <c r="Y370" s="390" t="s">
        <v>2051</v>
      </c>
      <c r="Z370" s="391" t="s">
        <v>3164</v>
      </c>
    </row>
    <row r="371" spans="2:26" ht="15.75" customHeight="1" x14ac:dyDescent="0.3">
      <c r="B371" s="387" t="s">
        <v>1375</v>
      </c>
      <c r="C371" s="388">
        <v>122140</v>
      </c>
      <c r="D371" s="388" t="s">
        <v>3165</v>
      </c>
      <c r="E371" s="388" t="s">
        <v>1377</v>
      </c>
      <c r="F371" s="388" t="s">
        <v>1378</v>
      </c>
      <c r="G371" s="388" t="s">
        <v>1379</v>
      </c>
      <c r="H371" s="388" t="s">
        <v>1380</v>
      </c>
      <c r="I371" s="388" t="s">
        <v>1381</v>
      </c>
      <c r="J371" s="388" t="s">
        <v>1382</v>
      </c>
      <c r="K371" s="388" t="s">
        <v>1383</v>
      </c>
      <c r="L371" s="389">
        <v>135</v>
      </c>
      <c r="M371" s="390" t="s">
        <v>3166</v>
      </c>
      <c r="N371" s="390" t="s">
        <v>3136</v>
      </c>
      <c r="O371" s="390" t="s">
        <v>1386</v>
      </c>
      <c r="P371" s="390" t="s">
        <v>1387</v>
      </c>
      <c r="Q371" s="388" t="s">
        <v>1383</v>
      </c>
      <c r="R371" s="390">
        <v>19</v>
      </c>
      <c r="S371" s="390" t="s">
        <v>1841</v>
      </c>
      <c r="T371" s="390">
        <v>70</v>
      </c>
      <c r="U371" s="390" t="s">
        <v>1842</v>
      </c>
      <c r="V371" s="390">
        <v>2430</v>
      </c>
      <c r="W371" s="390" t="s">
        <v>2069</v>
      </c>
      <c r="X371" s="390">
        <v>190084</v>
      </c>
      <c r="Y371" s="390" t="s">
        <v>2070</v>
      </c>
      <c r="Z371" s="391" t="s">
        <v>3167</v>
      </c>
    </row>
    <row r="372" spans="2:26" ht="15.75" customHeight="1" x14ac:dyDescent="0.3">
      <c r="B372" s="387" t="s">
        <v>1375</v>
      </c>
      <c r="C372" s="388">
        <v>122141</v>
      </c>
      <c r="D372" s="388" t="s">
        <v>3168</v>
      </c>
      <c r="E372" s="388" t="s">
        <v>1377</v>
      </c>
      <c r="F372" s="388" t="s">
        <v>1378</v>
      </c>
      <c r="G372" s="388" t="s">
        <v>1439</v>
      </c>
      <c r="H372" s="388" t="s">
        <v>1380</v>
      </c>
      <c r="I372" s="388" t="s">
        <v>1530</v>
      </c>
      <c r="J372" s="388" t="s">
        <v>1382</v>
      </c>
      <c r="K372" s="388" t="s">
        <v>1383</v>
      </c>
      <c r="L372" s="389">
        <v>0</v>
      </c>
      <c r="M372" s="390" t="s">
        <v>3169</v>
      </c>
      <c r="N372" s="390" t="s">
        <v>3170</v>
      </c>
      <c r="O372" s="390" t="s">
        <v>1465</v>
      </c>
      <c r="P372" s="390" t="s">
        <v>1387</v>
      </c>
      <c r="Q372" s="388" t="s">
        <v>1383</v>
      </c>
      <c r="R372" s="390">
        <v>5</v>
      </c>
      <c r="S372" s="390" t="s">
        <v>1466</v>
      </c>
      <c r="T372" s="390">
        <v>58</v>
      </c>
      <c r="U372" s="390" t="s">
        <v>1878</v>
      </c>
      <c r="V372" s="390">
        <v>2576</v>
      </c>
      <c r="W372" s="390" t="s">
        <v>3171</v>
      </c>
      <c r="X372" s="390">
        <v>50077</v>
      </c>
      <c r="Y372" s="390" t="s">
        <v>3172</v>
      </c>
      <c r="Z372" s="391" t="s">
        <v>3173</v>
      </c>
    </row>
    <row r="373" spans="2:26" ht="15.75" customHeight="1" x14ac:dyDescent="0.3">
      <c r="B373" s="387" t="s">
        <v>1375</v>
      </c>
      <c r="C373" s="388">
        <v>122142</v>
      </c>
      <c r="D373" s="388" t="s">
        <v>1950</v>
      </c>
      <c r="E373" s="388" t="s">
        <v>1377</v>
      </c>
      <c r="F373" s="388" t="s">
        <v>1378</v>
      </c>
      <c r="G373" s="388" t="s">
        <v>1379</v>
      </c>
      <c r="H373" s="388" t="s">
        <v>1380</v>
      </c>
      <c r="I373" s="388" t="s">
        <v>1393</v>
      </c>
      <c r="J373" s="388" t="s">
        <v>1382</v>
      </c>
      <c r="K373" s="388" t="s">
        <v>1383</v>
      </c>
      <c r="L373" s="389">
        <v>41</v>
      </c>
      <c r="M373" s="390" t="s">
        <v>3174</v>
      </c>
      <c r="N373" s="390" t="s">
        <v>1808</v>
      </c>
      <c r="O373" s="390" t="s">
        <v>1465</v>
      </c>
      <c r="P373" s="390" t="s">
        <v>1387</v>
      </c>
      <c r="Q373" s="388" t="s">
        <v>1383</v>
      </c>
      <c r="R373" s="390">
        <v>5</v>
      </c>
      <c r="S373" s="390" t="s">
        <v>1466</v>
      </c>
      <c r="T373" s="390">
        <v>56</v>
      </c>
      <c r="U373" s="390" t="s">
        <v>1949</v>
      </c>
      <c r="V373" s="390">
        <v>2597</v>
      </c>
      <c r="W373" s="390" t="s">
        <v>3175</v>
      </c>
      <c r="X373" s="390">
        <v>50114</v>
      </c>
      <c r="Y373" s="390" t="s">
        <v>3175</v>
      </c>
      <c r="Z373" s="391" t="s">
        <v>3176</v>
      </c>
    </row>
    <row r="374" spans="2:26" ht="15.75" customHeight="1" x14ac:dyDescent="0.3">
      <c r="B374" s="387" t="s">
        <v>1375</v>
      </c>
      <c r="C374" s="388">
        <v>122143</v>
      </c>
      <c r="D374" s="388" t="s">
        <v>1639</v>
      </c>
      <c r="E374" s="388" t="s">
        <v>1377</v>
      </c>
      <c r="F374" s="388" t="s">
        <v>1378</v>
      </c>
      <c r="G374" s="388" t="s">
        <v>1379</v>
      </c>
      <c r="H374" s="388" t="s">
        <v>1380</v>
      </c>
      <c r="I374" s="388" t="s">
        <v>1393</v>
      </c>
      <c r="J374" s="388" t="s">
        <v>1382</v>
      </c>
      <c r="K374" s="388" t="s">
        <v>1383</v>
      </c>
      <c r="L374" s="389">
        <v>95</v>
      </c>
      <c r="M374" s="390" t="s">
        <v>3177</v>
      </c>
      <c r="N374" s="390" t="s">
        <v>1819</v>
      </c>
      <c r="O374" s="390" t="s">
        <v>1465</v>
      </c>
      <c r="P374" s="390" t="s">
        <v>1387</v>
      </c>
      <c r="Q374" s="388" t="s">
        <v>1383</v>
      </c>
      <c r="R374" s="390">
        <v>5</v>
      </c>
      <c r="S374" s="390" t="s">
        <v>1466</v>
      </c>
      <c r="T374" s="390">
        <v>57</v>
      </c>
      <c r="U374" s="390" t="s">
        <v>1639</v>
      </c>
      <c r="V374" s="390">
        <v>2506</v>
      </c>
      <c r="W374" s="390" t="s">
        <v>1639</v>
      </c>
      <c r="X374" s="390">
        <v>50094</v>
      </c>
      <c r="Y374" s="390" t="s">
        <v>1639</v>
      </c>
      <c r="Z374" s="391" t="s">
        <v>3178</v>
      </c>
    </row>
    <row r="375" spans="2:26" ht="15.75" customHeight="1" x14ac:dyDescent="0.3">
      <c r="B375" s="387" t="s">
        <v>1375</v>
      </c>
      <c r="C375" s="388">
        <v>122144</v>
      </c>
      <c r="D375" s="388" t="s">
        <v>2452</v>
      </c>
      <c r="E375" s="388" t="s">
        <v>1377</v>
      </c>
      <c r="F375" s="388" t="s">
        <v>1378</v>
      </c>
      <c r="G375" s="388" t="s">
        <v>1379</v>
      </c>
      <c r="H375" s="388" t="s">
        <v>1380</v>
      </c>
      <c r="I375" s="388" t="s">
        <v>1393</v>
      </c>
      <c r="J375" s="388" t="s">
        <v>1382</v>
      </c>
      <c r="K375" s="388" t="s">
        <v>1383</v>
      </c>
      <c r="L375" s="389">
        <v>140</v>
      </c>
      <c r="M375" s="390" t="s">
        <v>3179</v>
      </c>
      <c r="N375" s="390" t="s">
        <v>3180</v>
      </c>
      <c r="O375" s="390" t="s">
        <v>1465</v>
      </c>
      <c r="P375" s="390" t="s">
        <v>1387</v>
      </c>
      <c r="Q375" s="388" t="s">
        <v>1383</v>
      </c>
      <c r="R375" s="390">
        <v>5</v>
      </c>
      <c r="S375" s="390" t="s">
        <v>1466</v>
      </c>
      <c r="T375" s="390">
        <v>57</v>
      </c>
      <c r="U375" s="390" t="s">
        <v>1639</v>
      </c>
      <c r="V375" s="390">
        <v>2529</v>
      </c>
      <c r="W375" s="390" t="s">
        <v>2451</v>
      </c>
      <c r="X375" s="390">
        <v>50146</v>
      </c>
      <c r="Y375" s="390" t="s">
        <v>2452</v>
      </c>
      <c r="Z375" s="391" t="s">
        <v>3181</v>
      </c>
    </row>
    <row r="376" spans="2:26" ht="15.75" customHeight="1" x14ac:dyDescent="0.3">
      <c r="B376" s="387" t="s">
        <v>1375</v>
      </c>
      <c r="C376" s="388">
        <v>122145</v>
      </c>
      <c r="D376" s="388" t="s">
        <v>3182</v>
      </c>
      <c r="E376" s="388" t="s">
        <v>1377</v>
      </c>
      <c r="F376" s="388" t="s">
        <v>1378</v>
      </c>
      <c r="G376" s="388" t="s">
        <v>1379</v>
      </c>
      <c r="H376" s="388" t="s">
        <v>1380</v>
      </c>
      <c r="I376" s="388" t="s">
        <v>1381</v>
      </c>
      <c r="J376" s="388" t="s">
        <v>1382</v>
      </c>
      <c r="K376" s="388" t="s">
        <v>1383</v>
      </c>
      <c r="L376" s="389">
        <v>62</v>
      </c>
      <c r="M376" s="390" t="s">
        <v>3183</v>
      </c>
      <c r="N376" s="390" t="s">
        <v>1797</v>
      </c>
      <c r="O376" s="390" t="s">
        <v>1465</v>
      </c>
      <c r="P376" s="390" t="s">
        <v>1387</v>
      </c>
      <c r="Q376" s="388" t="s">
        <v>1383</v>
      </c>
      <c r="R376" s="390">
        <v>5</v>
      </c>
      <c r="S376" s="390" t="s">
        <v>1466</v>
      </c>
      <c r="T376" s="390">
        <v>57</v>
      </c>
      <c r="U376" s="390" t="s">
        <v>1639</v>
      </c>
      <c r="V376" s="390">
        <v>2631</v>
      </c>
      <c r="W376" s="390" t="s">
        <v>3184</v>
      </c>
      <c r="X376" s="390">
        <v>50192</v>
      </c>
      <c r="Y376" s="390" t="s">
        <v>3185</v>
      </c>
      <c r="Z376" s="391" t="s">
        <v>3186</v>
      </c>
    </row>
    <row r="377" spans="2:26" ht="15.75" customHeight="1" x14ac:dyDescent="0.3">
      <c r="B377" s="387" t="s">
        <v>1375</v>
      </c>
      <c r="C377" s="388">
        <v>122146</v>
      </c>
      <c r="D377" s="388" t="s">
        <v>3187</v>
      </c>
      <c r="E377" s="388" t="s">
        <v>1377</v>
      </c>
      <c r="F377" s="388" t="s">
        <v>1378</v>
      </c>
      <c r="G377" s="388" t="s">
        <v>1379</v>
      </c>
      <c r="H377" s="388" t="s">
        <v>1380</v>
      </c>
      <c r="I377" s="388" t="s">
        <v>1393</v>
      </c>
      <c r="J377" s="388" t="s">
        <v>1382</v>
      </c>
      <c r="K377" s="388" t="s">
        <v>1383</v>
      </c>
      <c r="L377" s="389">
        <v>90</v>
      </c>
      <c r="M377" s="390" t="s">
        <v>3188</v>
      </c>
      <c r="N377" s="390" t="s">
        <v>3189</v>
      </c>
      <c r="O377" s="390" t="s">
        <v>1465</v>
      </c>
      <c r="P377" s="390" t="s">
        <v>1387</v>
      </c>
      <c r="Q377" s="388" t="s">
        <v>1383</v>
      </c>
      <c r="R377" s="390">
        <v>5</v>
      </c>
      <c r="S377" s="390" t="s">
        <v>1466</v>
      </c>
      <c r="T377" s="390">
        <v>57</v>
      </c>
      <c r="U377" s="390" t="s">
        <v>1639</v>
      </c>
      <c r="V377" s="390">
        <v>2527</v>
      </c>
      <c r="W377" s="390" t="s">
        <v>1468</v>
      </c>
      <c r="X377" s="390">
        <v>50161</v>
      </c>
      <c r="Y377" s="390" t="s">
        <v>3190</v>
      </c>
      <c r="Z377" s="391" t="s">
        <v>3191</v>
      </c>
    </row>
    <row r="378" spans="2:26" ht="15.75" customHeight="1" x14ac:dyDescent="0.3">
      <c r="B378" s="387" t="s">
        <v>1375</v>
      </c>
      <c r="C378" s="388">
        <v>122147</v>
      </c>
      <c r="D378" s="388" t="s">
        <v>3192</v>
      </c>
      <c r="E378" s="388" t="s">
        <v>1377</v>
      </c>
      <c r="F378" s="388" t="s">
        <v>1378</v>
      </c>
      <c r="G378" s="388" t="s">
        <v>1379</v>
      </c>
      <c r="H378" s="388" t="s">
        <v>1380</v>
      </c>
      <c r="I378" s="388" t="s">
        <v>1530</v>
      </c>
      <c r="J378" s="388" t="s">
        <v>1382</v>
      </c>
      <c r="K378" s="388" t="s">
        <v>1383</v>
      </c>
      <c r="L378" s="389">
        <v>57</v>
      </c>
      <c r="M378" s="390" t="s">
        <v>3193</v>
      </c>
      <c r="N378" s="390" t="s">
        <v>1834</v>
      </c>
      <c r="O378" s="390" t="s">
        <v>1465</v>
      </c>
      <c r="P378" s="390" t="s">
        <v>1387</v>
      </c>
      <c r="Q378" s="388" t="s">
        <v>1383</v>
      </c>
      <c r="R378" s="390">
        <v>5</v>
      </c>
      <c r="S378" s="390" t="s">
        <v>1466</v>
      </c>
      <c r="T378" s="390">
        <v>59</v>
      </c>
      <c r="U378" s="390" t="s">
        <v>2037</v>
      </c>
      <c r="V378" s="390">
        <v>2618</v>
      </c>
      <c r="W378" s="390" t="s">
        <v>2038</v>
      </c>
      <c r="X378" s="390">
        <v>50169</v>
      </c>
      <c r="Y378" s="390" t="s">
        <v>3192</v>
      </c>
      <c r="Z378" s="391" t="s">
        <v>3194</v>
      </c>
    </row>
    <row r="379" spans="2:26" ht="15.75" customHeight="1" x14ac:dyDescent="0.3">
      <c r="B379" s="387" t="s">
        <v>1375</v>
      </c>
      <c r="C379" s="388">
        <v>122148</v>
      </c>
      <c r="D379" s="388" t="s">
        <v>1924</v>
      </c>
      <c r="E379" s="388" t="s">
        <v>1377</v>
      </c>
      <c r="F379" s="388" t="s">
        <v>1378</v>
      </c>
      <c r="G379" s="388" t="s">
        <v>1379</v>
      </c>
      <c r="H379" s="388" t="s">
        <v>1380</v>
      </c>
      <c r="I379" s="388" t="s">
        <v>1393</v>
      </c>
      <c r="J379" s="388" t="s">
        <v>1382</v>
      </c>
      <c r="K379" s="388" t="s">
        <v>1383</v>
      </c>
      <c r="L379" s="389">
        <v>128</v>
      </c>
      <c r="M379" s="390" t="s">
        <v>3195</v>
      </c>
      <c r="N379" s="390" t="s">
        <v>3196</v>
      </c>
      <c r="O379" s="390" t="s">
        <v>1465</v>
      </c>
      <c r="P379" s="390" t="s">
        <v>1387</v>
      </c>
      <c r="Q379" s="388" t="s">
        <v>1383</v>
      </c>
      <c r="R379" s="390">
        <v>5</v>
      </c>
      <c r="S379" s="390" t="s">
        <v>1466</v>
      </c>
      <c r="T379" s="390">
        <v>57</v>
      </c>
      <c r="U379" s="390" t="s">
        <v>1639</v>
      </c>
      <c r="V379" s="390">
        <v>2525</v>
      </c>
      <c r="W379" s="390" t="s">
        <v>1872</v>
      </c>
      <c r="X379" s="390">
        <v>50259</v>
      </c>
      <c r="Y379" s="390" t="s">
        <v>3197</v>
      </c>
      <c r="Z379" s="391" t="s">
        <v>3198</v>
      </c>
    </row>
    <row r="380" spans="2:26" ht="15.75" customHeight="1" x14ac:dyDescent="0.3">
      <c r="B380" s="387" t="s">
        <v>1375</v>
      </c>
      <c r="C380" s="388">
        <v>122149</v>
      </c>
      <c r="D380" s="388" t="s">
        <v>3199</v>
      </c>
      <c r="E380" s="388" t="s">
        <v>1377</v>
      </c>
      <c r="F380" s="388" t="s">
        <v>1378</v>
      </c>
      <c r="G380" s="388" t="s">
        <v>1379</v>
      </c>
      <c r="H380" s="388" t="s">
        <v>1380</v>
      </c>
      <c r="I380" s="388" t="s">
        <v>1393</v>
      </c>
      <c r="J380" s="388" t="s">
        <v>1382</v>
      </c>
      <c r="K380" s="388" t="s">
        <v>1383</v>
      </c>
      <c r="L380" s="389">
        <v>90</v>
      </c>
      <c r="M380" s="390" t="s">
        <v>3200</v>
      </c>
      <c r="N380" s="390" t="s">
        <v>2753</v>
      </c>
      <c r="O380" s="390" t="s">
        <v>1465</v>
      </c>
      <c r="P380" s="390" t="s">
        <v>1387</v>
      </c>
      <c r="Q380" s="388" t="s">
        <v>1383</v>
      </c>
      <c r="R380" s="390">
        <v>5</v>
      </c>
      <c r="S380" s="390" t="s">
        <v>1466</v>
      </c>
      <c r="T380" s="390">
        <v>58</v>
      </c>
      <c r="U380" s="390" t="s">
        <v>1878</v>
      </c>
      <c r="V380" s="390">
        <v>2542</v>
      </c>
      <c r="W380" s="390" t="s">
        <v>3199</v>
      </c>
      <c r="X380" s="390">
        <v>50261</v>
      </c>
      <c r="Y380" s="390" t="s">
        <v>3201</v>
      </c>
      <c r="Z380" s="391" t="s">
        <v>3202</v>
      </c>
    </row>
    <row r="381" spans="2:26" ht="15.75" customHeight="1" x14ac:dyDescent="0.3">
      <c r="B381" s="387" t="s">
        <v>1375</v>
      </c>
      <c r="C381" s="388">
        <v>122174</v>
      </c>
      <c r="D381" s="388" t="s">
        <v>3203</v>
      </c>
      <c r="E381" s="388" t="s">
        <v>1377</v>
      </c>
      <c r="F381" s="388" t="s">
        <v>1378</v>
      </c>
      <c r="G381" s="388" t="s">
        <v>1379</v>
      </c>
      <c r="H381" s="388" t="s">
        <v>1380</v>
      </c>
      <c r="I381" s="388" t="s">
        <v>1440</v>
      </c>
      <c r="J381" s="388" t="s">
        <v>1382</v>
      </c>
      <c r="K381" s="388" t="s">
        <v>1383</v>
      </c>
      <c r="L381" s="389">
        <v>95</v>
      </c>
      <c r="M381" s="390" t="s">
        <v>3204</v>
      </c>
      <c r="N381" s="390" t="s">
        <v>3205</v>
      </c>
      <c r="O381" s="390" t="s">
        <v>1482</v>
      </c>
      <c r="P381" s="390" t="s">
        <v>1387</v>
      </c>
      <c r="Q381" s="388" t="s">
        <v>1383</v>
      </c>
      <c r="R381" s="390">
        <v>8</v>
      </c>
      <c r="S381" s="390" t="s">
        <v>1483</v>
      </c>
      <c r="T381" s="390">
        <v>48</v>
      </c>
      <c r="U381" s="390" t="s">
        <v>2265</v>
      </c>
      <c r="V381" s="390">
        <v>4518</v>
      </c>
      <c r="W381" s="390" t="s">
        <v>3206</v>
      </c>
      <c r="X381" s="390">
        <v>80161</v>
      </c>
      <c r="Y381" s="390" t="s">
        <v>3207</v>
      </c>
      <c r="Z381" s="391" t="s">
        <v>3208</v>
      </c>
    </row>
    <row r="382" spans="2:26" ht="15.75" customHeight="1" x14ac:dyDescent="0.3">
      <c r="B382" s="387" t="s">
        <v>1375</v>
      </c>
      <c r="C382" s="388">
        <v>122175</v>
      </c>
      <c r="D382" s="388" t="s">
        <v>3209</v>
      </c>
      <c r="E382" s="388" t="s">
        <v>1377</v>
      </c>
      <c r="F382" s="388" t="s">
        <v>1378</v>
      </c>
      <c r="G382" s="388" t="s">
        <v>1379</v>
      </c>
      <c r="H382" s="388" t="s">
        <v>1380</v>
      </c>
      <c r="I382" s="388" t="s">
        <v>1393</v>
      </c>
      <c r="J382" s="388" t="s">
        <v>1382</v>
      </c>
      <c r="K382" s="388" t="s">
        <v>1383</v>
      </c>
      <c r="L382" s="389">
        <v>156</v>
      </c>
      <c r="M382" s="390" t="s">
        <v>3210</v>
      </c>
      <c r="N382" s="390" t="s">
        <v>3211</v>
      </c>
      <c r="O382" s="390" t="s">
        <v>1482</v>
      </c>
      <c r="P382" s="390" t="s">
        <v>1387</v>
      </c>
      <c r="Q382" s="388" t="s">
        <v>1383</v>
      </c>
      <c r="R382" s="390">
        <v>8</v>
      </c>
      <c r="S382" s="390" t="s">
        <v>1483</v>
      </c>
      <c r="T382" s="390">
        <v>83</v>
      </c>
      <c r="U382" s="390" t="s">
        <v>1921</v>
      </c>
      <c r="V382" s="390">
        <v>4316</v>
      </c>
      <c r="W382" s="390" t="s">
        <v>1921</v>
      </c>
      <c r="X382" s="390">
        <v>80174</v>
      </c>
      <c r="Y382" s="390" t="s">
        <v>3212</v>
      </c>
      <c r="Z382" s="391" t="s">
        <v>3213</v>
      </c>
    </row>
    <row r="383" spans="2:26" ht="15.75" customHeight="1" x14ac:dyDescent="0.3">
      <c r="B383" s="387" t="s">
        <v>1375</v>
      </c>
      <c r="C383" s="388">
        <v>122176</v>
      </c>
      <c r="D383" s="388" t="s">
        <v>3214</v>
      </c>
      <c r="E383" s="388" t="s">
        <v>1377</v>
      </c>
      <c r="F383" s="388" t="s">
        <v>1378</v>
      </c>
      <c r="G383" s="388" t="s">
        <v>1379</v>
      </c>
      <c r="H383" s="388" t="s">
        <v>1380</v>
      </c>
      <c r="I383" s="388" t="s">
        <v>1393</v>
      </c>
      <c r="J383" s="388" t="s">
        <v>1382</v>
      </c>
      <c r="K383" s="388" t="s">
        <v>1383</v>
      </c>
      <c r="L383" s="389">
        <v>250</v>
      </c>
      <c r="M383" s="390" t="s">
        <v>3215</v>
      </c>
      <c r="N383" s="390" t="s">
        <v>3216</v>
      </c>
      <c r="O383" s="390" t="s">
        <v>1386</v>
      </c>
      <c r="P383" s="390" t="s">
        <v>1387</v>
      </c>
      <c r="Q383" s="388" t="s">
        <v>1383</v>
      </c>
      <c r="R383" s="390">
        <v>10</v>
      </c>
      <c r="S383" s="390" t="s">
        <v>1552</v>
      </c>
      <c r="T383" s="390">
        <v>74</v>
      </c>
      <c r="U383" s="390" t="s">
        <v>1552</v>
      </c>
      <c r="V383" s="390">
        <v>5666</v>
      </c>
      <c r="W383" s="390" t="s">
        <v>3217</v>
      </c>
      <c r="X383" s="390">
        <v>100197</v>
      </c>
      <c r="Y383" s="390" t="s">
        <v>3218</v>
      </c>
      <c r="Z383" s="391" t="s">
        <v>3219</v>
      </c>
    </row>
    <row r="384" spans="2:26" ht="15.75" customHeight="1" x14ac:dyDescent="0.3">
      <c r="B384" s="387" t="s">
        <v>1375</v>
      </c>
      <c r="C384" s="388">
        <v>122177</v>
      </c>
      <c r="D384" s="388" t="s">
        <v>3220</v>
      </c>
      <c r="E384" s="388" t="s">
        <v>1377</v>
      </c>
      <c r="F384" s="388" t="s">
        <v>1378</v>
      </c>
      <c r="G384" s="388" t="s">
        <v>1439</v>
      </c>
      <c r="H384" s="388" t="s">
        <v>1380</v>
      </c>
      <c r="I384" s="388" t="s">
        <v>1530</v>
      </c>
      <c r="J384" s="388" t="s">
        <v>1382</v>
      </c>
      <c r="K384" s="388" t="s">
        <v>1383</v>
      </c>
      <c r="L384" s="389">
        <v>0</v>
      </c>
      <c r="M384" s="390" t="s">
        <v>3221</v>
      </c>
      <c r="N384" s="390" t="s">
        <v>2348</v>
      </c>
      <c r="O384" s="390" t="s">
        <v>1482</v>
      </c>
      <c r="P384" s="390" t="s">
        <v>1387</v>
      </c>
      <c r="Q384" s="388" t="s">
        <v>1383</v>
      </c>
      <c r="R384" s="390">
        <v>8</v>
      </c>
      <c r="S384" s="390" t="s">
        <v>1483</v>
      </c>
      <c r="T384" s="390">
        <v>81</v>
      </c>
      <c r="U384" s="390" t="s">
        <v>1490</v>
      </c>
      <c r="V384" s="390">
        <v>4557</v>
      </c>
      <c r="W384" s="390" t="s">
        <v>1490</v>
      </c>
      <c r="X384" s="390">
        <v>80129</v>
      </c>
      <c r="Y384" s="390" t="s">
        <v>1490</v>
      </c>
      <c r="Z384" s="391" t="s">
        <v>3222</v>
      </c>
    </row>
    <row r="385" spans="2:26" ht="15.75" customHeight="1" x14ac:dyDescent="0.3">
      <c r="B385" s="387" t="s">
        <v>1375</v>
      </c>
      <c r="C385" s="388">
        <v>122178</v>
      </c>
      <c r="D385" s="388" t="s">
        <v>3223</v>
      </c>
      <c r="E385" s="388" t="s">
        <v>1377</v>
      </c>
      <c r="F385" s="388" t="s">
        <v>1378</v>
      </c>
      <c r="G385" s="388" t="s">
        <v>1379</v>
      </c>
      <c r="H385" s="388" t="s">
        <v>1380</v>
      </c>
      <c r="I385" s="388" t="s">
        <v>1440</v>
      </c>
      <c r="J385" s="388" t="s">
        <v>1382</v>
      </c>
      <c r="K385" s="388" t="s">
        <v>1383</v>
      </c>
      <c r="L385" s="389">
        <v>85</v>
      </c>
      <c r="M385" s="390" t="s">
        <v>3224</v>
      </c>
      <c r="N385" s="390" t="s">
        <v>3225</v>
      </c>
      <c r="O385" s="390" t="s">
        <v>1386</v>
      </c>
      <c r="P385" s="390" t="s">
        <v>1387</v>
      </c>
      <c r="Q385" s="388" t="s">
        <v>1383</v>
      </c>
      <c r="R385" s="390">
        <v>19</v>
      </c>
      <c r="S385" s="390" t="s">
        <v>1841</v>
      </c>
      <c r="T385" s="390">
        <v>1003</v>
      </c>
      <c r="U385" s="390" t="s">
        <v>2236</v>
      </c>
      <c r="V385" s="390">
        <v>204131</v>
      </c>
      <c r="W385" s="390" t="s">
        <v>3226</v>
      </c>
      <c r="X385" s="390">
        <v>190186</v>
      </c>
      <c r="Y385" s="390" t="s">
        <v>3227</v>
      </c>
      <c r="Z385" s="391" t="s">
        <v>3228</v>
      </c>
    </row>
    <row r="386" spans="2:26" ht="15.75" customHeight="1" x14ac:dyDescent="0.3">
      <c r="B386" s="387" t="s">
        <v>1375</v>
      </c>
      <c r="C386" s="388">
        <v>122187</v>
      </c>
      <c r="D386" s="388" t="s">
        <v>1689</v>
      </c>
      <c r="E386" s="388" t="s">
        <v>1377</v>
      </c>
      <c r="F386" s="388" t="s">
        <v>1378</v>
      </c>
      <c r="G386" s="388" t="s">
        <v>1379</v>
      </c>
      <c r="H386" s="388" t="s">
        <v>1471</v>
      </c>
      <c r="I386" s="388" t="s">
        <v>1393</v>
      </c>
      <c r="J386" s="388" t="s">
        <v>1382</v>
      </c>
      <c r="K386" s="388" t="s">
        <v>1383</v>
      </c>
      <c r="L386" s="389">
        <v>265</v>
      </c>
      <c r="M386" s="390" t="s">
        <v>3229</v>
      </c>
      <c r="N386" s="390" t="s">
        <v>3230</v>
      </c>
      <c r="O386" s="390" t="s">
        <v>1474</v>
      </c>
      <c r="P386" s="390" t="s">
        <v>1387</v>
      </c>
      <c r="Q386" s="388" t="s">
        <v>1383</v>
      </c>
      <c r="R386" s="390">
        <v>8</v>
      </c>
      <c r="S386" s="390" t="s">
        <v>1483</v>
      </c>
      <c r="T386" s="390">
        <v>47</v>
      </c>
      <c r="U386" s="390" t="s">
        <v>1503</v>
      </c>
      <c r="V386" s="390">
        <v>4508</v>
      </c>
      <c r="W386" s="390" t="s">
        <v>1504</v>
      </c>
      <c r="X386" s="390">
        <v>80141</v>
      </c>
      <c r="Y386" s="390" t="s">
        <v>2056</v>
      </c>
      <c r="Z386" s="391" t="s">
        <v>3231</v>
      </c>
    </row>
    <row r="387" spans="2:26" ht="15.75" customHeight="1" x14ac:dyDescent="0.3">
      <c r="B387" s="387" t="s">
        <v>1375</v>
      </c>
      <c r="C387" s="388">
        <v>122188</v>
      </c>
      <c r="D387" s="388" t="s">
        <v>3232</v>
      </c>
      <c r="E387" s="388" t="s">
        <v>1377</v>
      </c>
      <c r="F387" s="388" t="s">
        <v>1378</v>
      </c>
      <c r="G387" s="388" t="s">
        <v>1379</v>
      </c>
      <c r="H387" s="388" t="s">
        <v>1380</v>
      </c>
      <c r="I387" s="388" t="s">
        <v>1393</v>
      </c>
      <c r="J387" s="388" t="s">
        <v>1382</v>
      </c>
      <c r="K387" s="388" t="s">
        <v>1383</v>
      </c>
      <c r="L387" s="389">
        <v>278</v>
      </c>
      <c r="M387" s="390" t="s">
        <v>3233</v>
      </c>
      <c r="N387" s="390" t="s">
        <v>3234</v>
      </c>
      <c r="O387" s="390" t="s">
        <v>1386</v>
      </c>
      <c r="P387" s="390" t="s">
        <v>1387</v>
      </c>
      <c r="Q387" s="388" t="s">
        <v>1383</v>
      </c>
      <c r="R387" s="390">
        <v>10</v>
      </c>
      <c r="S387" s="390" t="s">
        <v>1552</v>
      </c>
      <c r="T387" s="390">
        <v>74</v>
      </c>
      <c r="U387" s="390" t="s">
        <v>1552</v>
      </c>
      <c r="V387" s="390">
        <v>5667</v>
      </c>
      <c r="W387" s="390" t="s">
        <v>3235</v>
      </c>
      <c r="X387" s="390">
        <v>100192</v>
      </c>
      <c r="Y387" s="390" t="s">
        <v>1560</v>
      </c>
      <c r="Z387" s="391" t="s">
        <v>3236</v>
      </c>
    </row>
    <row r="388" spans="2:26" ht="15.75" customHeight="1" x14ac:dyDescent="0.3">
      <c r="B388" s="387" t="s">
        <v>1375</v>
      </c>
      <c r="C388" s="388">
        <v>122191</v>
      </c>
      <c r="D388" s="388" t="s">
        <v>3237</v>
      </c>
      <c r="E388" s="388" t="s">
        <v>1377</v>
      </c>
      <c r="F388" s="388" t="s">
        <v>1378</v>
      </c>
      <c r="G388" s="388" t="s">
        <v>1379</v>
      </c>
      <c r="H388" s="388" t="s">
        <v>1380</v>
      </c>
      <c r="I388" s="388" t="s">
        <v>1381</v>
      </c>
      <c r="J388" s="388" t="s">
        <v>1382</v>
      </c>
      <c r="K388" s="388" t="s">
        <v>1383</v>
      </c>
      <c r="L388" s="389">
        <v>233</v>
      </c>
      <c r="M388" s="390" t="s">
        <v>3238</v>
      </c>
      <c r="N388" s="390" t="s">
        <v>3239</v>
      </c>
      <c r="O388" s="390" t="s">
        <v>1386</v>
      </c>
      <c r="P388" s="390" t="s">
        <v>1387</v>
      </c>
      <c r="Q388" s="388" t="s">
        <v>1383</v>
      </c>
      <c r="R388" s="390">
        <v>14</v>
      </c>
      <c r="S388" s="390" t="s">
        <v>1718</v>
      </c>
      <c r="T388" s="390">
        <v>102</v>
      </c>
      <c r="U388" s="390" t="s">
        <v>1719</v>
      </c>
      <c r="V388" s="390">
        <v>6103</v>
      </c>
      <c r="W388" s="390" t="s">
        <v>1430</v>
      </c>
      <c r="X388" s="390">
        <v>140018</v>
      </c>
      <c r="Y388" s="390" t="s">
        <v>1430</v>
      </c>
      <c r="Z388" s="391" t="s">
        <v>3240</v>
      </c>
    </row>
    <row r="389" spans="2:26" ht="15.75" customHeight="1" x14ac:dyDescent="0.3">
      <c r="B389" s="387" t="s">
        <v>1375</v>
      </c>
      <c r="C389" s="388">
        <v>122205</v>
      </c>
      <c r="D389" s="388" t="s">
        <v>3241</v>
      </c>
      <c r="E389" s="388" t="s">
        <v>1377</v>
      </c>
      <c r="F389" s="388" t="s">
        <v>1378</v>
      </c>
      <c r="G389" s="388" t="s">
        <v>1379</v>
      </c>
      <c r="H389" s="388" t="s">
        <v>1380</v>
      </c>
      <c r="I389" s="388" t="s">
        <v>1530</v>
      </c>
      <c r="J389" s="388" t="s">
        <v>1382</v>
      </c>
      <c r="K389" s="388" t="s">
        <v>1383</v>
      </c>
      <c r="L389" s="389">
        <v>54</v>
      </c>
      <c r="M389" s="390" t="s">
        <v>3242</v>
      </c>
      <c r="N389" s="390" t="s">
        <v>3243</v>
      </c>
      <c r="O389" s="390" t="s">
        <v>1482</v>
      </c>
      <c r="P389" s="390" t="s">
        <v>1387</v>
      </c>
      <c r="Q389" s="388" t="s">
        <v>1383</v>
      </c>
      <c r="R389" s="390">
        <v>16</v>
      </c>
      <c r="S389" s="390" t="s">
        <v>1746</v>
      </c>
      <c r="T389" s="390">
        <v>108</v>
      </c>
      <c r="U389" s="390" t="s">
        <v>3244</v>
      </c>
      <c r="V389" s="390">
        <v>6204</v>
      </c>
      <c r="W389" s="390" t="s">
        <v>3245</v>
      </c>
      <c r="X389" s="390">
        <v>160020</v>
      </c>
      <c r="Y389" s="390" t="s">
        <v>3246</v>
      </c>
      <c r="Z389" s="391" t="s">
        <v>3247</v>
      </c>
    </row>
    <row r="390" spans="2:26" ht="15.75" customHeight="1" x14ac:dyDescent="0.3">
      <c r="B390" s="387" t="s">
        <v>1375</v>
      </c>
      <c r="C390" s="388">
        <v>122206</v>
      </c>
      <c r="D390" s="388" t="s">
        <v>3248</v>
      </c>
      <c r="E390" s="388" t="s">
        <v>1377</v>
      </c>
      <c r="F390" s="388" t="s">
        <v>1378</v>
      </c>
      <c r="G390" s="388" t="s">
        <v>1379</v>
      </c>
      <c r="H390" s="388" t="s">
        <v>1380</v>
      </c>
      <c r="I390" s="388" t="s">
        <v>1530</v>
      </c>
      <c r="J390" s="388" t="s">
        <v>1382</v>
      </c>
      <c r="K390" s="388" t="s">
        <v>1383</v>
      </c>
      <c r="L390" s="389">
        <v>70</v>
      </c>
      <c r="M390" s="390" t="s">
        <v>3249</v>
      </c>
      <c r="N390" s="390" t="s">
        <v>3250</v>
      </c>
      <c r="O390" s="390" t="s">
        <v>1474</v>
      </c>
      <c r="P390" s="390" t="s">
        <v>1387</v>
      </c>
      <c r="Q390" s="388" t="s">
        <v>1383</v>
      </c>
      <c r="R390" s="390">
        <v>7</v>
      </c>
      <c r="S390" s="390" t="s">
        <v>1687</v>
      </c>
      <c r="T390" s="390">
        <v>84</v>
      </c>
      <c r="U390" s="390" t="s">
        <v>1920</v>
      </c>
      <c r="V390" s="390">
        <v>4526</v>
      </c>
      <c r="W390" s="390" t="s">
        <v>2987</v>
      </c>
      <c r="X390" s="390">
        <v>70019</v>
      </c>
      <c r="Y390" s="390" t="s">
        <v>2988</v>
      </c>
      <c r="Z390" s="391" t="s">
        <v>3251</v>
      </c>
    </row>
    <row r="391" spans="2:26" ht="15.75" customHeight="1" x14ac:dyDescent="0.3">
      <c r="B391" s="387" t="s">
        <v>1375</v>
      </c>
      <c r="C391" s="388">
        <v>122224</v>
      </c>
      <c r="D391" s="388" t="s">
        <v>2180</v>
      </c>
      <c r="E391" s="388" t="s">
        <v>1377</v>
      </c>
      <c r="F391" s="388" t="s">
        <v>1378</v>
      </c>
      <c r="G391" s="388" t="s">
        <v>1379</v>
      </c>
      <c r="H391" s="388" t="s">
        <v>1471</v>
      </c>
      <c r="I391" s="388" t="s">
        <v>1393</v>
      </c>
      <c r="J391" s="388" t="s">
        <v>1382</v>
      </c>
      <c r="K391" s="388" t="s">
        <v>1383</v>
      </c>
      <c r="L391" s="389">
        <v>170</v>
      </c>
      <c r="M391" s="390" t="s">
        <v>3252</v>
      </c>
      <c r="N391" s="390" t="s">
        <v>3253</v>
      </c>
      <c r="O391" s="390" t="s">
        <v>1474</v>
      </c>
      <c r="P391" s="390" t="s">
        <v>1387</v>
      </c>
      <c r="Q391" s="388" t="s">
        <v>1383</v>
      </c>
      <c r="R391" s="390">
        <v>2</v>
      </c>
      <c r="S391" s="390" t="s">
        <v>1406</v>
      </c>
      <c r="T391" s="390">
        <v>90</v>
      </c>
      <c r="U391" s="390" t="s">
        <v>1407</v>
      </c>
      <c r="V391" s="390">
        <v>8220</v>
      </c>
      <c r="W391" s="390" t="s">
        <v>3254</v>
      </c>
      <c r="X391" s="390">
        <v>20052</v>
      </c>
      <c r="Y391" s="390" t="s">
        <v>1407</v>
      </c>
      <c r="Z391" s="391" t="s">
        <v>3255</v>
      </c>
    </row>
    <row r="392" spans="2:26" ht="15.75" customHeight="1" x14ac:dyDescent="0.3">
      <c r="B392" s="387" t="s">
        <v>1375</v>
      </c>
      <c r="C392" s="388">
        <v>122225</v>
      </c>
      <c r="D392" s="388" t="s">
        <v>3256</v>
      </c>
      <c r="E392" s="388" t="s">
        <v>1377</v>
      </c>
      <c r="F392" s="388" t="s">
        <v>1378</v>
      </c>
      <c r="G392" s="388" t="s">
        <v>1379</v>
      </c>
      <c r="H392" s="388" t="s">
        <v>1471</v>
      </c>
      <c r="I392" s="388" t="s">
        <v>1393</v>
      </c>
      <c r="J392" s="388" t="s">
        <v>1382</v>
      </c>
      <c r="K392" s="388" t="s">
        <v>1383</v>
      </c>
      <c r="L392" s="389">
        <v>192</v>
      </c>
      <c r="M392" s="390" t="s">
        <v>3257</v>
      </c>
      <c r="N392" s="390" t="s">
        <v>3170</v>
      </c>
      <c r="O392" s="390" t="s">
        <v>1474</v>
      </c>
      <c r="P392" s="390" t="s">
        <v>1387</v>
      </c>
      <c r="Q392" s="388" t="s">
        <v>1383</v>
      </c>
      <c r="R392" s="390">
        <v>7</v>
      </c>
      <c r="S392" s="390" t="s">
        <v>1687</v>
      </c>
      <c r="T392" s="390">
        <v>85</v>
      </c>
      <c r="U392" s="390" t="s">
        <v>1688</v>
      </c>
      <c r="V392" s="390">
        <v>4521</v>
      </c>
      <c r="W392" s="390" t="s">
        <v>3258</v>
      </c>
      <c r="X392" s="390">
        <v>70255</v>
      </c>
      <c r="Y392" s="390" t="s">
        <v>3259</v>
      </c>
      <c r="Z392" s="391" t="s">
        <v>3260</v>
      </c>
    </row>
    <row r="393" spans="2:26" ht="15.75" customHeight="1" x14ac:dyDescent="0.3">
      <c r="B393" s="387" t="s">
        <v>1375</v>
      </c>
      <c r="C393" s="388">
        <v>122230</v>
      </c>
      <c r="D393" s="388" t="s">
        <v>3261</v>
      </c>
      <c r="E393" s="388" t="s">
        <v>1377</v>
      </c>
      <c r="F393" s="388" t="s">
        <v>1378</v>
      </c>
      <c r="G393" s="388" t="s">
        <v>1379</v>
      </c>
      <c r="H393" s="388" t="s">
        <v>1380</v>
      </c>
      <c r="I393" s="388" t="s">
        <v>1393</v>
      </c>
      <c r="J393" s="388" t="s">
        <v>1382</v>
      </c>
      <c r="K393" s="388" t="s">
        <v>1383</v>
      </c>
      <c r="L393" s="389">
        <v>61</v>
      </c>
      <c r="M393" s="390" t="s">
        <v>3262</v>
      </c>
      <c r="N393" s="390" t="s">
        <v>1852</v>
      </c>
      <c r="O393" s="390" t="s">
        <v>1386</v>
      </c>
      <c r="P393" s="390" t="s">
        <v>1387</v>
      </c>
      <c r="Q393" s="388" t="s">
        <v>1383</v>
      </c>
      <c r="R393" s="390">
        <v>19</v>
      </c>
      <c r="S393" s="390" t="s">
        <v>1841</v>
      </c>
      <c r="T393" s="390">
        <v>66</v>
      </c>
      <c r="U393" s="390" t="s">
        <v>1844</v>
      </c>
      <c r="V393" s="390">
        <v>2502</v>
      </c>
      <c r="W393" s="390" t="s">
        <v>3263</v>
      </c>
      <c r="X393" s="390">
        <v>190132</v>
      </c>
      <c r="Y393" s="390" t="s">
        <v>3264</v>
      </c>
      <c r="Z393" s="391" t="s">
        <v>3265</v>
      </c>
    </row>
    <row r="394" spans="2:26" ht="15.75" customHeight="1" x14ac:dyDescent="0.3">
      <c r="B394" s="387" t="s">
        <v>1375</v>
      </c>
      <c r="C394" s="388">
        <v>122233</v>
      </c>
      <c r="D394" s="388" t="s">
        <v>3266</v>
      </c>
      <c r="E394" s="388" t="s">
        <v>1377</v>
      </c>
      <c r="F394" s="388" t="s">
        <v>1378</v>
      </c>
      <c r="G394" s="388" t="s">
        <v>1439</v>
      </c>
      <c r="H394" s="388" t="s">
        <v>1471</v>
      </c>
      <c r="I394" s="388" t="s">
        <v>1699</v>
      </c>
      <c r="J394" s="388" t="s">
        <v>1382</v>
      </c>
      <c r="K394" s="388" t="s">
        <v>1383</v>
      </c>
      <c r="L394" s="389">
        <v>0</v>
      </c>
      <c r="M394" s="390" t="s">
        <v>3267</v>
      </c>
      <c r="N394" s="390" t="s">
        <v>1699</v>
      </c>
      <c r="O394" s="390" t="s">
        <v>1699</v>
      </c>
      <c r="P394" s="390" t="s">
        <v>1383</v>
      </c>
      <c r="Q394" s="388" t="s">
        <v>1383</v>
      </c>
      <c r="R394" s="390">
        <v>14</v>
      </c>
      <c r="S394" s="390" t="s">
        <v>1718</v>
      </c>
      <c r="T394" s="390">
        <v>37</v>
      </c>
      <c r="U394" s="390" t="s">
        <v>2445</v>
      </c>
      <c r="V394" s="390">
        <v>4105</v>
      </c>
      <c r="W394" s="390" t="s">
        <v>3268</v>
      </c>
      <c r="X394" s="390">
        <v>140003</v>
      </c>
      <c r="Y394" s="390" t="s">
        <v>3268</v>
      </c>
      <c r="Z394" s="391" t="s">
        <v>3269</v>
      </c>
    </row>
    <row r="395" spans="2:26" ht="15.75" customHeight="1" x14ac:dyDescent="0.3">
      <c r="B395" s="387" t="s">
        <v>1375</v>
      </c>
      <c r="C395" s="388">
        <v>122236</v>
      </c>
      <c r="D395" s="388" t="s">
        <v>3270</v>
      </c>
      <c r="E395" s="388" t="s">
        <v>1377</v>
      </c>
      <c r="F395" s="388" t="s">
        <v>1378</v>
      </c>
      <c r="G395" s="388" t="s">
        <v>1439</v>
      </c>
      <c r="H395" s="388" t="s">
        <v>1471</v>
      </c>
      <c r="I395" s="388" t="s">
        <v>1699</v>
      </c>
      <c r="J395" s="388" t="s">
        <v>1382</v>
      </c>
      <c r="K395" s="388" t="s">
        <v>1383</v>
      </c>
      <c r="L395" s="389">
        <v>0</v>
      </c>
      <c r="M395" s="390" t="s">
        <v>3271</v>
      </c>
      <c r="N395" s="390" t="s">
        <v>1699</v>
      </c>
      <c r="O395" s="390" t="s">
        <v>1699</v>
      </c>
      <c r="P395" s="390" t="s">
        <v>1383</v>
      </c>
      <c r="Q395" s="388" t="s">
        <v>1383</v>
      </c>
      <c r="R395" s="390">
        <v>9</v>
      </c>
      <c r="S395" s="390" t="s">
        <v>1533</v>
      </c>
      <c r="T395" s="390">
        <v>75</v>
      </c>
      <c r="U395" s="390" t="s">
        <v>1533</v>
      </c>
      <c r="V395" s="390">
        <v>6401</v>
      </c>
      <c r="W395" s="390" t="s">
        <v>2227</v>
      </c>
      <c r="X395" s="390">
        <v>90055</v>
      </c>
      <c r="Y395" s="390" t="s">
        <v>3272</v>
      </c>
      <c r="Z395" s="391" t="s">
        <v>3273</v>
      </c>
    </row>
    <row r="396" spans="2:26" ht="15.75" customHeight="1" x14ac:dyDescent="0.3">
      <c r="B396" s="387" t="s">
        <v>1375</v>
      </c>
      <c r="C396" s="388">
        <v>122237</v>
      </c>
      <c r="D396" s="388" t="s">
        <v>3274</v>
      </c>
      <c r="E396" s="388" t="s">
        <v>1377</v>
      </c>
      <c r="F396" s="388" t="s">
        <v>1378</v>
      </c>
      <c r="G396" s="388" t="s">
        <v>1379</v>
      </c>
      <c r="H396" s="388" t="s">
        <v>1471</v>
      </c>
      <c r="I396" s="388" t="s">
        <v>1393</v>
      </c>
      <c r="J396" s="388" t="s">
        <v>1382</v>
      </c>
      <c r="K396" s="388" t="s">
        <v>1383</v>
      </c>
      <c r="L396" s="389">
        <v>170</v>
      </c>
      <c r="M396" s="390" t="s">
        <v>3275</v>
      </c>
      <c r="N396" s="390" t="s">
        <v>1877</v>
      </c>
      <c r="O396" s="390" t="s">
        <v>1474</v>
      </c>
      <c r="P396" s="390" t="s">
        <v>1387</v>
      </c>
      <c r="Q396" s="388" t="s">
        <v>1383</v>
      </c>
      <c r="R396" s="390">
        <v>5</v>
      </c>
      <c r="S396" s="390" t="s">
        <v>1466</v>
      </c>
      <c r="T396" s="390">
        <v>57</v>
      </c>
      <c r="U396" s="390" t="s">
        <v>1639</v>
      </c>
      <c r="V396" s="390">
        <v>2528</v>
      </c>
      <c r="W396" s="390" t="s">
        <v>3276</v>
      </c>
      <c r="X396" s="390">
        <v>50251</v>
      </c>
      <c r="Y396" s="390" t="s">
        <v>3277</v>
      </c>
      <c r="Z396" s="391" t="s">
        <v>3278</v>
      </c>
    </row>
    <row r="397" spans="2:26" ht="15.75" customHeight="1" x14ac:dyDescent="0.3">
      <c r="B397" s="387" t="s">
        <v>1375</v>
      </c>
      <c r="C397" s="388">
        <v>122244</v>
      </c>
      <c r="D397" s="388" t="s">
        <v>3279</v>
      </c>
      <c r="E397" s="388" t="s">
        <v>1377</v>
      </c>
      <c r="F397" s="388" t="s">
        <v>1378</v>
      </c>
      <c r="G397" s="388" t="s">
        <v>1379</v>
      </c>
      <c r="H397" s="388" t="s">
        <v>1471</v>
      </c>
      <c r="I397" s="388" t="s">
        <v>1440</v>
      </c>
      <c r="J397" s="388" t="s">
        <v>1382</v>
      </c>
      <c r="K397" s="388" t="s">
        <v>1383</v>
      </c>
      <c r="L397" s="389">
        <v>100</v>
      </c>
      <c r="M397" s="390" t="s">
        <v>3280</v>
      </c>
      <c r="N397" s="390" t="s">
        <v>3281</v>
      </c>
      <c r="O397" s="390" t="s">
        <v>1474</v>
      </c>
      <c r="P397" s="390" t="s">
        <v>1387</v>
      </c>
      <c r="Q397" s="388" t="s">
        <v>1383</v>
      </c>
      <c r="R397" s="390">
        <v>4</v>
      </c>
      <c r="S397" s="390" t="s">
        <v>1451</v>
      </c>
      <c r="T397" s="390">
        <v>50</v>
      </c>
      <c r="U397" s="390" t="s">
        <v>1458</v>
      </c>
      <c r="V397" s="390">
        <v>1319</v>
      </c>
      <c r="W397" s="390" t="s">
        <v>3282</v>
      </c>
      <c r="X397" s="390">
        <v>40152</v>
      </c>
      <c r="Y397" s="390" t="s">
        <v>3283</v>
      </c>
      <c r="Z397" s="391" t="s">
        <v>3284</v>
      </c>
    </row>
    <row r="398" spans="2:26" ht="15.75" customHeight="1" x14ac:dyDescent="0.3">
      <c r="B398" s="387" t="s">
        <v>1375</v>
      </c>
      <c r="C398" s="388">
        <v>122245</v>
      </c>
      <c r="D398" s="388" t="s">
        <v>3285</v>
      </c>
      <c r="E398" s="388" t="s">
        <v>1377</v>
      </c>
      <c r="F398" s="388" t="s">
        <v>1378</v>
      </c>
      <c r="G398" s="388" t="s">
        <v>1439</v>
      </c>
      <c r="H398" s="388" t="s">
        <v>1380</v>
      </c>
      <c r="I398" s="388" t="s">
        <v>1530</v>
      </c>
      <c r="J398" s="388" t="s">
        <v>1382</v>
      </c>
      <c r="K398" s="388" t="s">
        <v>1383</v>
      </c>
      <c r="L398" s="389">
        <v>0</v>
      </c>
      <c r="M398" s="390" t="s">
        <v>3286</v>
      </c>
      <c r="N398" s="390" t="s">
        <v>1699</v>
      </c>
      <c r="O398" s="390" t="s">
        <v>1699</v>
      </c>
      <c r="P398" s="390" t="s">
        <v>1383</v>
      </c>
      <c r="Q398" s="388" t="s">
        <v>1383</v>
      </c>
      <c r="R398" s="390">
        <v>6</v>
      </c>
      <c r="S398" s="390" t="s">
        <v>1658</v>
      </c>
      <c r="T398" s="390">
        <v>62</v>
      </c>
      <c r="U398" s="390" t="s">
        <v>1658</v>
      </c>
      <c r="V398" s="390">
        <v>2501</v>
      </c>
      <c r="W398" s="390" t="s">
        <v>2699</v>
      </c>
      <c r="X398" s="390">
        <v>60023</v>
      </c>
      <c r="Y398" s="390" t="s">
        <v>2699</v>
      </c>
      <c r="Z398" s="391" t="s">
        <v>3287</v>
      </c>
    </row>
    <row r="399" spans="2:26" ht="15.75" customHeight="1" x14ac:dyDescent="0.3">
      <c r="B399" s="387" t="s">
        <v>1375</v>
      </c>
      <c r="C399" s="388">
        <v>122248</v>
      </c>
      <c r="D399" s="388" t="s">
        <v>3288</v>
      </c>
      <c r="E399" s="388" t="s">
        <v>1377</v>
      </c>
      <c r="F399" s="388" t="s">
        <v>1378</v>
      </c>
      <c r="G399" s="388" t="s">
        <v>1379</v>
      </c>
      <c r="H399" s="388" t="s">
        <v>1380</v>
      </c>
      <c r="I399" s="388" t="s">
        <v>1393</v>
      </c>
      <c r="J399" s="388" t="s">
        <v>1382</v>
      </c>
      <c r="K399" s="388" t="s">
        <v>1383</v>
      </c>
      <c r="L399" s="389">
        <v>132</v>
      </c>
      <c r="M399" s="390" t="s">
        <v>3289</v>
      </c>
      <c r="N399" s="390" t="s">
        <v>3180</v>
      </c>
      <c r="O399" s="390" t="s">
        <v>1465</v>
      </c>
      <c r="P399" s="390" t="s">
        <v>1387</v>
      </c>
      <c r="Q399" s="388" t="s">
        <v>1383</v>
      </c>
      <c r="R399" s="390">
        <v>18</v>
      </c>
      <c r="S399" s="390" t="s">
        <v>1790</v>
      </c>
      <c r="T399" s="390">
        <v>36</v>
      </c>
      <c r="U399" s="390" t="s">
        <v>1798</v>
      </c>
      <c r="V399" s="390">
        <v>1402</v>
      </c>
      <c r="W399" s="390" t="s">
        <v>1799</v>
      </c>
      <c r="X399" s="390">
        <v>180053</v>
      </c>
      <c r="Y399" s="390" t="s">
        <v>1799</v>
      </c>
      <c r="Z399" s="391" t="s">
        <v>3290</v>
      </c>
    </row>
    <row r="400" spans="2:26" ht="15.75" customHeight="1" x14ac:dyDescent="0.3">
      <c r="B400" s="387" t="s">
        <v>1375</v>
      </c>
      <c r="C400" s="388">
        <v>122250</v>
      </c>
      <c r="D400" s="388" t="s">
        <v>3291</v>
      </c>
      <c r="E400" s="388" t="s">
        <v>1377</v>
      </c>
      <c r="F400" s="388" t="s">
        <v>1378</v>
      </c>
      <c r="G400" s="388" t="s">
        <v>1379</v>
      </c>
      <c r="H400" s="388" t="s">
        <v>1380</v>
      </c>
      <c r="I400" s="388" t="s">
        <v>1393</v>
      </c>
      <c r="J400" s="388" t="s">
        <v>1382</v>
      </c>
      <c r="K400" s="388" t="s">
        <v>1383</v>
      </c>
      <c r="L400" s="389">
        <v>234</v>
      </c>
      <c r="M400" s="390" t="s">
        <v>3292</v>
      </c>
      <c r="N400" s="390" t="s">
        <v>3293</v>
      </c>
      <c r="O400" s="390" t="s">
        <v>1465</v>
      </c>
      <c r="P400" s="390" t="s">
        <v>1387</v>
      </c>
      <c r="Q400" s="388" t="s">
        <v>1383</v>
      </c>
      <c r="R400" s="390">
        <v>11</v>
      </c>
      <c r="S400" s="390" t="s">
        <v>1608</v>
      </c>
      <c r="T400" s="390">
        <v>71</v>
      </c>
      <c r="U400" s="390" t="s">
        <v>1938</v>
      </c>
      <c r="V400" s="390">
        <v>9232</v>
      </c>
      <c r="W400" s="390" t="s">
        <v>2260</v>
      </c>
      <c r="X400" s="390">
        <v>110762</v>
      </c>
      <c r="Y400" s="390" t="s">
        <v>3294</v>
      </c>
      <c r="Z400" s="391" t="s">
        <v>3295</v>
      </c>
    </row>
    <row r="401" spans="2:26" ht="15.75" customHeight="1" x14ac:dyDescent="0.3">
      <c r="B401" s="387" t="s">
        <v>1375</v>
      </c>
      <c r="C401" s="388">
        <v>122259</v>
      </c>
      <c r="D401" s="388" t="s">
        <v>3296</v>
      </c>
      <c r="E401" s="388" t="s">
        <v>1377</v>
      </c>
      <c r="F401" s="388" t="s">
        <v>1378</v>
      </c>
      <c r="G401" s="388" t="s">
        <v>1439</v>
      </c>
      <c r="H401" s="388" t="s">
        <v>1380</v>
      </c>
      <c r="I401" s="388" t="s">
        <v>1530</v>
      </c>
      <c r="J401" s="388" t="s">
        <v>1382</v>
      </c>
      <c r="K401" s="388" t="s">
        <v>1383</v>
      </c>
      <c r="L401" s="389">
        <v>0</v>
      </c>
      <c r="M401" s="390" t="s">
        <v>3297</v>
      </c>
      <c r="N401" s="390" t="s">
        <v>1834</v>
      </c>
      <c r="O401" s="390" t="s">
        <v>1465</v>
      </c>
      <c r="P401" s="390" t="s">
        <v>1387</v>
      </c>
      <c r="Q401" s="388" t="s">
        <v>1383</v>
      </c>
      <c r="R401" s="390">
        <v>1</v>
      </c>
      <c r="S401" s="390" t="s">
        <v>1388</v>
      </c>
      <c r="T401" s="390">
        <v>12</v>
      </c>
      <c r="U401" s="390" t="s">
        <v>2018</v>
      </c>
      <c r="V401" s="390">
        <v>8516</v>
      </c>
      <c r="W401" s="390" t="s">
        <v>3298</v>
      </c>
      <c r="X401" s="390">
        <v>10133</v>
      </c>
      <c r="Y401" s="390" t="s">
        <v>3299</v>
      </c>
      <c r="Z401" s="391" t="s">
        <v>3300</v>
      </c>
    </row>
    <row r="402" spans="2:26" ht="15.75" customHeight="1" x14ac:dyDescent="0.3">
      <c r="B402" s="387" t="s">
        <v>1375</v>
      </c>
      <c r="C402" s="388">
        <v>122279</v>
      </c>
      <c r="D402" s="388" t="s">
        <v>3301</v>
      </c>
      <c r="E402" s="388" t="s">
        <v>1377</v>
      </c>
      <c r="F402" s="388" t="s">
        <v>1378</v>
      </c>
      <c r="G402" s="388" t="s">
        <v>1379</v>
      </c>
      <c r="H402" s="388" t="s">
        <v>1471</v>
      </c>
      <c r="I402" s="388" t="s">
        <v>1393</v>
      </c>
      <c r="J402" s="388" t="s">
        <v>1382</v>
      </c>
      <c r="K402" s="388" t="s">
        <v>1383</v>
      </c>
      <c r="L402" s="389">
        <v>90</v>
      </c>
      <c r="M402" s="390" t="s">
        <v>3302</v>
      </c>
      <c r="N402" s="390" t="s">
        <v>2568</v>
      </c>
      <c r="O402" s="390" t="s">
        <v>1474</v>
      </c>
      <c r="P402" s="390" t="s">
        <v>1387</v>
      </c>
      <c r="Q402" s="388" t="s">
        <v>1383</v>
      </c>
      <c r="R402" s="390">
        <v>18</v>
      </c>
      <c r="S402" s="390" t="s">
        <v>1790</v>
      </c>
      <c r="T402" s="390">
        <v>55</v>
      </c>
      <c r="U402" s="390" t="s">
        <v>1980</v>
      </c>
      <c r="V402" s="390">
        <v>2535</v>
      </c>
      <c r="W402" s="390" t="s">
        <v>1978</v>
      </c>
      <c r="X402" s="390">
        <v>180099</v>
      </c>
      <c r="Y402" s="390" t="s">
        <v>1978</v>
      </c>
      <c r="Z402" s="391" t="s">
        <v>3303</v>
      </c>
    </row>
    <row r="403" spans="2:26" ht="15.75" customHeight="1" x14ac:dyDescent="0.3">
      <c r="B403" s="387" t="s">
        <v>1375</v>
      </c>
      <c r="C403" s="388">
        <v>122282</v>
      </c>
      <c r="D403" s="388" t="s">
        <v>3304</v>
      </c>
      <c r="E403" s="388" t="s">
        <v>1377</v>
      </c>
      <c r="F403" s="388" t="s">
        <v>1378</v>
      </c>
      <c r="G403" s="388" t="s">
        <v>1379</v>
      </c>
      <c r="H403" s="388" t="s">
        <v>1380</v>
      </c>
      <c r="I403" s="388" t="s">
        <v>1530</v>
      </c>
      <c r="J403" s="388" t="s">
        <v>1382</v>
      </c>
      <c r="K403" s="388" t="s">
        <v>1383</v>
      </c>
      <c r="L403" s="389">
        <v>229</v>
      </c>
      <c r="M403" s="390" t="s">
        <v>3305</v>
      </c>
      <c r="N403" s="390" t="s">
        <v>3306</v>
      </c>
      <c r="O403" s="390" t="s">
        <v>1386</v>
      </c>
      <c r="P403" s="390" t="s">
        <v>1387</v>
      </c>
      <c r="Q403" s="388" t="s">
        <v>1383</v>
      </c>
      <c r="R403" s="390">
        <v>19</v>
      </c>
      <c r="S403" s="390" t="s">
        <v>1841</v>
      </c>
      <c r="T403" s="390">
        <v>1003</v>
      </c>
      <c r="U403" s="390" t="s">
        <v>2236</v>
      </c>
      <c r="V403" s="390">
        <v>104110</v>
      </c>
      <c r="W403" s="390" t="s">
        <v>2237</v>
      </c>
      <c r="X403" s="390">
        <v>190196</v>
      </c>
      <c r="Y403" s="390" t="s">
        <v>2238</v>
      </c>
      <c r="Z403" s="391" t="s">
        <v>2660</v>
      </c>
    </row>
    <row r="404" spans="2:26" ht="15.75" customHeight="1" x14ac:dyDescent="0.3">
      <c r="B404" s="387" t="s">
        <v>1375</v>
      </c>
      <c r="C404" s="388">
        <v>122283</v>
      </c>
      <c r="D404" s="388" t="s">
        <v>3268</v>
      </c>
      <c r="E404" s="388" t="s">
        <v>1377</v>
      </c>
      <c r="F404" s="388" t="s">
        <v>1378</v>
      </c>
      <c r="G404" s="388" t="s">
        <v>1379</v>
      </c>
      <c r="H404" s="388" t="s">
        <v>1380</v>
      </c>
      <c r="I404" s="388" t="s">
        <v>1393</v>
      </c>
      <c r="J404" s="388" t="s">
        <v>1382</v>
      </c>
      <c r="K404" s="388" t="s">
        <v>1383</v>
      </c>
      <c r="L404" s="389">
        <v>132</v>
      </c>
      <c r="M404" s="390" t="s">
        <v>3307</v>
      </c>
      <c r="N404" s="390" t="s">
        <v>3308</v>
      </c>
      <c r="O404" s="390" t="s">
        <v>1386</v>
      </c>
      <c r="P404" s="390" t="s">
        <v>1387</v>
      </c>
      <c r="Q404" s="388" t="s">
        <v>1383</v>
      </c>
      <c r="R404" s="390">
        <v>14</v>
      </c>
      <c r="S404" s="390" t="s">
        <v>1718</v>
      </c>
      <c r="T404" s="390">
        <v>37</v>
      </c>
      <c r="U404" s="390" t="s">
        <v>2445</v>
      </c>
      <c r="V404" s="390">
        <v>4105</v>
      </c>
      <c r="W404" s="390" t="s">
        <v>3268</v>
      </c>
      <c r="X404" s="390">
        <v>140003</v>
      </c>
      <c r="Y404" s="390" t="s">
        <v>3268</v>
      </c>
      <c r="Z404" s="391" t="s">
        <v>3269</v>
      </c>
    </row>
    <row r="405" spans="2:26" ht="15.75" customHeight="1" x14ac:dyDescent="0.3">
      <c r="B405" s="387" t="s">
        <v>1375</v>
      </c>
      <c r="C405" s="388">
        <v>122284</v>
      </c>
      <c r="D405" s="388" t="s">
        <v>3309</v>
      </c>
      <c r="E405" s="388" t="s">
        <v>1377</v>
      </c>
      <c r="F405" s="388" t="s">
        <v>1378</v>
      </c>
      <c r="G405" s="388" t="s">
        <v>1379</v>
      </c>
      <c r="H405" s="388" t="s">
        <v>1380</v>
      </c>
      <c r="I405" s="388" t="s">
        <v>1393</v>
      </c>
      <c r="J405" s="388" t="s">
        <v>1382</v>
      </c>
      <c r="K405" s="388" t="s">
        <v>1383</v>
      </c>
      <c r="L405" s="389">
        <v>95</v>
      </c>
      <c r="M405" s="390" t="s">
        <v>3310</v>
      </c>
      <c r="N405" s="390" t="s">
        <v>3311</v>
      </c>
      <c r="O405" s="390" t="s">
        <v>1465</v>
      </c>
      <c r="P405" s="390" t="s">
        <v>1387</v>
      </c>
      <c r="Q405" s="388" t="s">
        <v>1383</v>
      </c>
      <c r="R405" s="390">
        <v>11</v>
      </c>
      <c r="S405" s="390" t="s">
        <v>1608</v>
      </c>
      <c r="T405" s="390">
        <v>71</v>
      </c>
      <c r="U405" s="390" t="s">
        <v>1938</v>
      </c>
      <c r="V405" s="390">
        <v>9234</v>
      </c>
      <c r="W405" s="390" t="s">
        <v>3312</v>
      </c>
      <c r="X405" s="390">
        <v>110473</v>
      </c>
      <c r="Y405" s="390" t="s">
        <v>3313</v>
      </c>
      <c r="Z405" s="391" t="s">
        <v>3314</v>
      </c>
    </row>
    <row r="406" spans="2:26" ht="15.75" customHeight="1" x14ac:dyDescent="0.3">
      <c r="B406" s="387" t="s">
        <v>1375</v>
      </c>
      <c r="C406" s="388">
        <v>122287</v>
      </c>
      <c r="D406" s="388" t="s">
        <v>3315</v>
      </c>
      <c r="E406" s="388" t="s">
        <v>1377</v>
      </c>
      <c r="F406" s="388" t="s">
        <v>1378</v>
      </c>
      <c r="G406" s="388" t="s">
        <v>1379</v>
      </c>
      <c r="H406" s="388" t="s">
        <v>1380</v>
      </c>
      <c r="I406" s="388" t="s">
        <v>1393</v>
      </c>
      <c r="J406" s="388" t="s">
        <v>1382</v>
      </c>
      <c r="K406" s="388" t="s">
        <v>1383</v>
      </c>
      <c r="L406" s="389">
        <v>252</v>
      </c>
      <c r="M406" s="390" t="s">
        <v>3316</v>
      </c>
      <c r="N406" s="390" t="s">
        <v>3317</v>
      </c>
      <c r="O406" s="390" t="s">
        <v>1474</v>
      </c>
      <c r="P406" s="390" t="s">
        <v>1387</v>
      </c>
      <c r="Q406" s="388" t="s">
        <v>1383</v>
      </c>
      <c r="R406" s="390">
        <v>7</v>
      </c>
      <c r="S406" s="390" t="s">
        <v>1687</v>
      </c>
      <c r="T406" s="390">
        <v>85</v>
      </c>
      <c r="U406" s="390" t="s">
        <v>1688</v>
      </c>
      <c r="V406" s="390">
        <v>4524</v>
      </c>
      <c r="W406" s="390" t="s">
        <v>2063</v>
      </c>
      <c r="X406" s="390">
        <v>70223</v>
      </c>
      <c r="Y406" s="390" t="s">
        <v>2064</v>
      </c>
      <c r="Z406" s="391" t="s">
        <v>2065</v>
      </c>
    </row>
    <row r="407" spans="2:26" ht="15.75" customHeight="1" x14ac:dyDescent="0.3">
      <c r="B407" s="387" t="s">
        <v>1375</v>
      </c>
      <c r="C407" s="388">
        <v>122291</v>
      </c>
      <c r="D407" s="388" t="s">
        <v>3318</v>
      </c>
      <c r="E407" s="388" t="s">
        <v>1377</v>
      </c>
      <c r="F407" s="388" t="s">
        <v>2293</v>
      </c>
      <c r="G407" s="388" t="s">
        <v>1379</v>
      </c>
      <c r="H407" s="388" t="s">
        <v>1380</v>
      </c>
      <c r="I407" s="388" t="s">
        <v>1393</v>
      </c>
      <c r="J407" s="388" t="s">
        <v>1382</v>
      </c>
      <c r="K407" s="388" t="s">
        <v>1383</v>
      </c>
      <c r="L407" s="389">
        <v>135</v>
      </c>
      <c r="M407" s="390" t="s">
        <v>3319</v>
      </c>
      <c r="N407" s="390" t="s">
        <v>3320</v>
      </c>
      <c r="O407" s="390" t="s">
        <v>1386</v>
      </c>
      <c r="P407" s="390" t="s">
        <v>1387</v>
      </c>
      <c r="Q407" s="388" t="s">
        <v>1383</v>
      </c>
      <c r="R407" s="390">
        <v>19</v>
      </c>
      <c r="S407" s="390" t="s">
        <v>1841</v>
      </c>
      <c r="T407" s="390">
        <v>67</v>
      </c>
      <c r="U407" s="390" t="s">
        <v>2049</v>
      </c>
      <c r="V407" s="390">
        <v>2540</v>
      </c>
      <c r="W407" s="390" t="s">
        <v>3118</v>
      </c>
      <c r="X407" s="390">
        <v>190073</v>
      </c>
      <c r="Y407" s="390" t="s">
        <v>3118</v>
      </c>
      <c r="Z407" s="391" t="s">
        <v>3120</v>
      </c>
    </row>
    <row r="408" spans="2:26" ht="15.75" customHeight="1" x14ac:dyDescent="0.3">
      <c r="B408" s="387" t="s">
        <v>1375</v>
      </c>
      <c r="C408" s="388">
        <v>122292</v>
      </c>
      <c r="D408" s="388" t="s">
        <v>3321</v>
      </c>
      <c r="E408" s="388" t="s">
        <v>1377</v>
      </c>
      <c r="F408" s="388" t="s">
        <v>1378</v>
      </c>
      <c r="G408" s="388" t="s">
        <v>1379</v>
      </c>
      <c r="H408" s="388" t="s">
        <v>1380</v>
      </c>
      <c r="I408" s="388" t="s">
        <v>1440</v>
      </c>
      <c r="J408" s="388" t="s">
        <v>1382</v>
      </c>
      <c r="K408" s="388" t="s">
        <v>1383</v>
      </c>
      <c r="L408" s="389">
        <v>225</v>
      </c>
      <c r="M408" s="390" t="s">
        <v>3322</v>
      </c>
      <c r="N408" s="390" t="s">
        <v>3189</v>
      </c>
      <c r="O408" s="390" t="s">
        <v>1465</v>
      </c>
      <c r="P408" s="390" t="s">
        <v>1387</v>
      </c>
      <c r="Q408" s="388" t="s">
        <v>1383</v>
      </c>
      <c r="R408" s="390">
        <v>18</v>
      </c>
      <c r="S408" s="390" t="s">
        <v>1790</v>
      </c>
      <c r="T408" s="390">
        <v>39</v>
      </c>
      <c r="U408" s="390" t="s">
        <v>1809</v>
      </c>
      <c r="V408" s="390">
        <v>2201</v>
      </c>
      <c r="W408" s="390" t="s">
        <v>1810</v>
      </c>
      <c r="X408" s="390">
        <v>180138</v>
      </c>
      <c r="Y408" s="390" t="s">
        <v>1811</v>
      </c>
      <c r="Z408" s="391" t="s">
        <v>3323</v>
      </c>
    </row>
    <row r="409" spans="2:26" ht="15.75" customHeight="1" x14ac:dyDescent="0.3">
      <c r="B409" s="387" t="s">
        <v>1375</v>
      </c>
      <c r="C409" s="388">
        <v>122312</v>
      </c>
      <c r="D409" s="388" t="s">
        <v>3324</v>
      </c>
      <c r="E409" s="388" t="s">
        <v>1377</v>
      </c>
      <c r="F409" s="388" t="s">
        <v>1378</v>
      </c>
      <c r="G409" s="388" t="s">
        <v>1379</v>
      </c>
      <c r="H409" s="388" t="s">
        <v>1380</v>
      </c>
      <c r="I409" s="388" t="s">
        <v>1393</v>
      </c>
      <c r="J409" s="388" t="s">
        <v>1382</v>
      </c>
      <c r="K409" s="388" t="s">
        <v>1383</v>
      </c>
      <c r="L409" s="389">
        <v>155</v>
      </c>
      <c r="M409" s="390" t="s">
        <v>2721</v>
      </c>
      <c r="N409" s="390" t="s">
        <v>1540</v>
      </c>
      <c r="O409" s="392" t="s">
        <v>1474</v>
      </c>
      <c r="P409" s="390" t="s">
        <v>1387</v>
      </c>
      <c r="Q409" s="388" t="s">
        <v>1383</v>
      </c>
      <c r="R409" s="390">
        <v>9</v>
      </c>
      <c r="S409" s="390" t="s">
        <v>1533</v>
      </c>
      <c r="T409" s="390">
        <v>75</v>
      </c>
      <c r="U409" s="390" t="s">
        <v>1533</v>
      </c>
      <c r="V409" s="390">
        <v>6403</v>
      </c>
      <c r="W409" s="390" t="s">
        <v>2722</v>
      </c>
      <c r="X409" s="390">
        <v>90174</v>
      </c>
      <c r="Y409" s="390" t="s">
        <v>2723</v>
      </c>
      <c r="Z409" s="391" t="s">
        <v>2724</v>
      </c>
    </row>
    <row r="410" spans="2:26" ht="15.75" customHeight="1" x14ac:dyDescent="0.3">
      <c r="B410" s="387" t="s">
        <v>1375</v>
      </c>
      <c r="C410" s="388">
        <v>122313</v>
      </c>
      <c r="D410" s="388" t="s">
        <v>3325</v>
      </c>
      <c r="E410" s="388" t="s">
        <v>1377</v>
      </c>
      <c r="F410" s="388" t="s">
        <v>1378</v>
      </c>
      <c r="G410" s="388" t="s">
        <v>1379</v>
      </c>
      <c r="H410" s="388" t="s">
        <v>1380</v>
      </c>
      <c r="I410" s="388" t="s">
        <v>1393</v>
      </c>
      <c r="J410" s="388" t="s">
        <v>1382</v>
      </c>
      <c r="K410" s="388" t="s">
        <v>1383</v>
      </c>
      <c r="L410" s="389">
        <v>113</v>
      </c>
      <c r="M410" s="390" t="s">
        <v>3326</v>
      </c>
      <c r="N410" s="390" t="s">
        <v>3327</v>
      </c>
      <c r="O410" s="390" t="s">
        <v>1482</v>
      </c>
      <c r="P410" s="390" t="s">
        <v>1387</v>
      </c>
      <c r="Q410" s="388" t="s">
        <v>1383</v>
      </c>
      <c r="R410" s="390">
        <v>12</v>
      </c>
      <c r="S410" s="390" t="s">
        <v>1695</v>
      </c>
      <c r="T410" s="390">
        <v>22</v>
      </c>
      <c r="U410" s="390" t="s">
        <v>1701</v>
      </c>
      <c r="V410" s="390">
        <v>5202</v>
      </c>
      <c r="W410" s="390" t="s">
        <v>1701</v>
      </c>
      <c r="X410" s="390">
        <v>120007</v>
      </c>
      <c r="Y410" s="390" t="s">
        <v>1702</v>
      </c>
      <c r="Z410" s="391" t="s">
        <v>3328</v>
      </c>
    </row>
    <row r="411" spans="2:26" ht="15.75" customHeight="1" x14ac:dyDescent="0.3">
      <c r="B411" s="387" t="s">
        <v>1375</v>
      </c>
      <c r="C411" s="388">
        <v>122327</v>
      </c>
      <c r="D411" s="388" t="s">
        <v>3329</v>
      </c>
      <c r="E411" s="388" t="s">
        <v>1377</v>
      </c>
      <c r="F411" s="388" t="s">
        <v>3329</v>
      </c>
      <c r="G411" s="388" t="s">
        <v>1379</v>
      </c>
      <c r="H411" s="388" t="s">
        <v>1380</v>
      </c>
      <c r="I411" s="388" t="s">
        <v>1440</v>
      </c>
      <c r="J411" s="388" t="s">
        <v>1420</v>
      </c>
      <c r="K411" s="388" t="s">
        <v>1383</v>
      </c>
      <c r="L411" s="389">
        <v>0</v>
      </c>
      <c r="M411" s="390" t="s">
        <v>1700</v>
      </c>
      <c r="N411" s="390" t="s">
        <v>2023</v>
      </c>
      <c r="O411" s="392" t="s">
        <v>3330</v>
      </c>
      <c r="P411" s="390" t="s">
        <v>1387</v>
      </c>
      <c r="Q411" s="388" t="s">
        <v>1383</v>
      </c>
      <c r="R411" s="390">
        <v>12</v>
      </c>
      <c r="S411" s="390" t="s">
        <v>1695</v>
      </c>
      <c r="T411" s="390">
        <v>22</v>
      </c>
      <c r="U411" s="390" t="s">
        <v>1701</v>
      </c>
      <c r="V411" s="390">
        <v>5202</v>
      </c>
      <c r="W411" s="390" t="s">
        <v>1701</v>
      </c>
      <c r="X411" s="390">
        <v>120007</v>
      </c>
      <c r="Y411" s="390" t="s">
        <v>1702</v>
      </c>
      <c r="Z411" s="391" t="s">
        <v>1703</v>
      </c>
    </row>
    <row r="412" spans="2:26" ht="15.75" customHeight="1" x14ac:dyDescent="0.3">
      <c r="B412" s="387" t="s">
        <v>1375</v>
      </c>
      <c r="C412" s="388">
        <v>122337</v>
      </c>
      <c r="D412" s="388" t="s">
        <v>3331</v>
      </c>
      <c r="E412" s="388" t="s">
        <v>1377</v>
      </c>
      <c r="F412" s="388" t="s">
        <v>1378</v>
      </c>
      <c r="G412" s="388" t="s">
        <v>1379</v>
      </c>
      <c r="H412" s="388" t="s">
        <v>1380</v>
      </c>
      <c r="I412" s="388" t="s">
        <v>1393</v>
      </c>
      <c r="J412" s="388" t="s">
        <v>1382</v>
      </c>
      <c r="K412" s="388" t="s">
        <v>1383</v>
      </c>
      <c r="L412" s="389">
        <v>259</v>
      </c>
      <c r="M412" s="390" t="s">
        <v>3332</v>
      </c>
      <c r="N412" s="390" t="s">
        <v>3333</v>
      </c>
      <c r="O412" s="390" t="s">
        <v>1657</v>
      </c>
      <c r="P412" s="390" t="s">
        <v>1387</v>
      </c>
      <c r="Q412" s="388" t="s">
        <v>1383</v>
      </c>
      <c r="R412" s="390">
        <v>6</v>
      </c>
      <c r="S412" s="390" t="s">
        <v>1658</v>
      </c>
      <c r="T412" s="390">
        <v>62</v>
      </c>
      <c r="U412" s="390" t="s">
        <v>1658</v>
      </c>
      <c r="V412" s="390">
        <v>2508</v>
      </c>
      <c r="W412" s="390" t="s">
        <v>1658</v>
      </c>
      <c r="X412" s="390">
        <v>60031</v>
      </c>
      <c r="Y412" s="390" t="s">
        <v>1658</v>
      </c>
      <c r="Z412" s="391" t="s">
        <v>3334</v>
      </c>
    </row>
    <row r="413" spans="2:26" ht="15.75" customHeight="1" x14ac:dyDescent="0.3">
      <c r="B413" s="387" t="s">
        <v>1375</v>
      </c>
      <c r="C413" s="388">
        <v>122339</v>
      </c>
      <c r="D413" s="388" t="s">
        <v>3335</v>
      </c>
      <c r="E413" s="388" t="s">
        <v>1377</v>
      </c>
      <c r="F413" s="388" t="s">
        <v>1378</v>
      </c>
      <c r="G413" s="388" t="s">
        <v>1379</v>
      </c>
      <c r="H413" s="388" t="s">
        <v>1380</v>
      </c>
      <c r="I413" s="388" t="s">
        <v>1393</v>
      </c>
      <c r="J413" s="388" t="s">
        <v>1382</v>
      </c>
      <c r="K413" s="388" t="s">
        <v>1383</v>
      </c>
      <c r="L413" s="389">
        <v>310</v>
      </c>
      <c r="M413" s="390" t="s">
        <v>3336</v>
      </c>
      <c r="N413" s="390" t="s">
        <v>1819</v>
      </c>
      <c r="O413" s="390" t="s">
        <v>1465</v>
      </c>
      <c r="P413" s="390" t="s">
        <v>1387</v>
      </c>
      <c r="Q413" s="388" t="s">
        <v>1383</v>
      </c>
      <c r="R413" s="390">
        <v>5</v>
      </c>
      <c r="S413" s="390" t="s">
        <v>1466</v>
      </c>
      <c r="T413" s="390">
        <v>57</v>
      </c>
      <c r="U413" s="390" t="s">
        <v>1639</v>
      </c>
      <c r="V413" s="390">
        <v>2525</v>
      </c>
      <c r="W413" s="390" t="s">
        <v>1872</v>
      </c>
      <c r="X413" s="390">
        <v>50119</v>
      </c>
      <c r="Y413" s="390" t="s">
        <v>3337</v>
      </c>
      <c r="Z413" s="391" t="s">
        <v>3338</v>
      </c>
    </row>
    <row r="414" spans="2:26" ht="15.75" customHeight="1" x14ac:dyDescent="0.3">
      <c r="B414" s="387" t="s">
        <v>1375</v>
      </c>
      <c r="C414" s="388">
        <v>122340</v>
      </c>
      <c r="D414" s="388" t="s">
        <v>3339</v>
      </c>
      <c r="E414" s="388" t="s">
        <v>1377</v>
      </c>
      <c r="F414" s="388" t="s">
        <v>1378</v>
      </c>
      <c r="G414" s="388" t="s">
        <v>1379</v>
      </c>
      <c r="H414" s="388" t="s">
        <v>1380</v>
      </c>
      <c r="I414" s="388" t="s">
        <v>1393</v>
      </c>
      <c r="J414" s="388" t="s">
        <v>1382</v>
      </c>
      <c r="K414" s="388" t="s">
        <v>1383</v>
      </c>
      <c r="L414" s="389">
        <v>280</v>
      </c>
      <c r="M414" s="390" t="s">
        <v>3340</v>
      </c>
      <c r="N414" s="390" t="s">
        <v>3341</v>
      </c>
      <c r="O414" s="390" t="s">
        <v>1474</v>
      </c>
      <c r="P414" s="390" t="s">
        <v>1387</v>
      </c>
      <c r="Q414" s="388" t="s">
        <v>1383</v>
      </c>
      <c r="R414" s="390">
        <v>7</v>
      </c>
      <c r="S414" s="390" t="s">
        <v>1687</v>
      </c>
      <c r="T414" s="390">
        <v>87</v>
      </c>
      <c r="U414" s="390" t="s">
        <v>2025</v>
      </c>
      <c r="V414" s="390">
        <v>205319</v>
      </c>
      <c r="W414" s="390" t="s">
        <v>3342</v>
      </c>
      <c r="X414" s="390">
        <v>70273</v>
      </c>
      <c r="Y414" s="390" t="s">
        <v>3343</v>
      </c>
      <c r="Z414" s="391" t="s">
        <v>3344</v>
      </c>
    </row>
    <row r="415" spans="2:26" ht="15.75" customHeight="1" x14ac:dyDescent="0.3">
      <c r="B415" s="387" t="s">
        <v>1375</v>
      </c>
      <c r="C415" s="388">
        <v>122341</v>
      </c>
      <c r="D415" s="388" t="s">
        <v>3345</v>
      </c>
      <c r="E415" s="388" t="s">
        <v>1377</v>
      </c>
      <c r="F415" s="388" t="s">
        <v>1378</v>
      </c>
      <c r="G415" s="388" t="s">
        <v>1379</v>
      </c>
      <c r="H415" s="388" t="s">
        <v>1380</v>
      </c>
      <c r="I415" s="388" t="s">
        <v>1530</v>
      </c>
      <c r="J415" s="388" t="s">
        <v>1382</v>
      </c>
      <c r="K415" s="388" t="s">
        <v>1383</v>
      </c>
      <c r="L415" s="389">
        <v>225</v>
      </c>
      <c r="M415" s="390" t="s">
        <v>3346</v>
      </c>
      <c r="N415" s="390" t="s">
        <v>3347</v>
      </c>
      <c r="O415" s="390" t="s">
        <v>1465</v>
      </c>
      <c r="P415" s="390" t="s">
        <v>1387</v>
      </c>
      <c r="Q415" s="388" t="s">
        <v>1383</v>
      </c>
      <c r="R415" s="390">
        <v>11</v>
      </c>
      <c r="S415" s="390" t="s">
        <v>1608</v>
      </c>
      <c r="T415" s="390">
        <v>27</v>
      </c>
      <c r="U415" s="390" t="s">
        <v>1608</v>
      </c>
      <c r="V415" s="390">
        <v>9226</v>
      </c>
      <c r="W415" s="390" t="s">
        <v>2108</v>
      </c>
      <c r="X415" s="390">
        <v>110413</v>
      </c>
      <c r="Y415" s="390" t="s">
        <v>2170</v>
      </c>
      <c r="Z415" s="391" t="s">
        <v>2171</v>
      </c>
    </row>
    <row r="416" spans="2:26" ht="15.75" customHeight="1" x14ac:dyDescent="0.3">
      <c r="B416" s="387" t="s">
        <v>1375</v>
      </c>
      <c r="C416" s="388">
        <v>122342</v>
      </c>
      <c r="D416" s="388" t="s">
        <v>3348</v>
      </c>
      <c r="E416" s="388" t="s">
        <v>1377</v>
      </c>
      <c r="F416" s="388" t="s">
        <v>1378</v>
      </c>
      <c r="G416" s="388" t="s">
        <v>1379</v>
      </c>
      <c r="H416" s="388" t="s">
        <v>1380</v>
      </c>
      <c r="I416" s="388" t="s">
        <v>1530</v>
      </c>
      <c r="J416" s="388" t="s">
        <v>1382</v>
      </c>
      <c r="K416" s="388" t="s">
        <v>1383</v>
      </c>
      <c r="L416" s="389">
        <v>180</v>
      </c>
      <c r="M416" s="390" t="s">
        <v>3349</v>
      </c>
      <c r="N416" s="390" t="s">
        <v>2795</v>
      </c>
      <c r="O416" s="390" t="s">
        <v>1386</v>
      </c>
      <c r="P416" s="390" t="s">
        <v>1387</v>
      </c>
      <c r="Q416" s="388" t="s">
        <v>1383</v>
      </c>
      <c r="R416" s="390">
        <v>19</v>
      </c>
      <c r="S416" s="390" t="s">
        <v>1841</v>
      </c>
      <c r="T416" s="390">
        <v>67</v>
      </c>
      <c r="U416" s="390" t="s">
        <v>2049</v>
      </c>
      <c r="V416" s="390">
        <v>2546</v>
      </c>
      <c r="W416" s="390" t="s">
        <v>2305</v>
      </c>
      <c r="X416" s="390">
        <v>190278</v>
      </c>
      <c r="Y416" s="390" t="s">
        <v>2306</v>
      </c>
      <c r="Z416" s="391" t="s">
        <v>2307</v>
      </c>
    </row>
    <row r="417" spans="2:26" ht="15.75" customHeight="1" x14ac:dyDescent="0.3">
      <c r="B417" s="387" t="s">
        <v>1375</v>
      </c>
      <c r="C417" s="388">
        <v>122348</v>
      </c>
      <c r="D417" s="388" t="s">
        <v>3350</v>
      </c>
      <c r="E417" s="388" t="s">
        <v>1377</v>
      </c>
      <c r="F417" s="388" t="s">
        <v>1378</v>
      </c>
      <c r="G417" s="388" t="s">
        <v>1379</v>
      </c>
      <c r="H417" s="388" t="s">
        <v>1380</v>
      </c>
      <c r="I417" s="388" t="s">
        <v>1393</v>
      </c>
      <c r="J417" s="388" t="s">
        <v>1382</v>
      </c>
      <c r="K417" s="388" t="s">
        <v>1383</v>
      </c>
      <c r="L417" s="389">
        <v>328</v>
      </c>
      <c r="M417" s="390" t="s">
        <v>3351</v>
      </c>
      <c r="N417" s="390" t="s">
        <v>3352</v>
      </c>
      <c r="O417" s="390" t="s">
        <v>1474</v>
      </c>
      <c r="P417" s="390" t="s">
        <v>1387</v>
      </c>
      <c r="Q417" s="388" t="s">
        <v>1383</v>
      </c>
      <c r="R417" s="390">
        <v>7</v>
      </c>
      <c r="S417" s="390" t="s">
        <v>1687</v>
      </c>
      <c r="T417" s="390">
        <v>85</v>
      </c>
      <c r="U417" s="390" t="s">
        <v>1688</v>
      </c>
      <c r="V417" s="390">
        <v>4575</v>
      </c>
      <c r="W417" s="390" t="s">
        <v>3353</v>
      </c>
      <c r="X417" s="390">
        <v>70262</v>
      </c>
      <c r="Y417" s="390" t="s">
        <v>3354</v>
      </c>
      <c r="Z417" s="391" t="s">
        <v>3355</v>
      </c>
    </row>
    <row r="418" spans="2:26" ht="15.75" customHeight="1" x14ac:dyDescent="0.3">
      <c r="B418" s="387" t="s">
        <v>1375</v>
      </c>
      <c r="C418" s="388">
        <v>122355</v>
      </c>
      <c r="D418" s="388" t="s">
        <v>3356</v>
      </c>
      <c r="E418" s="388" t="s">
        <v>1377</v>
      </c>
      <c r="F418" s="388" t="s">
        <v>2726</v>
      </c>
      <c r="G418" s="388" t="s">
        <v>1845</v>
      </c>
      <c r="H418" s="388" t="s">
        <v>1380</v>
      </c>
      <c r="I418" s="388" t="s">
        <v>1381</v>
      </c>
      <c r="J418" s="388" t="s">
        <v>1382</v>
      </c>
      <c r="K418" s="388" t="s">
        <v>1383</v>
      </c>
      <c r="L418" s="389">
        <v>20</v>
      </c>
      <c r="M418" s="390" t="s">
        <v>3238</v>
      </c>
      <c r="N418" s="390" t="s">
        <v>3239</v>
      </c>
      <c r="O418" s="390" t="s">
        <v>2755</v>
      </c>
      <c r="P418" s="390" t="s">
        <v>1387</v>
      </c>
      <c r="Q418" s="388" t="s">
        <v>1383</v>
      </c>
      <c r="R418" s="390">
        <v>14</v>
      </c>
      <c r="S418" s="390" t="s">
        <v>1718</v>
      </c>
      <c r="T418" s="390">
        <v>102</v>
      </c>
      <c r="U418" s="390" t="s">
        <v>1719</v>
      </c>
      <c r="V418" s="390">
        <v>6103</v>
      </c>
      <c r="W418" s="390" t="s">
        <v>1430</v>
      </c>
      <c r="X418" s="390">
        <v>140018</v>
      </c>
      <c r="Y418" s="390" t="s">
        <v>1430</v>
      </c>
      <c r="Z418" s="391" t="s">
        <v>3240</v>
      </c>
    </row>
    <row r="419" spans="2:26" ht="15.75" customHeight="1" x14ac:dyDescent="0.3">
      <c r="B419" s="387" t="s">
        <v>1375</v>
      </c>
      <c r="C419" s="388">
        <v>122362</v>
      </c>
      <c r="D419" s="388" t="s">
        <v>3357</v>
      </c>
      <c r="E419" s="388" t="s">
        <v>1377</v>
      </c>
      <c r="F419" s="388" t="s">
        <v>1378</v>
      </c>
      <c r="G419" s="388" t="s">
        <v>1379</v>
      </c>
      <c r="H419" s="388" t="s">
        <v>1471</v>
      </c>
      <c r="I419" s="388" t="s">
        <v>1393</v>
      </c>
      <c r="J419" s="388" t="s">
        <v>1382</v>
      </c>
      <c r="K419" s="388" t="s">
        <v>1383</v>
      </c>
      <c r="L419" s="389">
        <v>300</v>
      </c>
      <c r="M419" s="390" t="s">
        <v>3358</v>
      </c>
      <c r="N419" s="390" t="s">
        <v>1773</v>
      </c>
      <c r="O419" s="390" t="s">
        <v>1474</v>
      </c>
      <c r="P419" s="390" t="s">
        <v>1387</v>
      </c>
      <c r="Q419" s="388" t="s">
        <v>1383</v>
      </c>
      <c r="R419" s="390">
        <v>7</v>
      </c>
      <c r="S419" s="390" t="s">
        <v>1687</v>
      </c>
      <c r="T419" s="390">
        <v>87</v>
      </c>
      <c r="U419" s="390" t="s">
        <v>2025</v>
      </c>
      <c r="V419" s="390">
        <v>205322</v>
      </c>
      <c r="W419" s="390" t="s">
        <v>3359</v>
      </c>
      <c r="X419" s="390">
        <v>70277</v>
      </c>
      <c r="Y419" s="390" t="s">
        <v>3360</v>
      </c>
      <c r="Z419" s="391" t="s">
        <v>3361</v>
      </c>
    </row>
    <row r="420" spans="2:26" ht="15.75" customHeight="1" x14ac:dyDescent="0.3">
      <c r="B420" s="387" t="s">
        <v>1375</v>
      </c>
      <c r="C420" s="388">
        <v>122367</v>
      </c>
      <c r="D420" s="388" t="s">
        <v>3362</v>
      </c>
      <c r="E420" s="388" t="s">
        <v>1377</v>
      </c>
      <c r="F420" s="388" t="s">
        <v>1378</v>
      </c>
      <c r="G420" s="388" t="s">
        <v>1379</v>
      </c>
      <c r="H420" s="388" t="s">
        <v>1380</v>
      </c>
      <c r="I420" s="388" t="s">
        <v>1393</v>
      </c>
      <c r="J420" s="388" t="s">
        <v>1382</v>
      </c>
      <c r="K420" s="388" t="s">
        <v>1383</v>
      </c>
      <c r="L420" s="389">
        <v>420</v>
      </c>
      <c r="M420" s="390" t="s">
        <v>3363</v>
      </c>
      <c r="N420" s="390" t="s">
        <v>3196</v>
      </c>
      <c r="O420" s="390" t="s">
        <v>1465</v>
      </c>
      <c r="P420" s="390" t="s">
        <v>1387</v>
      </c>
      <c r="Q420" s="388" t="s">
        <v>1383</v>
      </c>
      <c r="R420" s="390">
        <v>18</v>
      </c>
      <c r="S420" s="390" t="s">
        <v>1790</v>
      </c>
      <c r="T420" s="390">
        <v>53</v>
      </c>
      <c r="U420" s="390" t="s">
        <v>1823</v>
      </c>
      <c r="V420" s="390">
        <v>1412</v>
      </c>
      <c r="W420" s="390" t="s">
        <v>1835</v>
      </c>
      <c r="X420" s="390">
        <v>180116</v>
      </c>
      <c r="Y420" s="390" t="s">
        <v>3364</v>
      </c>
      <c r="Z420" s="391" t="s">
        <v>3365</v>
      </c>
    </row>
    <row r="421" spans="2:26" ht="15.75" customHeight="1" x14ac:dyDescent="0.3">
      <c r="B421" s="387" t="s">
        <v>1375</v>
      </c>
      <c r="C421" s="388">
        <v>122368</v>
      </c>
      <c r="D421" s="388" t="s">
        <v>3366</v>
      </c>
      <c r="E421" s="388" t="s">
        <v>1377</v>
      </c>
      <c r="F421" s="388" t="s">
        <v>1378</v>
      </c>
      <c r="G421" s="388" t="s">
        <v>1379</v>
      </c>
      <c r="H421" s="388" t="s">
        <v>1380</v>
      </c>
      <c r="I421" s="388" t="s">
        <v>1440</v>
      </c>
      <c r="J421" s="388" t="s">
        <v>1382</v>
      </c>
      <c r="K421" s="388" t="s">
        <v>1383</v>
      </c>
      <c r="L421" s="389">
        <v>71</v>
      </c>
      <c r="M421" s="390" t="s">
        <v>2022</v>
      </c>
      <c r="N421" s="390" t="s">
        <v>3352</v>
      </c>
      <c r="O421" s="390" t="s">
        <v>1474</v>
      </c>
      <c r="P421" s="390" t="s">
        <v>1387</v>
      </c>
      <c r="Q421" s="388" t="s">
        <v>1383</v>
      </c>
      <c r="R421" s="390">
        <v>7</v>
      </c>
      <c r="S421" s="390" t="s">
        <v>1687</v>
      </c>
      <c r="T421" s="390">
        <v>87</v>
      </c>
      <c r="U421" s="390" t="s">
        <v>2025</v>
      </c>
      <c r="V421" s="390">
        <v>4602</v>
      </c>
      <c r="W421" s="390" t="s">
        <v>2026</v>
      </c>
      <c r="X421" s="390">
        <v>70071</v>
      </c>
      <c r="Y421" s="390" t="s">
        <v>2027</v>
      </c>
      <c r="Z421" s="391" t="s">
        <v>2028</v>
      </c>
    </row>
    <row r="422" spans="2:26" ht="15.75" customHeight="1" x14ac:dyDescent="0.3">
      <c r="B422" s="387" t="s">
        <v>1375</v>
      </c>
      <c r="C422" s="388">
        <v>122369</v>
      </c>
      <c r="D422" s="388" t="s">
        <v>3367</v>
      </c>
      <c r="E422" s="388" t="s">
        <v>1377</v>
      </c>
      <c r="F422" s="388" t="s">
        <v>3368</v>
      </c>
      <c r="G422" s="388" t="s">
        <v>1379</v>
      </c>
      <c r="H422" s="388" t="s">
        <v>1380</v>
      </c>
      <c r="I422" s="388" t="s">
        <v>1530</v>
      </c>
      <c r="J422" s="388" t="s">
        <v>3369</v>
      </c>
      <c r="K422" s="388" t="s">
        <v>1383</v>
      </c>
      <c r="L422" s="389">
        <v>30</v>
      </c>
      <c r="M422" s="390" t="s">
        <v>3370</v>
      </c>
      <c r="N422" s="390" t="s">
        <v>3371</v>
      </c>
      <c r="O422" s="390" t="s">
        <v>3372</v>
      </c>
      <c r="P422" s="390" t="s">
        <v>1387</v>
      </c>
      <c r="Q422" s="388" t="s">
        <v>1383</v>
      </c>
      <c r="R422" s="390">
        <v>19</v>
      </c>
      <c r="S422" s="390" t="s">
        <v>1841</v>
      </c>
      <c r="T422" s="390">
        <v>1003</v>
      </c>
      <c r="U422" s="390" t="s">
        <v>2236</v>
      </c>
      <c r="V422" s="390">
        <v>204104</v>
      </c>
      <c r="W422" s="390" t="s">
        <v>3373</v>
      </c>
      <c r="X422" s="390">
        <v>190189</v>
      </c>
      <c r="Y422" s="390" t="s">
        <v>3374</v>
      </c>
      <c r="Z422" s="391" t="s">
        <v>3375</v>
      </c>
    </row>
    <row r="423" spans="2:26" ht="15.75" customHeight="1" x14ac:dyDescent="0.3">
      <c r="B423" s="387" t="s">
        <v>1375</v>
      </c>
      <c r="C423" s="388">
        <v>122379</v>
      </c>
      <c r="D423" s="388" t="s">
        <v>3376</v>
      </c>
      <c r="E423" s="388" t="s">
        <v>1377</v>
      </c>
      <c r="F423" s="388" t="s">
        <v>3368</v>
      </c>
      <c r="G423" s="388" t="s">
        <v>1379</v>
      </c>
      <c r="H423" s="388" t="s">
        <v>1380</v>
      </c>
      <c r="I423" s="388" t="s">
        <v>1440</v>
      </c>
      <c r="J423" s="388" t="s">
        <v>3369</v>
      </c>
      <c r="K423" s="388" t="s">
        <v>1383</v>
      </c>
      <c r="L423" s="389">
        <v>15</v>
      </c>
      <c r="M423" s="390" t="s">
        <v>3377</v>
      </c>
      <c r="N423" s="390" t="s">
        <v>1803</v>
      </c>
      <c r="O423" s="390" t="s">
        <v>3378</v>
      </c>
      <c r="P423" s="390" t="s">
        <v>1387</v>
      </c>
      <c r="Q423" s="388" t="s">
        <v>1383</v>
      </c>
      <c r="R423" s="390">
        <v>20</v>
      </c>
      <c r="S423" s="390" t="s">
        <v>3379</v>
      </c>
      <c r="T423" s="390">
        <v>1005</v>
      </c>
      <c r="U423" s="390" t="s">
        <v>3380</v>
      </c>
      <c r="V423" s="390">
        <v>209106</v>
      </c>
      <c r="W423" s="390" t="s">
        <v>3381</v>
      </c>
      <c r="X423" s="390">
        <v>0</v>
      </c>
      <c r="Y423" s="390" t="s">
        <v>1699</v>
      </c>
      <c r="Z423" s="391" t="s">
        <v>2660</v>
      </c>
    </row>
    <row r="424" spans="2:26" ht="15.75" customHeight="1" x14ac:dyDescent="0.3">
      <c r="B424" s="387" t="s">
        <v>1375</v>
      </c>
      <c r="C424" s="388">
        <v>122380</v>
      </c>
      <c r="D424" s="388" t="s">
        <v>3382</v>
      </c>
      <c r="E424" s="388" t="s">
        <v>1377</v>
      </c>
      <c r="F424" s="388" t="s">
        <v>3368</v>
      </c>
      <c r="G424" s="388" t="s">
        <v>1379</v>
      </c>
      <c r="H424" s="388" t="s">
        <v>1380</v>
      </c>
      <c r="I424" s="388" t="s">
        <v>1440</v>
      </c>
      <c r="J424" s="388" t="s">
        <v>3369</v>
      </c>
      <c r="K424" s="388" t="s">
        <v>1383</v>
      </c>
      <c r="L424" s="389">
        <v>15</v>
      </c>
      <c r="M424" s="390" t="s">
        <v>3383</v>
      </c>
      <c r="N424" s="390" t="s">
        <v>1803</v>
      </c>
      <c r="O424" s="390" t="s">
        <v>3378</v>
      </c>
      <c r="P424" s="390" t="s">
        <v>1387</v>
      </c>
      <c r="Q424" s="388" t="s">
        <v>1383</v>
      </c>
      <c r="R424" s="390">
        <v>20</v>
      </c>
      <c r="S424" s="390" t="s">
        <v>3379</v>
      </c>
      <c r="T424" s="390">
        <v>1005</v>
      </c>
      <c r="U424" s="390" t="s">
        <v>3380</v>
      </c>
      <c r="V424" s="390">
        <v>209106</v>
      </c>
      <c r="W424" s="390" t="s">
        <v>3381</v>
      </c>
      <c r="X424" s="390">
        <v>0</v>
      </c>
      <c r="Y424" s="390" t="s">
        <v>1699</v>
      </c>
      <c r="Z424" s="391" t="s">
        <v>2660</v>
      </c>
    </row>
    <row r="425" spans="2:26" ht="15.75" customHeight="1" x14ac:dyDescent="0.3">
      <c r="B425" s="387" t="s">
        <v>1375</v>
      </c>
      <c r="C425" s="388">
        <v>122381</v>
      </c>
      <c r="D425" s="388" t="s">
        <v>3384</v>
      </c>
      <c r="E425" s="388" t="s">
        <v>1377</v>
      </c>
      <c r="F425" s="388" t="s">
        <v>3368</v>
      </c>
      <c r="G425" s="388" t="s">
        <v>1379</v>
      </c>
      <c r="H425" s="388" t="s">
        <v>1380</v>
      </c>
      <c r="I425" s="388" t="s">
        <v>1440</v>
      </c>
      <c r="J425" s="388" t="s">
        <v>3369</v>
      </c>
      <c r="K425" s="388" t="s">
        <v>1383</v>
      </c>
      <c r="L425" s="389">
        <v>20</v>
      </c>
      <c r="M425" s="390" t="s">
        <v>3385</v>
      </c>
      <c r="N425" s="390" t="s">
        <v>1803</v>
      </c>
      <c r="O425" s="390" t="s">
        <v>3378</v>
      </c>
      <c r="P425" s="390" t="s">
        <v>1387</v>
      </c>
      <c r="Q425" s="388" t="s">
        <v>1383</v>
      </c>
      <c r="R425" s="390">
        <v>20</v>
      </c>
      <c r="S425" s="390" t="s">
        <v>3379</v>
      </c>
      <c r="T425" s="390">
        <v>1005</v>
      </c>
      <c r="U425" s="390" t="s">
        <v>3380</v>
      </c>
      <c r="V425" s="390">
        <v>209106</v>
      </c>
      <c r="W425" s="390" t="s">
        <v>3381</v>
      </c>
      <c r="X425" s="390">
        <v>0</v>
      </c>
      <c r="Y425" s="390" t="s">
        <v>1699</v>
      </c>
      <c r="Z425" s="391" t="s">
        <v>2660</v>
      </c>
    </row>
    <row r="426" spans="2:26" ht="15.75" customHeight="1" x14ac:dyDescent="0.3">
      <c r="B426" s="387" t="s">
        <v>1375</v>
      </c>
      <c r="C426" s="388">
        <v>122385</v>
      </c>
      <c r="D426" s="388" t="s">
        <v>3386</v>
      </c>
      <c r="E426" s="388" t="s">
        <v>1377</v>
      </c>
      <c r="F426" s="388" t="s">
        <v>3387</v>
      </c>
      <c r="G426" s="388" t="s">
        <v>1439</v>
      </c>
      <c r="H426" s="388" t="s">
        <v>1471</v>
      </c>
      <c r="I426" s="388" t="s">
        <v>1393</v>
      </c>
      <c r="J426" s="388" t="s">
        <v>1382</v>
      </c>
      <c r="K426" s="388" t="s">
        <v>1383</v>
      </c>
      <c r="L426" s="389">
        <v>0</v>
      </c>
      <c r="M426" s="390" t="s">
        <v>3388</v>
      </c>
      <c r="N426" s="390" t="s">
        <v>3067</v>
      </c>
      <c r="O426" s="390" t="s">
        <v>3389</v>
      </c>
      <c r="P426" s="390" t="s">
        <v>1383</v>
      </c>
      <c r="Q426" s="388" t="s">
        <v>1383</v>
      </c>
      <c r="R426" s="390">
        <v>3</v>
      </c>
      <c r="S426" s="390" t="s">
        <v>1430</v>
      </c>
      <c r="T426" s="390">
        <v>95</v>
      </c>
      <c r="U426" s="390" t="s">
        <v>2354</v>
      </c>
      <c r="V426" s="390">
        <v>3202</v>
      </c>
      <c r="W426" s="390" t="s">
        <v>2354</v>
      </c>
      <c r="X426" s="390">
        <v>30026</v>
      </c>
      <c r="Y426" s="390" t="s">
        <v>2354</v>
      </c>
      <c r="Z426" s="391" t="s">
        <v>3390</v>
      </c>
    </row>
    <row r="427" spans="2:26" ht="15.75" customHeight="1" x14ac:dyDescent="0.3">
      <c r="B427" s="387" t="s">
        <v>1375</v>
      </c>
      <c r="C427" s="388">
        <v>122386</v>
      </c>
      <c r="D427" s="388" t="s">
        <v>3391</v>
      </c>
      <c r="E427" s="388" t="s">
        <v>1377</v>
      </c>
      <c r="F427" s="388" t="s">
        <v>3387</v>
      </c>
      <c r="G427" s="388" t="s">
        <v>1439</v>
      </c>
      <c r="H427" s="388" t="s">
        <v>1471</v>
      </c>
      <c r="I427" s="388" t="s">
        <v>1393</v>
      </c>
      <c r="J427" s="388" t="s">
        <v>1382</v>
      </c>
      <c r="K427" s="388" t="s">
        <v>1383</v>
      </c>
      <c r="L427" s="389">
        <v>0</v>
      </c>
      <c r="M427" s="390" t="s">
        <v>3392</v>
      </c>
      <c r="N427" s="390" t="s">
        <v>3393</v>
      </c>
      <c r="O427" s="390" t="s">
        <v>3389</v>
      </c>
      <c r="P427" s="390" t="s">
        <v>1383</v>
      </c>
      <c r="Q427" s="388" t="s">
        <v>1383</v>
      </c>
      <c r="R427" s="390">
        <v>5</v>
      </c>
      <c r="S427" s="390" t="s">
        <v>1466</v>
      </c>
      <c r="T427" s="390">
        <v>57</v>
      </c>
      <c r="U427" s="390" t="s">
        <v>1639</v>
      </c>
      <c r="V427" s="390">
        <v>2626</v>
      </c>
      <c r="W427" s="390" t="s">
        <v>3394</v>
      </c>
      <c r="X427" s="390">
        <v>50178</v>
      </c>
      <c r="Y427" s="390" t="s">
        <v>3395</v>
      </c>
      <c r="Z427" s="391" t="s">
        <v>3396</v>
      </c>
    </row>
    <row r="428" spans="2:26" ht="15.75" customHeight="1" x14ac:dyDescent="0.3">
      <c r="B428" s="387" t="s">
        <v>1375</v>
      </c>
      <c r="C428" s="388">
        <v>122387</v>
      </c>
      <c r="D428" s="388" t="s">
        <v>3397</v>
      </c>
      <c r="E428" s="388" t="s">
        <v>1377</v>
      </c>
      <c r="F428" s="388" t="s">
        <v>3398</v>
      </c>
      <c r="G428" s="388" t="s">
        <v>1439</v>
      </c>
      <c r="H428" s="388" t="s">
        <v>1471</v>
      </c>
      <c r="I428" s="388" t="s">
        <v>1383</v>
      </c>
      <c r="J428" s="388" t="s">
        <v>1382</v>
      </c>
      <c r="K428" s="388" t="s">
        <v>1383</v>
      </c>
      <c r="L428" s="389">
        <v>0</v>
      </c>
      <c r="M428" s="390" t="s">
        <v>3399</v>
      </c>
      <c r="N428" s="390" t="s">
        <v>3400</v>
      </c>
      <c r="O428" s="390" t="s">
        <v>3401</v>
      </c>
      <c r="P428" s="390" t="s">
        <v>1383</v>
      </c>
      <c r="Q428" s="388" t="s">
        <v>1383</v>
      </c>
      <c r="R428" s="390">
        <v>4</v>
      </c>
      <c r="S428" s="390" t="s">
        <v>1451</v>
      </c>
      <c r="T428" s="390">
        <v>50</v>
      </c>
      <c r="U428" s="390" t="s">
        <v>1458</v>
      </c>
      <c r="V428" s="390">
        <v>1331</v>
      </c>
      <c r="W428" s="390" t="s">
        <v>3402</v>
      </c>
      <c r="X428" s="390">
        <v>40095</v>
      </c>
      <c r="Y428" s="390" t="s">
        <v>3403</v>
      </c>
      <c r="Z428" s="391" t="s">
        <v>3404</v>
      </c>
    </row>
    <row r="429" spans="2:26" ht="15.75" customHeight="1" x14ac:dyDescent="0.3">
      <c r="B429" s="387" t="s">
        <v>1375</v>
      </c>
      <c r="C429" s="388">
        <v>122388</v>
      </c>
      <c r="D429" s="388" t="s">
        <v>3405</v>
      </c>
      <c r="E429" s="388" t="s">
        <v>1377</v>
      </c>
      <c r="F429" s="388" t="s">
        <v>3398</v>
      </c>
      <c r="G429" s="388" t="s">
        <v>1439</v>
      </c>
      <c r="H429" s="388" t="s">
        <v>1471</v>
      </c>
      <c r="I429" s="388" t="s">
        <v>1393</v>
      </c>
      <c r="J429" s="388" t="s">
        <v>1382</v>
      </c>
      <c r="K429" s="388" t="s">
        <v>1383</v>
      </c>
      <c r="L429" s="389">
        <v>0</v>
      </c>
      <c r="M429" s="390" t="s">
        <v>1931</v>
      </c>
      <c r="N429" s="390" t="s">
        <v>1963</v>
      </c>
      <c r="O429" s="390" t="s">
        <v>3406</v>
      </c>
      <c r="P429" s="390" t="s">
        <v>1383</v>
      </c>
      <c r="Q429" s="388" t="s">
        <v>1383</v>
      </c>
      <c r="R429" s="390">
        <v>19</v>
      </c>
      <c r="S429" s="390" t="s">
        <v>1841</v>
      </c>
      <c r="T429" s="390">
        <v>67</v>
      </c>
      <c r="U429" s="390" t="s">
        <v>2049</v>
      </c>
      <c r="V429" s="390">
        <v>2565</v>
      </c>
      <c r="W429" s="390" t="s">
        <v>1933</v>
      </c>
      <c r="X429" s="390">
        <v>190055</v>
      </c>
      <c r="Y429" s="390" t="s">
        <v>2836</v>
      </c>
      <c r="Z429" s="391" t="s">
        <v>3407</v>
      </c>
    </row>
    <row r="430" spans="2:26" ht="15.75" customHeight="1" x14ac:dyDescent="0.3">
      <c r="B430" s="387" t="s">
        <v>1375</v>
      </c>
      <c r="C430" s="388">
        <v>122389</v>
      </c>
      <c r="D430" s="388" t="s">
        <v>3408</v>
      </c>
      <c r="E430" s="388" t="s">
        <v>1377</v>
      </c>
      <c r="F430" s="388" t="s">
        <v>3387</v>
      </c>
      <c r="G430" s="388" t="s">
        <v>1439</v>
      </c>
      <c r="H430" s="388" t="s">
        <v>1471</v>
      </c>
      <c r="I430" s="388" t="s">
        <v>1393</v>
      </c>
      <c r="J430" s="388" t="s">
        <v>1382</v>
      </c>
      <c r="K430" s="388" t="s">
        <v>1383</v>
      </c>
      <c r="L430" s="389">
        <v>0</v>
      </c>
      <c r="M430" s="390" t="s">
        <v>3409</v>
      </c>
      <c r="N430" s="390" t="s">
        <v>3410</v>
      </c>
      <c r="O430" s="390" t="s">
        <v>3411</v>
      </c>
      <c r="P430" s="390" t="s">
        <v>1383</v>
      </c>
      <c r="Q430" s="388" t="s">
        <v>1383</v>
      </c>
      <c r="R430" s="390">
        <v>5</v>
      </c>
      <c r="S430" s="390" t="s">
        <v>1466</v>
      </c>
      <c r="T430" s="390">
        <v>0</v>
      </c>
      <c r="U430" s="390" t="s">
        <v>3412</v>
      </c>
      <c r="V430" s="390">
        <v>101308</v>
      </c>
      <c r="W430" s="390" t="s">
        <v>3413</v>
      </c>
      <c r="X430" s="390">
        <v>50102</v>
      </c>
      <c r="Y430" s="390" t="s">
        <v>3414</v>
      </c>
      <c r="Z430" s="391" t="s">
        <v>3415</v>
      </c>
    </row>
    <row r="431" spans="2:26" ht="15.75" customHeight="1" x14ac:dyDescent="0.3">
      <c r="B431" s="387" t="s">
        <v>1375</v>
      </c>
      <c r="C431" s="388">
        <v>122404</v>
      </c>
      <c r="D431" s="388" t="s">
        <v>3416</v>
      </c>
      <c r="E431" s="388" t="s">
        <v>1377</v>
      </c>
      <c r="F431" s="388" t="s">
        <v>3417</v>
      </c>
      <c r="G431" s="388" t="s">
        <v>1439</v>
      </c>
      <c r="H431" s="388" t="s">
        <v>1380</v>
      </c>
      <c r="I431" s="388" t="s">
        <v>1393</v>
      </c>
      <c r="J431" s="388" t="s">
        <v>3369</v>
      </c>
      <c r="K431" s="388" t="s">
        <v>1383</v>
      </c>
      <c r="L431" s="389">
        <v>0</v>
      </c>
      <c r="M431" s="390" t="s">
        <v>2561</v>
      </c>
      <c r="N431" s="390">
        <v>2326304</v>
      </c>
      <c r="O431" s="390" t="s">
        <v>3418</v>
      </c>
      <c r="P431" s="390" t="s">
        <v>1383</v>
      </c>
      <c r="Q431" s="388" t="s">
        <v>1383</v>
      </c>
      <c r="R431" s="390">
        <v>13</v>
      </c>
      <c r="S431" s="390" t="s">
        <v>2562</v>
      </c>
      <c r="T431" s="390" t="s">
        <v>1383</v>
      </c>
      <c r="U431" s="390" t="s">
        <v>3419</v>
      </c>
      <c r="V431" s="390" t="s">
        <v>1383</v>
      </c>
      <c r="W431" s="390" t="s">
        <v>1383</v>
      </c>
      <c r="X431" s="390" t="s">
        <v>1383</v>
      </c>
      <c r="Y431" s="390" t="s">
        <v>2564</v>
      </c>
      <c r="Z431" s="391" t="s">
        <v>2565</v>
      </c>
    </row>
    <row r="432" spans="2:26" ht="15.75" customHeight="1" x14ac:dyDescent="0.3">
      <c r="B432" s="387" t="s">
        <v>1375</v>
      </c>
      <c r="C432" s="388">
        <v>122405</v>
      </c>
      <c r="D432" s="388" t="s">
        <v>3420</v>
      </c>
      <c r="E432" s="388" t="s">
        <v>1377</v>
      </c>
      <c r="F432" s="388" t="s">
        <v>3417</v>
      </c>
      <c r="G432" s="388" t="s">
        <v>1439</v>
      </c>
      <c r="H432" s="388" t="s">
        <v>1380</v>
      </c>
      <c r="I432" s="388" t="s">
        <v>1381</v>
      </c>
      <c r="J432" s="388" t="s">
        <v>3369</v>
      </c>
      <c r="K432" s="388" t="s">
        <v>1383</v>
      </c>
      <c r="L432" s="389">
        <v>0</v>
      </c>
      <c r="M432" s="390" t="s">
        <v>1693</v>
      </c>
      <c r="N432" s="390">
        <v>3150258</v>
      </c>
      <c r="O432" s="390" t="s">
        <v>3418</v>
      </c>
      <c r="P432" s="390" t="s">
        <v>1383</v>
      </c>
      <c r="Q432" s="388" t="s">
        <v>1383</v>
      </c>
      <c r="R432" s="390">
        <v>12</v>
      </c>
      <c r="S432" s="390" t="s">
        <v>1695</v>
      </c>
      <c r="T432" s="390">
        <v>103</v>
      </c>
      <c r="U432" s="390" t="s">
        <v>3421</v>
      </c>
      <c r="V432" s="390" t="s">
        <v>1383</v>
      </c>
      <c r="W432" s="390" t="s">
        <v>1383</v>
      </c>
      <c r="X432" s="390" t="s">
        <v>1383</v>
      </c>
      <c r="Y432" s="390" t="s">
        <v>1692</v>
      </c>
      <c r="Z432" s="391" t="s">
        <v>1697</v>
      </c>
    </row>
    <row r="433" spans="2:26" ht="15.75" customHeight="1" x14ac:dyDescent="0.3">
      <c r="B433" s="387" t="s">
        <v>1375</v>
      </c>
      <c r="C433" s="388">
        <v>122407</v>
      </c>
      <c r="D433" s="388" t="s">
        <v>3422</v>
      </c>
      <c r="E433" s="388" t="s">
        <v>1377</v>
      </c>
      <c r="F433" s="388" t="s">
        <v>3417</v>
      </c>
      <c r="G433" s="388" t="s">
        <v>1439</v>
      </c>
      <c r="H433" s="388" t="s">
        <v>1380</v>
      </c>
      <c r="I433" s="388" t="s">
        <v>1393</v>
      </c>
      <c r="J433" s="388" t="s">
        <v>1382</v>
      </c>
      <c r="K433" s="388" t="s">
        <v>1383</v>
      </c>
      <c r="L433" s="389">
        <v>0</v>
      </c>
      <c r="M433" s="390" t="s">
        <v>2979</v>
      </c>
      <c r="N433" s="390" t="s">
        <v>2980</v>
      </c>
      <c r="O433" s="390" t="s">
        <v>3423</v>
      </c>
      <c r="P433" s="390" t="s">
        <v>1383</v>
      </c>
      <c r="Q433" s="388" t="s">
        <v>1383</v>
      </c>
      <c r="R433" s="390">
        <v>7</v>
      </c>
      <c r="S433" s="390" t="s">
        <v>1687</v>
      </c>
      <c r="T433" s="390">
        <v>49</v>
      </c>
      <c r="U433" s="390" t="s">
        <v>2981</v>
      </c>
      <c r="V433" s="390">
        <v>4529</v>
      </c>
      <c r="W433" s="390" t="s">
        <v>2982</v>
      </c>
      <c r="X433" s="390">
        <v>70072</v>
      </c>
      <c r="Y433" s="390" t="s">
        <v>2983</v>
      </c>
      <c r="Z433" s="391" t="s">
        <v>2984</v>
      </c>
    </row>
    <row r="434" spans="2:26" ht="15.75" customHeight="1" x14ac:dyDescent="0.3">
      <c r="B434" s="387" t="s">
        <v>1375</v>
      </c>
      <c r="C434" s="388">
        <v>122410</v>
      </c>
      <c r="D434" s="388" t="s">
        <v>3424</v>
      </c>
      <c r="E434" s="388" t="s">
        <v>1377</v>
      </c>
      <c r="F434" s="388" t="s">
        <v>3417</v>
      </c>
      <c r="G434" s="388" t="s">
        <v>1439</v>
      </c>
      <c r="H434" s="388" t="s">
        <v>1380</v>
      </c>
      <c r="I434" s="388" t="s">
        <v>1530</v>
      </c>
      <c r="J434" s="388" t="s">
        <v>3369</v>
      </c>
      <c r="K434" s="388" t="s">
        <v>1383</v>
      </c>
      <c r="L434" s="389">
        <v>0</v>
      </c>
      <c r="M434" s="390" t="s">
        <v>3425</v>
      </c>
      <c r="N434" s="390">
        <v>7761925</v>
      </c>
      <c r="O434" s="390" t="s">
        <v>3426</v>
      </c>
      <c r="P434" s="390" t="s">
        <v>1383</v>
      </c>
      <c r="Q434" s="388" t="s">
        <v>1383</v>
      </c>
      <c r="R434" s="390">
        <v>7</v>
      </c>
      <c r="S434" s="390" t="s">
        <v>1687</v>
      </c>
      <c r="T434" s="390">
        <v>84</v>
      </c>
      <c r="U434" s="390" t="s">
        <v>3427</v>
      </c>
      <c r="V434" s="390" t="s">
        <v>1383</v>
      </c>
      <c r="W434" s="390" t="s">
        <v>1383</v>
      </c>
      <c r="X434" s="390" t="s">
        <v>1383</v>
      </c>
      <c r="Y434" s="390" t="s">
        <v>1684</v>
      </c>
      <c r="Z434" s="391" t="s">
        <v>3428</v>
      </c>
    </row>
    <row r="435" spans="2:26" ht="15.75" customHeight="1" x14ac:dyDescent="0.3">
      <c r="B435" s="387" t="s">
        <v>1375</v>
      </c>
      <c r="C435" s="388">
        <v>122411</v>
      </c>
      <c r="D435" s="388" t="s">
        <v>3429</v>
      </c>
      <c r="E435" s="388" t="s">
        <v>1377</v>
      </c>
      <c r="F435" s="388" t="s">
        <v>3417</v>
      </c>
      <c r="G435" s="388" t="s">
        <v>1439</v>
      </c>
      <c r="H435" s="388" t="s">
        <v>1380</v>
      </c>
      <c r="I435" s="388" t="s">
        <v>1530</v>
      </c>
      <c r="J435" s="388" t="s">
        <v>1382</v>
      </c>
      <c r="K435" s="388" t="s">
        <v>1383</v>
      </c>
      <c r="L435" s="389">
        <v>0</v>
      </c>
      <c r="M435" s="390" t="s">
        <v>3430</v>
      </c>
      <c r="N435" s="390" t="s">
        <v>3250</v>
      </c>
      <c r="O435" s="390" t="s">
        <v>3423</v>
      </c>
      <c r="P435" s="390" t="s">
        <v>1383</v>
      </c>
      <c r="Q435" s="388" t="s">
        <v>1383</v>
      </c>
      <c r="R435" s="390">
        <v>7</v>
      </c>
      <c r="S435" s="390" t="s">
        <v>1687</v>
      </c>
      <c r="T435" s="390">
        <v>84</v>
      </c>
      <c r="U435" s="390" t="s">
        <v>1920</v>
      </c>
      <c r="V435" s="390">
        <v>4526</v>
      </c>
      <c r="W435" s="390" t="s">
        <v>2987</v>
      </c>
      <c r="X435" s="390">
        <v>70019</v>
      </c>
      <c r="Y435" s="390" t="s">
        <v>2988</v>
      </c>
      <c r="Z435" s="391" t="s">
        <v>3251</v>
      </c>
    </row>
    <row r="436" spans="2:26" ht="15.75" customHeight="1" x14ac:dyDescent="0.3">
      <c r="B436" s="387" t="s">
        <v>1375</v>
      </c>
      <c r="C436" s="388">
        <v>122412</v>
      </c>
      <c r="D436" s="388" t="s">
        <v>3431</v>
      </c>
      <c r="E436" s="388" t="s">
        <v>1377</v>
      </c>
      <c r="F436" s="388" t="s">
        <v>3417</v>
      </c>
      <c r="G436" s="388" t="s">
        <v>1439</v>
      </c>
      <c r="H436" s="388" t="s">
        <v>1380</v>
      </c>
      <c r="I436" s="388" t="s">
        <v>1530</v>
      </c>
      <c r="J436" s="388" t="s">
        <v>1382</v>
      </c>
      <c r="K436" s="388" t="s">
        <v>1383</v>
      </c>
      <c r="L436" s="389">
        <v>0</v>
      </c>
      <c r="M436" s="390" t="s">
        <v>3010</v>
      </c>
      <c r="N436" s="390" t="s">
        <v>3011</v>
      </c>
      <c r="O436" s="390" t="s">
        <v>3423</v>
      </c>
      <c r="P436" s="390" t="s">
        <v>1383</v>
      </c>
      <c r="Q436" s="388" t="s">
        <v>1383</v>
      </c>
      <c r="R436" s="390">
        <v>7</v>
      </c>
      <c r="S436" s="390" t="s">
        <v>1687</v>
      </c>
      <c r="T436" s="390">
        <v>84</v>
      </c>
      <c r="U436" s="390" t="s">
        <v>1920</v>
      </c>
      <c r="V436" s="390">
        <v>4519</v>
      </c>
      <c r="W436" s="390" t="s">
        <v>2486</v>
      </c>
      <c r="X436" s="390">
        <v>70075</v>
      </c>
      <c r="Y436" s="390" t="s">
        <v>1934</v>
      </c>
      <c r="Z436" s="391" t="s">
        <v>3012</v>
      </c>
    </row>
    <row r="437" spans="2:26" ht="15.75" customHeight="1" x14ac:dyDescent="0.3">
      <c r="B437" s="387" t="s">
        <v>1375</v>
      </c>
      <c r="C437" s="388">
        <v>122415</v>
      </c>
      <c r="D437" s="388" t="s">
        <v>3432</v>
      </c>
      <c r="E437" s="388" t="s">
        <v>1377</v>
      </c>
      <c r="F437" s="388" t="s">
        <v>3417</v>
      </c>
      <c r="G437" s="388" t="s">
        <v>1439</v>
      </c>
      <c r="H437" s="388" t="s">
        <v>1380</v>
      </c>
      <c r="I437" s="388" t="s">
        <v>1393</v>
      </c>
      <c r="J437" s="388" t="s">
        <v>3369</v>
      </c>
      <c r="K437" s="388" t="s">
        <v>1383</v>
      </c>
      <c r="L437" s="389">
        <v>0</v>
      </c>
      <c r="M437" s="390" t="s">
        <v>1957</v>
      </c>
      <c r="N437" s="390">
        <v>7927275</v>
      </c>
      <c r="O437" s="390" t="s">
        <v>3433</v>
      </c>
      <c r="P437" s="390" t="s">
        <v>1383</v>
      </c>
      <c r="Q437" s="388" t="s">
        <v>1383</v>
      </c>
      <c r="R437" s="390">
        <v>19</v>
      </c>
      <c r="S437" s="390" t="s">
        <v>1841</v>
      </c>
      <c r="T437" s="390">
        <v>65</v>
      </c>
      <c r="U437" s="390" t="s">
        <v>3434</v>
      </c>
      <c r="V437" s="390" t="s">
        <v>1383</v>
      </c>
      <c r="W437" s="390" t="s">
        <v>1383</v>
      </c>
      <c r="X437" s="390" t="s">
        <v>1383</v>
      </c>
      <c r="Y437" s="390" t="s">
        <v>3435</v>
      </c>
      <c r="Z437" s="391" t="s">
        <v>1960</v>
      </c>
    </row>
    <row r="438" spans="2:26" ht="15.75" customHeight="1" x14ac:dyDescent="0.3">
      <c r="B438" s="387" t="s">
        <v>1375</v>
      </c>
      <c r="C438" s="388">
        <v>122418</v>
      </c>
      <c r="D438" s="388" t="s">
        <v>3436</v>
      </c>
      <c r="E438" s="388" t="s">
        <v>1377</v>
      </c>
      <c r="F438" s="388" t="s">
        <v>3417</v>
      </c>
      <c r="G438" s="388" t="s">
        <v>1439</v>
      </c>
      <c r="H438" s="388" t="s">
        <v>1380</v>
      </c>
      <c r="I438" s="388" t="s">
        <v>1393</v>
      </c>
      <c r="J438" s="388" t="s">
        <v>3369</v>
      </c>
      <c r="K438" s="388" t="s">
        <v>1383</v>
      </c>
      <c r="L438" s="389">
        <v>0</v>
      </c>
      <c r="M438" s="390" t="s">
        <v>3262</v>
      </c>
      <c r="N438" s="390">
        <v>7152081</v>
      </c>
      <c r="O438" s="390" t="s">
        <v>3433</v>
      </c>
      <c r="P438" s="390" t="s">
        <v>1383</v>
      </c>
      <c r="Q438" s="388" t="s">
        <v>1383</v>
      </c>
      <c r="R438" s="390">
        <v>19</v>
      </c>
      <c r="S438" s="390" t="s">
        <v>1841</v>
      </c>
      <c r="T438" s="390">
        <v>66</v>
      </c>
      <c r="U438" s="390" t="s">
        <v>3437</v>
      </c>
      <c r="V438" s="390" t="s">
        <v>1383</v>
      </c>
      <c r="W438" s="390" t="s">
        <v>1383</v>
      </c>
      <c r="X438" s="390" t="s">
        <v>1383</v>
      </c>
      <c r="Y438" s="390" t="s">
        <v>3264</v>
      </c>
      <c r="Z438" s="391" t="s">
        <v>3265</v>
      </c>
    </row>
    <row r="439" spans="2:26" ht="15.75" customHeight="1" x14ac:dyDescent="0.3">
      <c r="B439" s="387" t="s">
        <v>1375</v>
      </c>
      <c r="C439" s="388">
        <v>122422</v>
      </c>
      <c r="D439" s="388" t="s">
        <v>3438</v>
      </c>
      <c r="E439" s="388" t="s">
        <v>1377</v>
      </c>
      <c r="F439" s="388" t="s">
        <v>3417</v>
      </c>
      <c r="G439" s="388" t="s">
        <v>1439</v>
      </c>
      <c r="H439" s="388" t="s">
        <v>1380</v>
      </c>
      <c r="I439" s="388" t="s">
        <v>1393</v>
      </c>
      <c r="J439" s="388" t="s">
        <v>1382</v>
      </c>
      <c r="K439" s="388" t="s">
        <v>1383</v>
      </c>
      <c r="L439" s="389">
        <v>0</v>
      </c>
      <c r="M439" s="390" t="s">
        <v>3439</v>
      </c>
      <c r="N439" s="390" t="s">
        <v>2582</v>
      </c>
      <c r="O439" s="390" t="s">
        <v>3440</v>
      </c>
      <c r="P439" s="390" t="s">
        <v>1383</v>
      </c>
      <c r="Q439" s="388" t="s">
        <v>1383</v>
      </c>
      <c r="R439" s="390">
        <v>9</v>
      </c>
      <c r="S439" s="390" t="s">
        <v>1533</v>
      </c>
      <c r="T439" s="390">
        <v>75</v>
      </c>
      <c r="U439" s="390" t="s">
        <v>1533</v>
      </c>
      <c r="V439" s="390">
        <v>6402</v>
      </c>
      <c r="W439" s="390" t="s">
        <v>1547</v>
      </c>
      <c r="X439" s="390">
        <v>90178</v>
      </c>
      <c r="Y439" s="390" t="s">
        <v>3441</v>
      </c>
      <c r="Z439" s="391" t="s">
        <v>2584</v>
      </c>
    </row>
    <row r="440" spans="2:26" ht="15.75" customHeight="1" x14ac:dyDescent="0.3">
      <c r="B440" s="387" t="s">
        <v>1375</v>
      </c>
      <c r="C440" s="388">
        <v>122423</v>
      </c>
      <c r="D440" s="388" t="s">
        <v>3442</v>
      </c>
      <c r="E440" s="388" t="s">
        <v>1377</v>
      </c>
      <c r="F440" s="388" t="s">
        <v>3417</v>
      </c>
      <c r="G440" s="388" t="s">
        <v>1439</v>
      </c>
      <c r="H440" s="388" t="s">
        <v>1380</v>
      </c>
      <c r="I440" s="388" t="s">
        <v>1530</v>
      </c>
      <c r="J440" s="388" t="s">
        <v>1382</v>
      </c>
      <c r="K440" s="388" t="s">
        <v>1383</v>
      </c>
      <c r="L440" s="389">
        <v>0</v>
      </c>
      <c r="M440" s="390" t="s">
        <v>2654</v>
      </c>
      <c r="N440" s="390" t="s">
        <v>3443</v>
      </c>
      <c r="O440" s="390" t="s">
        <v>3440</v>
      </c>
      <c r="P440" s="390" t="s">
        <v>1383</v>
      </c>
      <c r="Q440" s="388" t="s">
        <v>1383</v>
      </c>
      <c r="R440" s="390">
        <v>8</v>
      </c>
      <c r="S440" s="390" t="s">
        <v>1483</v>
      </c>
      <c r="T440" s="390">
        <v>45</v>
      </c>
      <c r="U440" s="390" t="s">
        <v>1484</v>
      </c>
      <c r="V440" s="390">
        <v>4505</v>
      </c>
      <c r="W440" s="390" t="s">
        <v>2655</v>
      </c>
      <c r="X440" s="390">
        <v>80183</v>
      </c>
      <c r="Y440" s="390" t="s">
        <v>2656</v>
      </c>
      <c r="Z440" s="391" t="s">
        <v>2657</v>
      </c>
    </row>
    <row r="441" spans="2:26" ht="15.75" customHeight="1" x14ac:dyDescent="0.3">
      <c r="B441" s="387" t="s">
        <v>1375</v>
      </c>
      <c r="C441" s="388">
        <v>122424</v>
      </c>
      <c r="D441" s="388" t="s">
        <v>3444</v>
      </c>
      <c r="E441" s="388" t="s">
        <v>1377</v>
      </c>
      <c r="F441" s="388" t="s">
        <v>3417</v>
      </c>
      <c r="G441" s="388" t="s">
        <v>1439</v>
      </c>
      <c r="H441" s="388" t="s">
        <v>1380</v>
      </c>
      <c r="I441" s="388" t="s">
        <v>1440</v>
      </c>
      <c r="J441" s="388" t="s">
        <v>1382</v>
      </c>
      <c r="K441" s="388" t="s">
        <v>1383</v>
      </c>
      <c r="L441" s="389">
        <v>0</v>
      </c>
      <c r="M441" s="390" t="s">
        <v>3445</v>
      </c>
      <c r="N441" s="390" t="s">
        <v>3446</v>
      </c>
      <c r="O441" s="390" t="s">
        <v>3440</v>
      </c>
      <c r="P441" s="390" t="s">
        <v>1383</v>
      </c>
      <c r="Q441" s="388" t="s">
        <v>1383</v>
      </c>
      <c r="R441" s="390">
        <v>8</v>
      </c>
      <c r="S441" s="390" t="s">
        <v>1483</v>
      </c>
      <c r="T441" s="390">
        <v>47</v>
      </c>
      <c r="U441" s="390" t="s">
        <v>1503</v>
      </c>
      <c r="V441" s="390">
        <v>4508</v>
      </c>
      <c r="W441" s="390" t="s">
        <v>1504</v>
      </c>
      <c r="X441" s="390">
        <v>80070</v>
      </c>
      <c r="Y441" s="390" t="s">
        <v>1505</v>
      </c>
      <c r="Z441" s="391" t="s">
        <v>3447</v>
      </c>
    </row>
    <row r="442" spans="2:26" ht="15.75" customHeight="1" x14ac:dyDescent="0.3">
      <c r="B442" s="387" t="s">
        <v>1375</v>
      </c>
      <c r="C442" s="388">
        <v>122425</v>
      </c>
      <c r="D442" s="388" t="s">
        <v>3448</v>
      </c>
      <c r="E442" s="388" t="s">
        <v>1377</v>
      </c>
      <c r="F442" s="388" t="s">
        <v>3417</v>
      </c>
      <c r="G442" s="388" t="s">
        <v>1439</v>
      </c>
      <c r="H442" s="388" t="s">
        <v>1380</v>
      </c>
      <c r="I442" s="388" t="s">
        <v>1530</v>
      </c>
      <c r="J442" s="388" t="s">
        <v>1382</v>
      </c>
      <c r="K442" s="388" t="s">
        <v>1383</v>
      </c>
      <c r="L442" s="389">
        <v>0</v>
      </c>
      <c r="M442" s="390" t="s">
        <v>3449</v>
      </c>
      <c r="N442" s="390" t="s">
        <v>2619</v>
      </c>
      <c r="O442" s="390" t="s">
        <v>3440</v>
      </c>
      <c r="P442" s="390" t="s">
        <v>1383</v>
      </c>
      <c r="Q442" s="388" t="s">
        <v>1383</v>
      </c>
      <c r="R442" s="390">
        <v>8</v>
      </c>
      <c r="S442" s="390" t="s">
        <v>1483</v>
      </c>
      <c r="T442" s="390">
        <v>82</v>
      </c>
      <c r="U442" s="390" t="s">
        <v>1511</v>
      </c>
      <c r="V442" s="390">
        <v>4607</v>
      </c>
      <c r="W442" s="390" t="s">
        <v>2597</v>
      </c>
      <c r="X442" s="390">
        <v>80168</v>
      </c>
      <c r="Y442" s="390" t="s">
        <v>2069</v>
      </c>
      <c r="Z442" s="391" t="s">
        <v>2620</v>
      </c>
    </row>
    <row r="443" spans="2:26" ht="15.75" customHeight="1" x14ac:dyDescent="0.3">
      <c r="B443" s="387" t="s">
        <v>1375</v>
      </c>
      <c r="C443" s="388">
        <v>122427</v>
      </c>
      <c r="D443" s="388" t="s">
        <v>3450</v>
      </c>
      <c r="E443" s="388" t="s">
        <v>1377</v>
      </c>
      <c r="F443" s="388" t="s">
        <v>3417</v>
      </c>
      <c r="G443" s="388" t="s">
        <v>1439</v>
      </c>
      <c r="H443" s="388" t="s">
        <v>1380</v>
      </c>
      <c r="I443" s="388" t="s">
        <v>1530</v>
      </c>
      <c r="J443" s="388" t="s">
        <v>1382</v>
      </c>
      <c r="K443" s="388" t="s">
        <v>1383</v>
      </c>
      <c r="L443" s="389">
        <v>0</v>
      </c>
      <c r="M443" s="390" t="s">
        <v>2493</v>
      </c>
      <c r="N443" s="390" t="s">
        <v>1517</v>
      </c>
      <c r="O443" s="390" t="s">
        <v>3440</v>
      </c>
      <c r="P443" s="390" t="s">
        <v>1383</v>
      </c>
      <c r="Q443" s="388" t="s">
        <v>1383</v>
      </c>
      <c r="R443" s="390">
        <v>8</v>
      </c>
      <c r="S443" s="390" t="s">
        <v>1483</v>
      </c>
      <c r="T443" s="390">
        <v>82</v>
      </c>
      <c r="U443" s="390" t="s">
        <v>1511</v>
      </c>
      <c r="V443" s="390">
        <v>4564</v>
      </c>
      <c r="W443" s="390" t="s">
        <v>2494</v>
      </c>
      <c r="X443" s="390">
        <v>80274</v>
      </c>
      <c r="Y443" s="390" t="s">
        <v>2495</v>
      </c>
      <c r="Z443" s="391" t="s">
        <v>2496</v>
      </c>
    </row>
    <row r="444" spans="2:26" ht="15.75" customHeight="1" x14ac:dyDescent="0.3">
      <c r="B444" s="387" t="s">
        <v>1375</v>
      </c>
      <c r="C444" s="388">
        <v>122428</v>
      </c>
      <c r="D444" s="388" t="s">
        <v>3451</v>
      </c>
      <c r="E444" s="388" t="s">
        <v>1377</v>
      </c>
      <c r="F444" s="388" t="s">
        <v>3417</v>
      </c>
      <c r="G444" s="388" t="s">
        <v>1439</v>
      </c>
      <c r="H444" s="388" t="s">
        <v>1380</v>
      </c>
      <c r="I444" s="388" t="s">
        <v>1530</v>
      </c>
      <c r="J444" s="388" t="s">
        <v>1382</v>
      </c>
      <c r="K444" s="388" t="s">
        <v>1383</v>
      </c>
      <c r="L444" s="389">
        <v>0</v>
      </c>
      <c r="M444" s="390" t="s">
        <v>2503</v>
      </c>
      <c r="N444" s="390" t="s">
        <v>2504</v>
      </c>
      <c r="O444" s="390" t="s">
        <v>3440</v>
      </c>
      <c r="P444" s="390" t="s">
        <v>1383</v>
      </c>
      <c r="Q444" s="388" t="s">
        <v>1383</v>
      </c>
      <c r="R444" s="390">
        <v>8</v>
      </c>
      <c r="S444" s="390" t="s">
        <v>1483</v>
      </c>
      <c r="T444" s="390">
        <v>81</v>
      </c>
      <c r="U444" s="390" t="s">
        <v>1490</v>
      </c>
      <c r="V444" s="390">
        <v>4576</v>
      </c>
      <c r="W444" s="390" t="s">
        <v>2505</v>
      </c>
      <c r="X444" s="390">
        <v>80216</v>
      </c>
      <c r="Y444" s="390" t="s">
        <v>2506</v>
      </c>
      <c r="Z444" s="391" t="s">
        <v>2507</v>
      </c>
    </row>
    <row r="445" spans="2:26" ht="15.75" customHeight="1" x14ac:dyDescent="0.3">
      <c r="B445" s="387" t="s">
        <v>1375</v>
      </c>
      <c r="C445" s="388">
        <v>122429</v>
      </c>
      <c r="D445" s="388" t="s">
        <v>3452</v>
      </c>
      <c r="E445" s="388" t="s">
        <v>1377</v>
      </c>
      <c r="F445" s="388" t="s">
        <v>3417</v>
      </c>
      <c r="G445" s="388" t="s">
        <v>1439</v>
      </c>
      <c r="H445" s="388" t="s">
        <v>1380</v>
      </c>
      <c r="I445" s="388" t="s">
        <v>1530</v>
      </c>
      <c r="J445" s="388" t="s">
        <v>1382</v>
      </c>
      <c r="K445" s="388" t="s">
        <v>1383</v>
      </c>
      <c r="L445" s="389">
        <v>0</v>
      </c>
      <c r="M445" s="390" t="s">
        <v>3221</v>
      </c>
      <c r="N445" s="390" t="s">
        <v>3453</v>
      </c>
      <c r="O445" s="390" t="s">
        <v>3440</v>
      </c>
      <c r="P445" s="390" t="s">
        <v>1383</v>
      </c>
      <c r="Q445" s="388" t="s">
        <v>1383</v>
      </c>
      <c r="R445" s="390">
        <v>8</v>
      </c>
      <c r="S445" s="390" t="s">
        <v>1483</v>
      </c>
      <c r="T445" s="390">
        <v>81</v>
      </c>
      <c r="U445" s="390" t="s">
        <v>1490</v>
      </c>
      <c r="V445" s="390">
        <v>4557</v>
      </c>
      <c r="W445" s="390" t="s">
        <v>1490</v>
      </c>
      <c r="X445" s="390">
        <v>80129</v>
      </c>
      <c r="Y445" s="390" t="s">
        <v>1490</v>
      </c>
      <c r="Z445" s="391" t="s">
        <v>3222</v>
      </c>
    </row>
    <row r="446" spans="2:26" ht="15.75" customHeight="1" x14ac:dyDescent="0.3">
      <c r="B446" s="387" t="s">
        <v>1375</v>
      </c>
      <c r="C446" s="388">
        <v>122431</v>
      </c>
      <c r="D446" s="388" t="s">
        <v>3454</v>
      </c>
      <c r="E446" s="388" t="s">
        <v>1377</v>
      </c>
      <c r="F446" s="388" t="s">
        <v>3417</v>
      </c>
      <c r="G446" s="388" t="s">
        <v>1439</v>
      </c>
      <c r="H446" s="388" t="s">
        <v>1380</v>
      </c>
      <c r="I446" s="388" t="s">
        <v>1393</v>
      </c>
      <c r="J446" s="388" t="s">
        <v>1382</v>
      </c>
      <c r="K446" s="388" t="s">
        <v>1383</v>
      </c>
      <c r="L446" s="389">
        <v>0</v>
      </c>
      <c r="M446" s="390" t="s">
        <v>1521</v>
      </c>
      <c r="N446" s="390" t="s">
        <v>1522</v>
      </c>
      <c r="O446" s="390" t="s">
        <v>3440</v>
      </c>
      <c r="P446" s="390" t="s">
        <v>1383</v>
      </c>
      <c r="Q446" s="388" t="s">
        <v>1383</v>
      </c>
      <c r="R446" s="390">
        <v>8</v>
      </c>
      <c r="S446" s="390" t="s">
        <v>1483</v>
      </c>
      <c r="T446" s="390">
        <v>46</v>
      </c>
      <c r="U446" s="390" t="s">
        <v>1523</v>
      </c>
      <c r="V446" s="390">
        <v>6505</v>
      </c>
      <c r="W446" s="390" t="s">
        <v>1520</v>
      </c>
      <c r="X446" s="390">
        <v>80228</v>
      </c>
      <c r="Y446" s="390" t="s">
        <v>1520</v>
      </c>
      <c r="Z446" s="391" t="s">
        <v>1525</v>
      </c>
    </row>
    <row r="447" spans="2:26" ht="15.75" customHeight="1" x14ac:dyDescent="0.3">
      <c r="B447" s="387" t="s">
        <v>1375</v>
      </c>
      <c r="C447" s="388">
        <v>122432</v>
      </c>
      <c r="D447" s="388" t="s">
        <v>3455</v>
      </c>
      <c r="E447" s="388" t="s">
        <v>1377</v>
      </c>
      <c r="F447" s="388" t="s">
        <v>3417</v>
      </c>
      <c r="G447" s="388" t="s">
        <v>1439</v>
      </c>
      <c r="H447" s="388" t="s">
        <v>1380</v>
      </c>
      <c r="I447" s="388" t="s">
        <v>1381</v>
      </c>
      <c r="J447" s="388" t="s">
        <v>1382</v>
      </c>
      <c r="K447" s="388" t="s">
        <v>1383</v>
      </c>
      <c r="L447" s="389">
        <v>0</v>
      </c>
      <c r="M447" s="390" t="s">
        <v>2926</v>
      </c>
      <c r="N447" s="390" t="s">
        <v>2927</v>
      </c>
      <c r="O447" s="390" t="s">
        <v>3440</v>
      </c>
      <c r="P447" s="390" t="s">
        <v>1383</v>
      </c>
      <c r="Q447" s="388" t="s">
        <v>1383</v>
      </c>
      <c r="R447" s="390">
        <v>8</v>
      </c>
      <c r="S447" s="390" t="s">
        <v>1483</v>
      </c>
      <c r="T447" s="390">
        <v>82</v>
      </c>
      <c r="U447" s="390" t="s">
        <v>1511</v>
      </c>
      <c r="V447" s="390">
        <v>4617</v>
      </c>
      <c r="W447" s="390" t="s">
        <v>1991</v>
      </c>
      <c r="X447" s="390">
        <v>80280</v>
      </c>
      <c r="Y447" s="390" t="s">
        <v>1991</v>
      </c>
      <c r="Z447" s="391" t="s">
        <v>2928</v>
      </c>
    </row>
    <row r="448" spans="2:26" ht="15.75" customHeight="1" x14ac:dyDescent="0.3">
      <c r="B448" s="387" t="s">
        <v>1375</v>
      </c>
      <c r="C448" s="388">
        <v>122434</v>
      </c>
      <c r="D448" s="388" t="s">
        <v>3456</v>
      </c>
      <c r="E448" s="388" t="s">
        <v>1377</v>
      </c>
      <c r="F448" s="388" t="s">
        <v>3417</v>
      </c>
      <c r="G448" s="388" t="s">
        <v>1439</v>
      </c>
      <c r="H448" s="388" t="s">
        <v>1380</v>
      </c>
      <c r="I448" s="388" t="s">
        <v>1393</v>
      </c>
      <c r="J448" s="388" t="s">
        <v>1382</v>
      </c>
      <c r="K448" s="388" t="s">
        <v>1383</v>
      </c>
      <c r="L448" s="389">
        <v>0</v>
      </c>
      <c r="M448" s="390" t="s">
        <v>1772</v>
      </c>
      <c r="N448" s="390" t="s">
        <v>3457</v>
      </c>
      <c r="O448" s="390" t="s">
        <v>3423</v>
      </c>
      <c r="P448" s="390" t="s">
        <v>1383</v>
      </c>
      <c r="Q448" s="388" t="s">
        <v>1383</v>
      </c>
      <c r="R448" s="390">
        <v>16</v>
      </c>
      <c r="S448" s="390" t="s">
        <v>1746</v>
      </c>
      <c r="T448" s="390">
        <v>40</v>
      </c>
      <c r="U448" s="390" t="s">
        <v>1747</v>
      </c>
      <c r="V448" s="390">
        <v>4205</v>
      </c>
      <c r="W448" s="390" t="s">
        <v>1769</v>
      </c>
      <c r="X448" s="390">
        <v>160047</v>
      </c>
      <c r="Y448" s="390" t="s">
        <v>1769</v>
      </c>
      <c r="Z448" s="391" t="s">
        <v>1774</v>
      </c>
    </row>
    <row r="449" spans="2:26" ht="15.75" customHeight="1" x14ac:dyDescent="0.3">
      <c r="B449" s="387" t="s">
        <v>1375</v>
      </c>
      <c r="C449" s="388">
        <v>122435</v>
      </c>
      <c r="D449" s="388" t="s">
        <v>3458</v>
      </c>
      <c r="E449" s="388" t="s">
        <v>1377</v>
      </c>
      <c r="F449" s="388" t="s">
        <v>3417</v>
      </c>
      <c r="G449" s="388" t="s">
        <v>1439</v>
      </c>
      <c r="H449" s="388" t="s">
        <v>1380</v>
      </c>
      <c r="I449" s="388" t="s">
        <v>1530</v>
      </c>
      <c r="J449" s="388" t="s">
        <v>3369</v>
      </c>
      <c r="K449" s="388" t="s">
        <v>1383</v>
      </c>
      <c r="L449" s="389">
        <v>0</v>
      </c>
      <c r="M449" s="390" t="s">
        <v>2536</v>
      </c>
      <c r="N449" s="390">
        <v>7714301</v>
      </c>
      <c r="O449" s="390" t="s">
        <v>2741</v>
      </c>
      <c r="P449" s="390" t="s">
        <v>1383</v>
      </c>
      <c r="Q449" s="388" t="s">
        <v>1383</v>
      </c>
      <c r="R449" s="390">
        <v>18</v>
      </c>
      <c r="S449" s="390" t="s">
        <v>3459</v>
      </c>
      <c r="T449" s="390">
        <v>55</v>
      </c>
      <c r="U449" s="390" t="s">
        <v>3460</v>
      </c>
      <c r="V449" s="390" t="s">
        <v>1383</v>
      </c>
      <c r="W449" s="390" t="s">
        <v>1383</v>
      </c>
      <c r="X449" s="390" t="s">
        <v>1383</v>
      </c>
      <c r="Y449" s="390" t="s">
        <v>1980</v>
      </c>
      <c r="Z449" s="391" t="s">
        <v>2537</v>
      </c>
    </row>
    <row r="450" spans="2:26" ht="15.75" customHeight="1" x14ac:dyDescent="0.3">
      <c r="B450" s="387" t="s">
        <v>1375</v>
      </c>
      <c r="C450" s="388">
        <v>122436</v>
      </c>
      <c r="D450" s="388" t="s">
        <v>3461</v>
      </c>
      <c r="E450" s="388" t="s">
        <v>1377</v>
      </c>
      <c r="F450" s="388" t="s">
        <v>3417</v>
      </c>
      <c r="G450" s="388" t="s">
        <v>1439</v>
      </c>
      <c r="H450" s="388" t="s">
        <v>1380</v>
      </c>
      <c r="I450" s="388" t="s">
        <v>1530</v>
      </c>
      <c r="J450" s="388" t="s">
        <v>3369</v>
      </c>
      <c r="K450" s="388" t="s">
        <v>1383</v>
      </c>
      <c r="L450" s="389">
        <v>0</v>
      </c>
      <c r="M450" s="390" t="s">
        <v>3462</v>
      </c>
      <c r="N450" s="390">
        <v>2051361</v>
      </c>
      <c r="O450" s="390" t="s">
        <v>2741</v>
      </c>
      <c r="P450" s="390" t="s">
        <v>1383</v>
      </c>
      <c r="Q450" s="388" t="s">
        <v>1383</v>
      </c>
      <c r="R450" s="390">
        <v>18</v>
      </c>
      <c r="S450" s="390" t="s">
        <v>3459</v>
      </c>
      <c r="T450" s="390">
        <v>39</v>
      </c>
      <c r="U450" s="390" t="s">
        <v>3463</v>
      </c>
      <c r="V450" s="390" t="s">
        <v>1383</v>
      </c>
      <c r="W450" s="390" t="s">
        <v>1383</v>
      </c>
      <c r="X450" s="390" t="s">
        <v>1383</v>
      </c>
      <c r="Y450" s="390" t="s">
        <v>1816</v>
      </c>
      <c r="Z450" s="391" t="s">
        <v>1817</v>
      </c>
    </row>
    <row r="451" spans="2:26" ht="15.75" customHeight="1" x14ac:dyDescent="0.3">
      <c r="B451" s="387" t="s">
        <v>1375</v>
      </c>
      <c r="C451" s="388">
        <v>122444</v>
      </c>
      <c r="D451" s="388" t="s">
        <v>3464</v>
      </c>
      <c r="E451" s="388" t="s">
        <v>1377</v>
      </c>
      <c r="F451" s="388" t="s">
        <v>3417</v>
      </c>
      <c r="G451" s="388" t="s">
        <v>1439</v>
      </c>
      <c r="H451" s="388" t="s">
        <v>1380</v>
      </c>
      <c r="I451" s="388" t="s">
        <v>1393</v>
      </c>
      <c r="J451" s="388" t="s">
        <v>1382</v>
      </c>
      <c r="K451" s="388" t="s">
        <v>1383</v>
      </c>
      <c r="L451" s="389">
        <v>0</v>
      </c>
      <c r="M451" s="390" t="s">
        <v>2467</v>
      </c>
      <c r="N451" s="390" t="s">
        <v>2468</v>
      </c>
      <c r="O451" s="390" t="s">
        <v>3423</v>
      </c>
      <c r="P451" s="390" t="s">
        <v>1383</v>
      </c>
      <c r="Q451" s="388" t="s">
        <v>1383</v>
      </c>
      <c r="R451" s="390">
        <v>11</v>
      </c>
      <c r="S451" s="390" t="s">
        <v>1608</v>
      </c>
      <c r="T451" s="390">
        <v>28</v>
      </c>
      <c r="U451" s="390" t="s">
        <v>1609</v>
      </c>
      <c r="V451" s="390">
        <v>9201</v>
      </c>
      <c r="W451" s="390" t="s">
        <v>2469</v>
      </c>
      <c r="X451" s="390">
        <v>110414</v>
      </c>
      <c r="Y451" s="390" t="s">
        <v>2470</v>
      </c>
      <c r="Z451" s="391" t="s">
        <v>2471</v>
      </c>
    </row>
    <row r="452" spans="2:26" ht="15.75" customHeight="1" x14ac:dyDescent="0.3">
      <c r="B452" s="387" t="s">
        <v>1375</v>
      </c>
      <c r="C452" s="388">
        <v>122445</v>
      </c>
      <c r="D452" s="388" t="s">
        <v>3465</v>
      </c>
      <c r="E452" s="388" t="s">
        <v>1377</v>
      </c>
      <c r="F452" s="388" t="s">
        <v>3417</v>
      </c>
      <c r="G452" s="388" t="s">
        <v>1439</v>
      </c>
      <c r="H452" s="388" t="s">
        <v>1380</v>
      </c>
      <c r="I452" s="388" t="s">
        <v>1440</v>
      </c>
      <c r="J452" s="388" t="s">
        <v>1382</v>
      </c>
      <c r="K452" s="388" t="s">
        <v>1383</v>
      </c>
      <c r="L452" s="389">
        <v>0</v>
      </c>
      <c r="M452" s="390" t="s">
        <v>2951</v>
      </c>
      <c r="N452" s="390" t="s">
        <v>2944</v>
      </c>
      <c r="O452" s="390" t="s">
        <v>3423</v>
      </c>
      <c r="P452" s="390" t="s">
        <v>1383</v>
      </c>
      <c r="Q452" s="388" t="s">
        <v>1383</v>
      </c>
      <c r="R452" s="390">
        <v>11</v>
      </c>
      <c r="S452" s="390" t="s">
        <v>1608</v>
      </c>
      <c r="T452" s="390">
        <v>71</v>
      </c>
      <c r="U452" s="390" t="s">
        <v>1938</v>
      </c>
      <c r="V452" s="390">
        <v>9216</v>
      </c>
      <c r="W452" s="390" t="s">
        <v>2945</v>
      </c>
      <c r="X452" s="390">
        <v>110292</v>
      </c>
      <c r="Y452" s="390" t="s">
        <v>2945</v>
      </c>
      <c r="Z452" s="391" t="s">
        <v>2952</v>
      </c>
    </row>
    <row r="453" spans="2:26" ht="15.75" customHeight="1" x14ac:dyDescent="0.3">
      <c r="B453" s="387" t="s">
        <v>1375</v>
      </c>
      <c r="C453" s="388">
        <v>122446</v>
      </c>
      <c r="D453" s="388" t="s">
        <v>3466</v>
      </c>
      <c r="E453" s="388" t="s">
        <v>1377</v>
      </c>
      <c r="F453" s="388" t="s">
        <v>3417</v>
      </c>
      <c r="G453" s="388" t="s">
        <v>1439</v>
      </c>
      <c r="H453" s="388" t="s">
        <v>1380</v>
      </c>
      <c r="I453" s="388" t="s">
        <v>1530</v>
      </c>
      <c r="J453" s="388" t="s">
        <v>1382</v>
      </c>
      <c r="K453" s="388" t="s">
        <v>1383</v>
      </c>
      <c r="L453" s="389">
        <v>0</v>
      </c>
      <c r="M453" s="390" t="s">
        <v>2604</v>
      </c>
      <c r="N453" s="390" t="s">
        <v>3467</v>
      </c>
      <c r="O453" s="390" t="s">
        <v>3423</v>
      </c>
      <c r="P453" s="390" t="s">
        <v>1383</v>
      </c>
      <c r="Q453" s="388" t="s">
        <v>1383</v>
      </c>
      <c r="R453" s="390">
        <v>11</v>
      </c>
      <c r="S453" s="390" t="s">
        <v>1608</v>
      </c>
      <c r="T453" s="390">
        <v>71</v>
      </c>
      <c r="U453" s="390" t="s">
        <v>1938</v>
      </c>
      <c r="V453" s="390">
        <v>9253</v>
      </c>
      <c r="W453" s="390" t="s">
        <v>2058</v>
      </c>
      <c r="X453" s="390">
        <v>110585</v>
      </c>
      <c r="Y453" s="390" t="s">
        <v>2607</v>
      </c>
      <c r="Z453" s="391" t="s">
        <v>2608</v>
      </c>
    </row>
    <row r="454" spans="2:26" ht="15.75" customHeight="1" x14ac:dyDescent="0.3">
      <c r="B454" s="387" t="s">
        <v>1375</v>
      </c>
      <c r="C454" s="388">
        <v>122449</v>
      </c>
      <c r="D454" s="388" t="s">
        <v>3468</v>
      </c>
      <c r="E454" s="388" t="s">
        <v>1377</v>
      </c>
      <c r="F454" s="388" t="s">
        <v>3417</v>
      </c>
      <c r="G454" s="388" t="s">
        <v>1439</v>
      </c>
      <c r="H454" s="388" t="s">
        <v>1380</v>
      </c>
      <c r="I454" s="388" t="s">
        <v>1393</v>
      </c>
      <c r="J454" s="388" t="s">
        <v>1382</v>
      </c>
      <c r="K454" s="388" t="s">
        <v>1383</v>
      </c>
      <c r="L454" s="389">
        <v>0</v>
      </c>
      <c r="M454" s="390" t="s">
        <v>2680</v>
      </c>
      <c r="N454" s="390" t="s">
        <v>2681</v>
      </c>
      <c r="O454" s="390" t="s">
        <v>3423</v>
      </c>
      <c r="P454" s="390" t="s">
        <v>1383</v>
      </c>
      <c r="Q454" s="388" t="s">
        <v>1383</v>
      </c>
      <c r="R454" s="390">
        <v>1</v>
      </c>
      <c r="S454" s="390" t="s">
        <v>1388</v>
      </c>
      <c r="T454" s="390">
        <v>11</v>
      </c>
      <c r="U454" s="390" t="s">
        <v>2682</v>
      </c>
      <c r="V454" s="390">
        <v>8520</v>
      </c>
      <c r="W454" s="390" t="s">
        <v>2683</v>
      </c>
      <c r="X454" s="390">
        <v>108103</v>
      </c>
      <c r="Y454" s="390" t="s">
        <v>3469</v>
      </c>
      <c r="Z454" s="391" t="s">
        <v>2685</v>
      </c>
    </row>
    <row r="455" spans="2:26" ht="15.75" customHeight="1" x14ac:dyDescent="0.3">
      <c r="B455" s="387" t="s">
        <v>1375</v>
      </c>
      <c r="C455" s="388">
        <v>122469</v>
      </c>
      <c r="D455" s="388" t="s">
        <v>3470</v>
      </c>
      <c r="E455" s="388" t="s">
        <v>1377</v>
      </c>
      <c r="F455" s="388" t="s">
        <v>3417</v>
      </c>
      <c r="G455" s="388" t="s">
        <v>1439</v>
      </c>
      <c r="H455" s="388" t="s">
        <v>1471</v>
      </c>
      <c r="I455" s="388" t="s">
        <v>1393</v>
      </c>
      <c r="J455" s="388" t="s">
        <v>1382</v>
      </c>
      <c r="K455" s="388" t="s">
        <v>1383</v>
      </c>
      <c r="L455" s="389">
        <v>0</v>
      </c>
      <c r="M455" s="390" t="s">
        <v>3326</v>
      </c>
      <c r="N455" s="390" t="s">
        <v>3327</v>
      </c>
      <c r="O455" s="390" t="s">
        <v>3471</v>
      </c>
      <c r="P455" s="390" t="s">
        <v>1383</v>
      </c>
      <c r="Q455" s="388" t="s">
        <v>1383</v>
      </c>
      <c r="R455" s="390">
        <v>12</v>
      </c>
      <c r="S455" s="390" t="s">
        <v>1695</v>
      </c>
      <c r="T455" s="390">
        <v>22</v>
      </c>
      <c r="U455" s="390" t="s">
        <v>1701</v>
      </c>
      <c r="V455" s="390">
        <v>5202</v>
      </c>
      <c r="W455" s="390" t="s">
        <v>1701</v>
      </c>
      <c r="X455" s="390">
        <v>120007</v>
      </c>
      <c r="Y455" s="390" t="s">
        <v>1702</v>
      </c>
      <c r="Z455" s="391" t="s">
        <v>3328</v>
      </c>
    </row>
    <row r="456" spans="2:26" ht="15.75" customHeight="1" x14ac:dyDescent="0.3">
      <c r="B456" s="387" t="s">
        <v>1375</v>
      </c>
      <c r="C456" s="388">
        <v>122470</v>
      </c>
      <c r="D456" s="388" t="s">
        <v>3472</v>
      </c>
      <c r="E456" s="388" t="s">
        <v>1377</v>
      </c>
      <c r="F456" s="388" t="s">
        <v>3417</v>
      </c>
      <c r="G456" s="388" t="s">
        <v>1439</v>
      </c>
      <c r="H456" s="388" t="s">
        <v>1471</v>
      </c>
      <c r="I456" s="388" t="s">
        <v>1393</v>
      </c>
      <c r="J456" s="388" t="s">
        <v>1382</v>
      </c>
      <c r="K456" s="388" t="s">
        <v>1383</v>
      </c>
      <c r="L456" s="389">
        <v>0</v>
      </c>
      <c r="M456" s="390" t="s">
        <v>1705</v>
      </c>
      <c r="N456" s="390" t="s">
        <v>3473</v>
      </c>
      <c r="O456" s="390" t="s">
        <v>3471</v>
      </c>
      <c r="P456" s="390" t="s">
        <v>1383</v>
      </c>
      <c r="Q456" s="388" t="s">
        <v>1383</v>
      </c>
      <c r="R456" s="390">
        <v>12</v>
      </c>
      <c r="S456" s="390" t="s">
        <v>1695</v>
      </c>
      <c r="T456" s="390">
        <v>21</v>
      </c>
      <c r="U456" s="390" t="s">
        <v>1707</v>
      </c>
      <c r="V456" s="390">
        <v>5307</v>
      </c>
      <c r="W456" s="390" t="s">
        <v>1707</v>
      </c>
      <c r="X456" s="390">
        <v>120030</v>
      </c>
      <c r="Y456" s="390" t="s">
        <v>1707</v>
      </c>
      <c r="Z456" s="391" t="s">
        <v>1708</v>
      </c>
    </row>
    <row r="457" spans="2:26" ht="15.75" customHeight="1" x14ac:dyDescent="0.3">
      <c r="B457" s="387" t="s">
        <v>1375</v>
      </c>
      <c r="C457" s="388">
        <v>122471</v>
      </c>
      <c r="D457" s="388" t="s">
        <v>3474</v>
      </c>
      <c r="E457" s="388" t="s">
        <v>1377</v>
      </c>
      <c r="F457" s="388" t="s">
        <v>3417</v>
      </c>
      <c r="G457" s="388" t="s">
        <v>1439</v>
      </c>
      <c r="H457" s="388" t="s">
        <v>1471</v>
      </c>
      <c r="I457" s="388" t="s">
        <v>1393</v>
      </c>
      <c r="J457" s="388" t="s">
        <v>1382</v>
      </c>
      <c r="K457" s="388" t="s">
        <v>1383</v>
      </c>
      <c r="L457" s="389">
        <v>0</v>
      </c>
      <c r="M457" s="390" t="s">
        <v>1710</v>
      </c>
      <c r="N457" s="390" t="s">
        <v>3475</v>
      </c>
      <c r="O457" s="390" t="s">
        <v>3471</v>
      </c>
      <c r="P457" s="390" t="s">
        <v>1383</v>
      </c>
      <c r="Q457" s="388" t="s">
        <v>1383</v>
      </c>
      <c r="R457" s="390">
        <v>12</v>
      </c>
      <c r="S457" s="390" t="s">
        <v>1695</v>
      </c>
      <c r="T457" s="390">
        <v>98</v>
      </c>
      <c r="U457" s="390" t="s">
        <v>1711</v>
      </c>
      <c r="V457" s="390">
        <v>7405</v>
      </c>
      <c r="W457" s="390" t="s">
        <v>1712</v>
      </c>
      <c r="X457" s="390">
        <v>120066</v>
      </c>
      <c r="Y457" s="390" t="s">
        <v>1713</v>
      </c>
      <c r="Z457" s="391" t="s">
        <v>1714</v>
      </c>
    </row>
    <row r="458" spans="2:26" ht="15.75" customHeight="1" x14ac:dyDescent="0.3">
      <c r="B458" s="387" t="s">
        <v>1375</v>
      </c>
      <c r="C458" s="388">
        <v>122472</v>
      </c>
      <c r="D458" s="388" t="s">
        <v>3476</v>
      </c>
      <c r="E458" s="388" t="s">
        <v>1377</v>
      </c>
      <c r="F458" s="388" t="s">
        <v>3417</v>
      </c>
      <c r="G458" s="388" t="s">
        <v>1439</v>
      </c>
      <c r="H458" s="388" t="s">
        <v>1471</v>
      </c>
      <c r="I458" s="388" t="s">
        <v>1393</v>
      </c>
      <c r="J458" s="388" t="s">
        <v>1382</v>
      </c>
      <c r="K458" s="388" t="s">
        <v>1383</v>
      </c>
      <c r="L458" s="389">
        <v>0</v>
      </c>
      <c r="M458" s="390" t="s">
        <v>2531</v>
      </c>
      <c r="N458" s="390" t="s">
        <v>2532</v>
      </c>
      <c r="O458" s="390" t="s">
        <v>3471</v>
      </c>
      <c r="P458" s="390" t="s">
        <v>1383</v>
      </c>
      <c r="Q458" s="388" t="s">
        <v>1383</v>
      </c>
      <c r="R458" s="390">
        <v>12</v>
      </c>
      <c r="S458" s="390" t="s">
        <v>1695</v>
      </c>
      <c r="T458" s="390">
        <v>22</v>
      </c>
      <c r="U458" s="390" t="s">
        <v>1701</v>
      </c>
      <c r="V458" s="390">
        <v>5203</v>
      </c>
      <c r="W458" s="390" t="s">
        <v>2533</v>
      </c>
      <c r="X458" s="390">
        <v>120056</v>
      </c>
      <c r="Y458" s="390" t="s">
        <v>2533</v>
      </c>
      <c r="Z458" s="391" t="s">
        <v>2534</v>
      </c>
    </row>
    <row r="459" spans="2:26" ht="15.75" customHeight="1" x14ac:dyDescent="0.3">
      <c r="B459" s="387" t="s">
        <v>1375</v>
      </c>
      <c r="C459" s="388">
        <v>122480</v>
      </c>
      <c r="D459" s="388" t="s">
        <v>3477</v>
      </c>
      <c r="E459" s="388" t="s">
        <v>1377</v>
      </c>
      <c r="F459" s="388" t="s">
        <v>3417</v>
      </c>
      <c r="G459" s="388" t="s">
        <v>1439</v>
      </c>
      <c r="H459" s="388" t="s">
        <v>1471</v>
      </c>
      <c r="I459" s="388" t="s">
        <v>1530</v>
      </c>
      <c r="J459" s="388" t="s">
        <v>1382</v>
      </c>
      <c r="K459" s="388" t="s">
        <v>1383</v>
      </c>
      <c r="L459" s="389">
        <v>0</v>
      </c>
      <c r="M459" s="390" t="s">
        <v>1739</v>
      </c>
      <c r="N459" s="390" t="s">
        <v>2893</v>
      </c>
      <c r="O459" s="390" t="s">
        <v>3478</v>
      </c>
      <c r="P459" s="390" t="s">
        <v>1383</v>
      </c>
      <c r="Q459" s="388" t="s">
        <v>1383</v>
      </c>
      <c r="R459" s="390">
        <v>15</v>
      </c>
      <c r="S459" s="390" t="s">
        <v>1735</v>
      </c>
      <c r="T459" s="390">
        <v>38</v>
      </c>
      <c r="U459" s="390" t="s">
        <v>1736</v>
      </c>
      <c r="V459" s="390">
        <v>2104</v>
      </c>
      <c r="W459" s="390" t="s">
        <v>1741</v>
      </c>
      <c r="X459" s="390">
        <v>150014</v>
      </c>
      <c r="Y459" s="390" t="s">
        <v>1741</v>
      </c>
      <c r="Z459" s="391" t="s">
        <v>1742</v>
      </c>
    </row>
    <row r="460" spans="2:26" ht="15.75" customHeight="1" x14ac:dyDescent="0.3">
      <c r="B460" s="387" t="s">
        <v>1375</v>
      </c>
      <c r="C460" s="388">
        <v>122481</v>
      </c>
      <c r="D460" s="388" t="s">
        <v>3479</v>
      </c>
      <c r="E460" s="388" t="s">
        <v>1377</v>
      </c>
      <c r="F460" s="388" t="s">
        <v>3417</v>
      </c>
      <c r="G460" s="388" t="s">
        <v>1439</v>
      </c>
      <c r="H460" s="388" t="s">
        <v>1471</v>
      </c>
      <c r="I460" s="388" t="s">
        <v>1381</v>
      </c>
      <c r="J460" s="388" t="s">
        <v>1382</v>
      </c>
      <c r="K460" s="388" t="s">
        <v>1383</v>
      </c>
      <c r="L460" s="389">
        <v>0</v>
      </c>
      <c r="M460" s="390" t="s">
        <v>1733</v>
      </c>
      <c r="N460" s="390" t="s">
        <v>1734</v>
      </c>
      <c r="O460" s="390" t="s">
        <v>3478</v>
      </c>
      <c r="P460" s="390" t="s">
        <v>1383</v>
      </c>
      <c r="Q460" s="388" t="s">
        <v>1383</v>
      </c>
      <c r="R460" s="390">
        <v>15</v>
      </c>
      <c r="S460" s="390" t="s">
        <v>1735</v>
      </c>
      <c r="T460" s="390">
        <v>38</v>
      </c>
      <c r="U460" s="390" t="s">
        <v>1736</v>
      </c>
      <c r="V460" s="390">
        <v>2302</v>
      </c>
      <c r="W460" s="390" t="s">
        <v>1737</v>
      </c>
      <c r="X460" s="390">
        <v>150024</v>
      </c>
      <c r="Y460" s="390" t="s">
        <v>1732</v>
      </c>
      <c r="Z460" s="391" t="s">
        <v>1738</v>
      </c>
    </row>
    <row r="461" spans="2:26" ht="15.75" customHeight="1" x14ac:dyDescent="0.3">
      <c r="B461" s="387" t="s">
        <v>1375</v>
      </c>
      <c r="C461" s="388">
        <v>122482</v>
      </c>
      <c r="D461" s="388" t="s">
        <v>3480</v>
      </c>
      <c r="E461" s="388" t="s">
        <v>1377</v>
      </c>
      <c r="F461" s="388" t="s">
        <v>3417</v>
      </c>
      <c r="G461" s="388" t="s">
        <v>1439</v>
      </c>
      <c r="H461" s="388" t="s">
        <v>1471</v>
      </c>
      <c r="I461" s="388" t="s">
        <v>1393</v>
      </c>
      <c r="J461" s="388" t="s">
        <v>1382</v>
      </c>
      <c r="K461" s="388" t="s">
        <v>1383</v>
      </c>
      <c r="L461" s="389">
        <v>0</v>
      </c>
      <c r="M461" s="390" t="s">
        <v>1757</v>
      </c>
      <c r="N461" s="390" t="s">
        <v>1758</v>
      </c>
      <c r="O461" s="390" t="s">
        <v>3481</v>
      </c>
      <c r="P461" s="390" t="s">
        <v>1383</v>
      </c>
      <c r="Q461" s="388" t="s">
        <v>1383</v>
      </c>
      <c r="R461" s="390">
        <v>16</v>
      </c>
      <c r="S461" s="390" t="s">
        <v>1746</v>
      </c>
      <c r="T461" s="390">
        <v>41</v>
      </c>
      <c r="U461" s="390" t="s">
        <v>1759</v>
      </c>
      <c r="V461" s="390">
        <v>4409</v>
      </c>
      <c r="W461" s="390" t="s">
        <v>1760</v>
      </c>
      <c r="X461" s="390">
        <v>160028</v>
      </c>
      <c r="Y461" s="390" t="s">
        <v>1761</v>
      </c>
      <c r="Z461" s="391" t="s">
        <v>1762</v>
      </c>
    </row>
    <row r="462" spans="2:26" ht="15.75" customHeight="1" x14ac:dyDescent="0.3">
      <c r="B462" s="387" t="s">
        <v>1375</v>
      </c>
      <c r="C462" s="388">
        <v>122483</v>
      </c>
      <c r="D462" s="388" t="s">
        <v>3482</v>
      </c>
      <c r="E462" s="388" t="s">
        <v>1377</v>
      </c>
      <c r="F462" s="388" t="s">
        <v>3417</v>
      </c>
      <c r="G462" s="388" t="s">
        <v>1439</v>
      </c>
      <c r="H462" s="388" t="s">
        <v>1471</v>
      </c>
      <c r="I462" s="388" t="s">
        <v>1393</v>
      </c>
      <c r="J462" s="388" t="s">
        <v>1382</v>
      </c>
      <c r="K462" s="388" t="s">
        <v>1383</v>
      </c>
      <c r="L462" s="389">
        <v>0</v>
      </c>
      <c r="M462" s="390" t="s">
        <v>1763</v>
      </c>
      <c r="N462" s="390" t="s">
        <v>1764</v>
      </c>
      <c r="O462" s="390" t="s">
        <v>3478</v>
      </c>
      <c r="P462" s="390" t="s">
        <v>1383</v>
      </c>
      <c r="Q462" s="388" t="s">
        <v>1383</v>
      </c>
      <c r="R462" s="390">
        <v>16</v>
      </c>
      <c r="S462" s="390" t="s">
        <v>1746</v>
      </c>
      <c r="T462" s="390">
        <v>111</v>
      </c>
      <c r="U462" s="390" t="s">
        <v>1746</v>
      </c>
      <c r="V462" s="390">
        <v>6215</v>
      </c>
      <c r="W462" s="390" t="s">
        <v>1746</v>
      </c>
      <c r="X462" s="390">
        <v>160048</v>
      </c>
      <c r="Y462" s="390" t="s">
        <v>1746</v>
      </c>
      <c r="Z462" s="391" t="s">
        <v>1765</v>
      </c>
    </row>
    <row r="463" spans="2:26" ht="15.75" customHeight="1" x14ac:dyDescent="0.3">
      <c r="B463" s="387" t="s">
        <v>1375</v>
      </c>
      <c r="C463" s="388">
        <v>122484</v>
      </c>
      <c r="D463" s="388" t="s">
        <v>3483</v>
      </c>
      <c r="E463" s="388" t="s">
        <v>1377</v>
      </c>
      <c r="F463" s="388" t="s">
        <v>3417</v>
      </c>
      <c r="G463" s="388" t="s">
        <v>1439</v>
      </c>
      <c r="H463" s="388" t="s">
        <v>1471</v>
      </c>
      <c r="I463" s="388" t="s">
        <v>1393</v>
      </c>
      <c r="J463" s="388" t="s">
        <v>1382</v>
      </c>
      <c r="K463" s="388" t="s">
        <v>1383</v>
      </c>
      <c r="L463" s="389">
        <v>0</v>
      </c>
      <c r="M463" s="390" t="s">
        <v>1751</v>
      </c>
      <c r="N463" s="390" t="s">
        <v>1752</v>
      </c>
      <c r="O463" s="390" t="s">
        <v>3478</v>
      </c>
      <c r="P463" s="390" t="s">
        <v>1383</v>
      </c>
      <c r="Q463" s="388" t="s">
        <v>1383</v>
      </c>
      <c r="R463" s="390">
        <v>16</v>
      </c>
      <c r="S463" s="390" t="s">
        <v>1746</v>
      </c>
      <c r="T463" s="390">
        <v>43</v>
      </c>
      <c r="U463" s="390" t="s">
        <v>1753</v>
      </c>
      <c r="V463" s="390">
        <v>4305</v>
      </c>
      <c r="W463" s="390" t="s">
        <v>1754</v>
      </c>
      <c r="X463" s="390">
        <v>160035</v>
      </c>
      <c r="Y463" s="390" t="s">
        <v>1754</v>
      </c>
      <c r="Z463" s="391" t="s">
        <v>1755</v>
      </c>
    </row>
    <row r="464" spans="2:26" ht="15.75" customHeight="1" x14ac:dyDescent="0.3">
      <c r="B464" s="387" t="s">
        <v>1375</v>
      </c>
      <c r="C464" s="388">
        <v>122485</v>
      </c>
      <c r="D464" s="388" t="s">
        <v>3484</v>
      </c>
      <c r="E464" s="388" t="s">
        <v>1377</v>
      </c>
      <c r="F464" s="388" t="s">
        <v>3417</v>
      </c>
      <c r="G464" s="388" t="s">
        <v>1439</v>
      </c>
      <c r="H464" s="388" t="s">
        <v>1471</v>
      </c>
      <c r="I464" s="388" t="s">
        <v>1393</v>
      </c>
      <c r="J464" s="388" t="s">
        <v>1382</v>
      </c>
      <c r="K464" s="388" t="s">
        <v>1383</v>
      </c>
      <c r="L464" s="389">
        <v>0</v>
      </c>
      <c r="M464" s="390" t="s">
        <v>2322</v>
      </c>
      <c r="N464" s="390" t="s">
        <v>2323</v>
      </c>
      <c r="O464" s="390" t="s">
        <v>3478</v>
      </c>
      <c r="P464" s="390" t="s">
        <v>1383</v>
      </c>
      <c r="Q464" s="388" t="s">
        <v>1383</v>
      </c>
      <c r="R464" s="390">
        <v>16</v>
      </c>
      <c r="S464" s="390" t="s">
        <v>1746</v>
      </c>
      <c r="T464" s="390">
        <v>43</v>
      </c>
      <c r="U464" s="390" t="s">
        <v>1753</v>
      </c>
      <c r="V464" s="390">
        <v>4304</v>
      </c>
      <c r="W464" s="390" t="s">
        <v>1858</v>
      </c>
      <c r="X464" s="390">
        <v>160021</v>
      </c>
      <c r="Y464" s="390" t="s">
        <v>2155</v>
      </c>
      <c r="Z464" s="391" t="s">
        <v>2324</v>
      </c>
    </row>
    <row r="465" spans="2:26" ht="15.75" customHeight="1" x14ac:dyDescent="0.3">
      <c r="B465" s="387" t="s">
        <v>1375</v>
      </c>
      <c r="C465" s="388">
        <v>122496</v>
      </c>
      <c r="D465" s="388" t="s">
        <v>3485</v>
      </c>
      <c r="E465" s="388" t="s">
        <v>1377</v>
      </c>
      <c r="F465" s="388" t="s">
        <v>3417</v>
      </c>
      <c r="G465" s="388" t="s">
        <v>1439</v>
      </c>
      <c r="H465" s="388" t="s">
        <v>1380</v>
      </c>
      <c r="I465" s="388" t="s">
        <v>1393</v>
      </c>
      <c r="J465" s="388" t="s">
        <v>3369</v>
      </c>
      <c r="K465" s="388" t="s">
        <v>1383</v>
      </c>
      <c r="L465" s="389">
        <v>0</v>
      </c>
      <c r="M465" s="390" t="s">
        <v>2383</v>
      </c>
      <c r="N465" s="390">
        <v>4487646</v>
      </c>
      <c r="O465" s="390" t="s">
        <v>3426</v>
      </c>
      <c r="P465" s="390" t="s">
        <v>1383</v>
      </c>
      <c r="Q465" s="388" t="s">
        <v>1383</v>
      </c>
      <c r="R465" s="390">
        <v>7</v>
      </c>
      <c r="S465" s="390" t="s">
        <v>1687</v>
      </c>
      <c r="T465" s="390">
        <v>85</v>
      </c>
      <c r="U465" s="390" t="s">
        <v>3486</v>
      </c>
      <c r="V465" s="390" t="s">
        <v>1383</v>
      </c>
      <c r="W465" s="390" t="s">
        <v>1383</v>
      </c>
      <c r="X465" s="390" t="s">
        <v>1383</v>
      </c>
      <c r="Y465" s="390" t="s">
        <v>3487</v>
      </c>
      <c r="Z465" s="391" t="s">
        <v>2387</v>
      </c>
    </row>
    <row r="466" spans="2:26" ht="15.75" customHeight="1" x14ac:dyDescent="0.3">
      <c r="B466" s="387" t="s">
        <v>1375</v>
      </c>
      <c r="C466" s="388">
        <v>122506</v>
      </c>
      <c r="D466" s="388" t="s">
        <v>3488</v>
      </c>
      <c r="E466" s="388" t="s">
        <v>1377</v>
      </c>
      <c r="F466" s="388" t="s">
        <v>3417</v>
      </c>
      <c r="G466" s="388" t="s">
        <v>1439</v>
      </c>
      <c r="H466" s="388" t="s">
        <v>1380</v>
      </c>
      <c r="I466" s="388" t="s">
        <v>1440</v>
      </c>
      <c r="J466" s="388" t="s">
        <v>3369</v>
      </c>
      <c r="K466" s="388" t="s">
        <v>1383</v>
      </c>
      <c r="L466" s="389">
        <v>0</v>
      </c>
      <c r="M466" s="390" t="s">
        <v>1807</v>
      </c>
      <c r="N466" s="390">
        <v>2785025</v>
      </c>
      <c r="O466" s="390" t="s">
        <v>2741</v>
      </c>
      <c r="P466" s="390" t="s">
        <v>1383</v>
      </c>
      <c r="Q466" s="388" t="s">
        <v>1383</v>
      </c>
      <c r="R466" s="390">
        <v>18</v>
      </c>
      <c r="S466" s="390" t="s">
        <v>3459</v>
      </c>
      <c r="T466" s="390">
        <v>39</v>
      </c>
      <c r="U466" s="390" t="s">
        <v>3463</v>
      </c>
      <c r="V466" s="390" t="s">
        <v>1383</v>
      </c>
      <c r="W466" s="390" t="s">
        <v>1383</v>
      </c>
      <c r="X466" s="390" t="s">
        <v>1383</v>
      </c>
      <c r="Y466" s="390" t="s">
        <v>1810</v>
      </c>
      <c r="Z466" s="391" t="s">
        <v>1812</v>
      </c>
    </row>
    <row r="467" spans="2:26" ht="15.75" customHeight="1" x14ac:dyDescent="0.3">
      <c r="B467" s="387" t="s">
        <v>1375</v>
      </c>
      <c r="C467" s="388">
        <v>122521</v>
      </c>
      <c r="D467" s="388" t="s">
        <v>3489</v>
      </c>
      <c r="E467" s="388" t="s">
        <v>1377</v>
      </c>
      <c r="F467" s="388" t="s">
        <v>3417</v>
      </c>
      <c r="G467" s="388" t="s">
        <v>1439</v>
      </c>
      <c r="H467" s="388" t="s">
        <v>1471</v>
      </c>
      <c r="I467" s="388" t="s">
        <v>1393</v>
      </c>
      <c r="J467" s="388" t="s">
        <v>1382</v>
      </c>
      <c r="K467" s="388" t="s">
        <v>1383</v>
      </c>
      <c r="L467" s="389">
        <v>0</v>
      </c>
      <c r="M467" s="390" t="s">
        <v>3091</v>
      </c>
      <c r="N467" s="390" t="s">
        <v>3092</v>
      </c>
      <c r="O467" s="390" t="s">
        <v>3478</v>
      </c>
      <c r="P467" s="390" t="s">
        <v>1383</v>
      </c>
      <c r="Q467" s="388" t="s">
        <v>1383</v>
      </c>
      <c r="R467" s="390">
        <v>3</v>
      </c>
      <c r="S467" s="390" t="s">
        <v>1430</v>
      </c>
      <c r="T467" s="390">
        <v>96</v>
      </c>
      <c r="U467" s="390" t="s">
        <v>1431</v>
      </c>
      <c r="V467" s="390">
        <v>3210</v>
      </c>
      <c r="W467" s="390" t="s">
        <v>3093</v>
      </c>
      <c r="X467" s="390">
        <v>30013</v>
      </c>
      <c r="Y467" s="390" t="s">
        <v>3090</v>
      </c>
      <c r="Z467" s="391" t="s">
        <v>3094</v>
      </c>
    </row>
    <row r="468" spans="2:26" ht="15.75" customHeight="1" x14ac:dyDescent="0.3">
      <c r="B468" s="387" t="s">
        <v>1375</v>
      </c>
      <c r="C468" s="388">
        <v>122522</v>
      </c>
      <c r="D468" s="388" t="s">
        <v>3490</v>
      </c>
      <c r="E468" s="388" t="s">
        <v>1377</v>
      </c>
      <c r="F468" s="388" t="s">
        <v>3417</v>
      </c>
      <c r="G468" s="388" t="s">
        <v>1439</v>
      </c>
      <c r="H468" s="388" t="s">
        <v>1471</v>
      </c>
      <c r="I468" s="388" t="s">
        <v>1393</v>
      </c>
      <c r="J468" s="388" t="s">
        <v>1382</v>
      </c>
      <c r="K468" s="388" t="s">
        <v>1383</v>
      </c>
      <c r="L468" s="389">
        <v>0</v>
      </c>
      <c r="M468" s="390" t="s">
        <v>2843</v>
      </c>
      <c r="N468" s="390" t="s">
        <v>2844</v>
      </c>
      <c r="O468" s="390" t="s">
        <v>3471</v>
      </c>
      <c r="P468" s="390" t="s">
        <v>1383</v>
      </c>
      <c r="Q468" s="388" t="s">
        <v>1383</v>
      </c>
      <c r="R468" s="390">
        <v>3</v>
      </c>
      <c r="S468" s="390" t="s">
        <v>1430</v>
      </c>
      <c r="T468" s="390">
        <v>96</v>
      </c>
      <c r="U468" s="390" t="s">
        <v>1431</v>
      </c>
      <c r="V468" s="390">
        <v>3208</v>
      </c>
      <c r="W468" s="390" t="s">
        <v>2277</v>
      </c>
      <c r="X468" s="390">
        <v>30038</v>
      </c>
      <c r="Y468" s="390" t="s">
        <v>2845</v>
      </c>
      <c r="Z468" s="391" t="s">
        <v>2846</v>
      </c>
    </row>
    <row r="469" spans="2:26" ht="15.75" customHeight="1" x14ac:dyDescent="0.3">
      <c r="B469" s="387" t="s">
        <v>1375</v>
      </c>
      <c r="C469" s="388">
        <v>122523</v>
      </c>
      <c r="D469" s="388" t="s">
        <v>3491</v>
      </c>
      <c r="E469" s="388" t="s">
        <v>1377</v>
      </c>
      <c r="F469" s="388" t="s">
        <v>3417</v>
      </c>
      <c r="G469" s="388" t="s">
        <v>1439</v>
      </c>
      <c r="H469" s="388" t="s">
        <v>1471</v>
      </c>
      <c r="I469" s="388" t="s">
        <v>1393</v>
      </c>
      <c r="J469" s="388" t="s">
        <v>1382</v>
      </c>
      <c r="K469" s="388" t="s">
        <v>1383</v>
      </c>
      <c r="L469" s="389">
        <v>0</v>
      </c>
      <c r="M469" s="390" t="s">
        <v>3492</v>
      </c>
      <c r="N469" s="390" t="s">
        <v>1429</v>
      </c>
      <c r="O469" s="390" t="s">
        <v>3471</v>
      </c>
      <c r="P469" s="390" t="s">
        <v>1383</v>
      </c>
      <c r="Q469" s="388" t="s">
        <v>1383</v>
      </c>
      <c r="R469" s="390">
        <v>3</v>
      </c>
      <c r="S469" s="390" t="s">
        <v>1430</v>
      </c>
      <c r="T469" s="390">
        <v>96</v>
      </c>
      <c r="U469" s="390" t="s">
        <v>1431</v>
      </c>
      <c r="V469" s="390">
        <v>3211</v>
      </c>
      <c r="W469" s="390" t="s">
        <v>1432</v>
      </c>
      <c r="X469" s="390">
        <v>30001</v>
      </c>
      <c r="Y469" s="390" t="s">
        <v>1427</v>
      </c>
      <c r="Z469" s="391" t="s">
        <v>1433</v>
      </c>
    </row>
    <row r="470" spans="2:26" ht="15.75" customHeight="1" x14ac:dyDescent="0.3">
      <c r="B470" s="387" t="s">
        <v>1375</v>
      </c>
      <c r="C470" s="388">
        <v>122524</v>
      </c>
      <c r="D470" s="388" t="s">
        <v>3493</v>
      </c>
      <c r="E470" s="388" t="s">
        <v>1377</v>
      </c>
      <c r="F470" s="388" t="s">
        <v>3417</v>
      </c>
      <c r="G470" s="388" t="s">
        <v>1439</v>
      </c>
      <c r="H470" s="388" t="s">
        <v>1471</v>
      </c>
      <c r="I470" s="388" t="s">
        <v>1393</v>
      </c>
      <c r="J470" s="388" t="s">
        <v>1382</v>
      </c>
      <c r="K470" s="388" t="s">
        <v>1383</v>
      </c>
      <c r="L470" s="389">
        <v>0</v>
      </c>
      <c r="M470" s="390" t="s">
        <v>3494</v>
      </c>
      <c r="N470" s="390" t="s">
        <v>1436</v>
      </c>
      <c r="O470" s="390" t="s">
        <v>3471</v>
      </c>
      <c r="P470" s="390" t="s">
        <v>1383</v>
      </c>
      <c r="Q470" s="388" t="s">
        <v>1383</v>
      </c>
      <c r="R470" s="390">
        <v>3</v>
      </c>
      <c r="S470" s="390" t="s">
        <v>1430</v>
      </c>
      <c r="T470" s="390">
        <v>96</v>
      </c>
      <c r="U470" s="390" t="s">
        <v>1431</v>
      </c>
      <c r="V470" s="390">
        <v>3207</v>
      </c>
      <c r="W470" s="390" t="s">
        <v>1434</v>
      </c>
      <c r="X470" s="390">
        <v>30028</v>
      </c>
      <c r="Y470" s="390" t="s">
        <v>1434</v>
      </c>
      <c r="Z470" s="391" t="s">
        <v>1437</v>
      </c>
    </row>
    <row r="471" spans="2:26" ht="15.75" customHeight="1" x14ac:dyDescent="0.3">
      <c r="B471" s="387" t="s">
        <v>1375</v>
      </c>
      <c r="C471" s="388">
        <v>122526</v>
      </c>
      <c r="D471" s="388" t="s">
        <v>3495</v>
      </c>
      <c r="E471" s="388" t="s">
        <v>1377</v>
      </c>
      <c r="F471" s="388" t="s">
        <v>3417</v>
      </c>
      <c r="G471" s="388" t="s">
        <v>1439</v>
      </c>
      <c r="H471" s="388" t="s">
        <v>1471</v>
      </c>
      <c r="I471" s="388" t="s">
        <v>1393</v>
      </c>
      <c r="J471" s="388" t="s">
        <v>1382</v>
      </c>
      <c r="K471" s="388" t="s">
        <v>1383</v>
      </c>
      <c r="L471" s="389">
        <v>0</v>
      </c>
      <c r="M471" s="390" t="e">
        <v>#N/A</v>
      </c>
      <c r="N471" s="390" t="s">
        <v>2849</v>
      </c>
      <c r="O471" s="390" t="s">
        <v>3471</v>
      </c>
      <c r="P471" s="390" t="s">
        <v>1383</v>
      </c>
      <c r="Q471" s="388" t="s">
        <v>1383</v>
      </c>
      <c r="R471" s="390">
        <v>3</v>
      </c>
      <c r="S471" s="390" t="s">
        <v>1430</v>
      </c>
      <c r="T471" s="390"/>
      <c r="U471" s="390" t="e">
        <v>#N/A</v>
      </c>
      <c r="V471" s="390" t="e">
        <v>#N/A</v>
      </c>
      <c r="W471" s="390" t="e">
        <v>#N/A</v>
      </c>
      <c r="X471" s="390" t="e">
        <v>#N/A</v>
      </c>
      <c r="Y471" s="390" t="e">
        <v>#N/A</v>
      </c>
      <c r="Z471" s="391" t="e">
        <v>#N/A</v>
      </c>
    </row>
    <row r="472" spans="2:26" ht="15.75" customHeight="1" x14ac:dyDescent="0.3">
      <c r="B472" s="387" t="s">
        <v>1375</v>
      </c>
      <c r="C472" s="388">
        <v>122527</v>
      </c>
      <c r="D472" s="388" t="s">
        <v>3496</v>
      </c>
      <c r="E472" s="388" t="s">
        <v>1377</v>
      </c>
      <c r="F472" s="388" t="s">
        <v>3417</v>
      </c>
      <c r="G472" s="388" t="s">
        <v>1439</v>
      </c>
      <c r="H472" s="388" t="s">
        <v>1471</v>
      </c>
      <c r="I472" s="388" t="s">
        <v>1393</v>
      </c>
      <c r="J472" s="388" t="s">
        <v>1382</v>
      </c>
      <c r="K472" s="388" t="s">
        <v>1383</v>
      </c>
      <c r="L472" s="389">
        <v>0</v>
      </c>
      <c r="M472" s="390" t="s">
        <v>3497</v>
      </c>
      <c r="N472" s="390" t="s">
        <v>2771</v>
      </c>
      <c r="O472" s="390" t="s">
        <v>3498</v>
      </c>
      <c r="P472" s="390" t="s">
        <v>1383</v>
      </c>
      <c r="Q472" s="388" t="s">
        <v>1383</v>
      </c>
      <c r="R472" s="390">
        <v>11</v>
      </c>
      <c r="S472" s="390" t="s">
        <v>1608</v>
      </c>
      <c r="T472" s="390">
        <v>71</v>
      </c>
      <c r="U472" s="390" t="s">
        <v>1938</v>
      </c>
      <c r="V472" s="390">
        <v>9251</v>
      </c>
      <c r="W472" s="390" t="s">
        <v>2370</v>
      </c>
      <c r="X472" s="390">
        <v>110531</v>
      </c>
      <c r="Y472" s="390" t="s">
        <v>2371</v>
      </c>
      <c r="Z472" s="391" t="s">
        <v>2372</v>
      </c>
    </row>
    <row r="473" spans="2:26" ht="15.75" customHeight="1" x14ac:dyDescent="0.3">
      <c r="B473" s="387" t="s">
        <v>1375</v>
      </c>
      <c r="C473" s="388">
        <v>122529</v>
      </c>
      <c r="D473" s="388" t="s">
        <v>3499</v>
      </c>
      <c r="E473" s="388" t="s">
        <v>1377</v>
      </c>
      <c r="F473" s="388" t="s">
        <v>3417</v>
      </c>
      <c r="G473" s="388" t="s">
        <v>1439</v>
      </c>
      <c r="H473" s="388" t="s">
        <v>1471</v>
      </c>
      <c r="I473" s="388" t="s">
        <v>1393</v>
      </c>
      <c r="J473" s="388" t="s">
        <v>1382</v>
      </c>
      <c r="K473" s="388" t="s">
        <v>1383</v>
      </c>
      <c r="L473" s="389">
        <v>0</v>
      </c>
      <c r="M473" s="390" t="s">
        <v>3500</v>
      </c>
      <c r="N473" s="390" t="s">
        <v>1615</v>
      </c>
      <c r="O473" s="390" t="s">
        <v>3498</v>
      </c>
      <c r="P473" s="390" t="s">
        <v>1383</v>
      </c>
      <c r="Q473" s="388" t="s">
        <v>1383</v>
      </c>
      <c r="R473" s="390">
        <v>11</v>
      </c>
      <c r="S473" s="390" t="s">
        <v>1608</v>
      </c>
      <c r="T473" s="390">
        <v>24</v>
      </c>
      <c r="U473" s="390" t="s">
        <v>1616</v>
      </c>
      <c r="V473" s="390">
        <v>9117</v>
      </c>
      <c r="W473" s="390" t="s">
        <v>1617</v>
      </c>
      <c r="X473" s="390">
        <v>110441</v>
      </c>
      <c r="Y473" s="390" t="s">
        <v>1618</v>
      </c>
      <c r="Z473" s="391" t="s">
        <v>1619</v>
      </c>
    </row>
    <row r="474" spans="2:26" ht="15.75" customHeight="1" x14ac:dyDescent="0.3">
      <c r="B474" s="387" t="s">
        <v>1375</v>
      </c>
      <c r="C474" s="388">
        <v>122530</v>
      </c>
      <c r="D474" s="388" t="s">
        <v>3501</v>
      </c>
      <c r="E474" s="388" t="s">
        <v>1377</v>
      </c>
      <c r="F474" s="388" t="s">
        <v>3417</v>
      </c>
      <c r="G474" s="388" t="s">
        <v>1439</v>
      </c>
      <c r="H474" s="388" t="s">
        <v>1471</v>
      </c>
      <c r="I474" s="388" t="s">
        <v>1393</v>
      </c>
      <c r="J474" s="388" t="s">
        <v>1382</v>
      </c>
      <c r="K474" s="388" t="s">
        <v>1383</v>
      </c>
      <c r="L474" s="389">
        <v>0</v>
      </c>
      <c r="M474" s="390" t="s">
        <v>2379</v>
      </c>
      <c r="N474" s="390" t="s">
        <v>2380</v>
      </c>
      <c r="O474" s="390" t="s">
        <v>3498</v>
      </c>
      <c r="P474" s="390" t="s">
        <v>1383</v>
      </c>
      <c r="Q474" s="388" t="s">
        <v>1383</v>
      </c>
      <c r="R474" s="390">
        <v>11</v>
      </c>
      <c r="S474" s="390" t="s">
        <v>1608</v>
      </c>
      <c r="T474" s="390">
        <v>28</v>
      </c>
      <c r="U474" s="390" t="s">
        <v>1609</v>
      </c>
      <c r="V474" s="390">
        <v>9223</v>
      </c>
      <c r="W474" s="390" t="s">
        <v>1610</v>
      </c>
      <c r="X474" s="390">
        <v>110224</v>
      </c>
      <c r="Y474" s="390" t="s">
        <v>1611</v>
      </c>
      <c r="Z474" s="391" t="s">
        <v>2382</v>
      </c>
    </row>
    <row r="475" spans="2:26" ht="15.75" customHeight="1" x14ac:dyDescent="0.3">
      <c r="B475" s="387" t="s">
        <v>1375</v>
      </c>
      <c r="C475" s="388">
        <v>122531</v>
      </c>
      <c r="D475" s="388" t="s">
        <v>3502</v>
      </c>
      <c r="E475" s="388" t="s">
        <v>1377</v>
      </c>
      <c r="F475" s="388" t="s">
        <v>3417</v>
      </c>
      <c r="G475" s="388" t="s">
        <v>1439</v>
      </c>
      <c r="H475" s="388" t="s">
        <v>1471</v>
      </c>
      <c r="I475" s="388" t="s">
        <v>1530</v>
      </c>
      <c r="J475" s="388" t="s">
        <v>1382</v>
      </c>
      <c r="K475" s="388" t="s">
        <v>1383</v>
      </c>
      <c r="L475" s="389">
        <v>0</v>
      </c>
      <c r="M475" s="390" t="s">
        <v>3503</v>
      </c>
      <c r="N475" s="390" t="s">
        <v>1412</v>
      </c>
      <c r="O475" s="390" t="s">
        <v>3478</v>
      </c>
      <c r="P475" s="390" t="s">
        <v>1383</v>
      </c>
      <c r="Q475" s="388" t="s">
        <v>1383</v>
      </c>
      <c r="R475" s="390">
        <v>2</v>
      </c>
      <c r="S475" s="390" t="s">
        <v>1406</v>
      </c>
      <c r="T475" s="390">
        <v>89</v>
      </c>
      <c r="U475" s="390" t="s">
        <v>1413</v>
      </c>
      <c r="V475" s="390">
        <v>208125</v>
      </c>
      <c r="W475" s="390" t="s">
        <v>1414</v>
      </c>
      <c r="X475" s="390">
        <v>20095</v>
      </c>
      <c r="Y475" s="390" t="s">
        <v>1415</v>
      </c>
      <c r="Z475" s="391" t="s">
        <v>2547</v>
      </c>
    </row>
    <row r="476" spans="2:26" ht="15.75" customHeight="1" x14ac:dyDescent="0.3">
      <c r="B476" s="387" t="s">
        <v>1375</v>
      </c>
      <c r="C476" s="388">
        <v>122532</v>
      </c>
      <c r="D476" s="388" t="s">
        <v>3504</v>
      </c>
      <c r="E476" s="388" t="s">
        <v>1377</v>
      </c>
      <c r="F476" s="388" t="s">
        <v>3417</v>
      </c>
      <c r="G476" s="388" t="s">
        <v>1439</v>
      </c>
      <c r="H476" s="388" t="s">
        <v>1380</v>
      </c>
      <c r="I476" s="388" t="s">
        <v>1393</v>
      </c>
      <c r="J476" s="388" t="s">
        <v>3369</v>
      </c>
      <c r="K476" s="388" t="s">
        <v>1383</v>
      </c>
      <c r="L476" s="389">
        <v>0</v>
      </c>
      <c r="M476" s="390" t="s">
        <v>3505</v>
      </c>
      <c r="N476" s="390">
        <v>7769061</v>
      </c>
      <c r="O476" s="390" t="s">
        <v>3433</v>
      </c>
      <c r="P476" s="390" t="s">
        <v>1383</v>
      </c>
      <c r="Q476" s="388" t="s">
        <v>1383</v>
      </c>
      <c r="R476" s="390">
        <v>19</v>
      </c>
      <c r="S476" s="390" t="s">
        <v>1841</v>
      </c>
      <c r="T476" s="390">
        <v>69</v>
      </c>
      <c r="U476" s="390" t="s">
        <v>3506</v>
      </c>
      <c r="V476" s="390" t="s">
        <v>1383</v>
      </c>
      <c r="W476" s="390" t="s">
        <v>1383</v>
      </c>
      <c r="X476" s="390" t="s">
        <v>1383</v>
      </c>
      <c r="Y476" s="390" t="s">
        <v>3507</v>
      </c>
      <c r="Z476" s="391" t="s">
        <v>3113</v>
      </c>
    </row>
    <row r="477" spans="2:26" ht="15.75" customHeight="1" x14ac:dyDescent="0.3">
      <c r="B477" s="387" t="s">
        <v>1375</v>
      </c>
      <c r="C477" s="388">
        <v>122533</v>
      </c>
      <c r="D477" s="388" t="s">
        <v>3508</v>
      </c>
      <c r="E477" s="388" t="s">
        <v>1377</v>
      </c>
      <c r="F477" s="388" t="s">
        <v>3417</v>
      </c>
      <c r="G477" s="388" t="s">
        <v>1439</v>
      </c>
      <c r="H477" s="388" t="s">
        <v>1380</v>
      </c>
      <c r="I477" s="388" t="s">
        <v>1393</v>
      </c>
      <c r="J477" s="388" t="s">
        <v>3369</v>
      </c>
      <c r="K477" s="388" t="s">
        <v>1383</v>
      </c>
      <c r="L477" s="389">
        <v>0</v>
      </c>
      <c r="M477" s="390" t="s">
        <v>3139</v>
      </c>
      <c r="N477" s="390">
        <v>7906849</v>
      </c>
      <c r="O477" s="390" t="s">
        <v>3433</v>
      </c>
      <c r="P477" s="390" t="s">
        <v>1383</v>
      </c>
      <c r="Q477" s="388" t="s">
        <v>1383</v>
      </c>
      <c r="R477" s="390">
        <v>19</v>
      </c>
      <c r="S477" s="390" t="s">
        <v>1841</v>
      </c>
      <c r="T477" s="390">
        <v>67</v>
      </c>
      <c r="U477" s="390" t="s">
        <v>1932</v>
      </c>
      <c r="V477" s="390" t="s">
        <v>1383</v>
      </c>
      <c r="W477" s="390" t="s">
        <v>1383</v>
      </c>
      <c r="X477" s="390" t="s">
        <v>1383</v>
      </c>
      <c r="Y477" s="390" t="s">
        <v>3509</v>
      </c>
      <c r="Z477" s="391" t="s">
        <v>3142</v>
      </c>
    </row>
    <row r="478" spans="2:26" ht="15.75" customHeight="1" x14ac:dyDescent="0.3">
      <c r="B478" s="387" t="s">
        <v>1375</v>
      </c>
      <c r="C478" s="388">
        <v>122534</v>
      </c>
      <c r="D478" s="388" t="s">
        <v>3510</v>
      </c>
      <c r="E478" s="388" t="s">
        <v>1377</v>
      </c>
      <c r="F478" s="388" t="s">
        <v>3417</v>
      </c>
      <c r="G478" s="388" t="s">
        <v>1439</v>
      </c>
      <c r="H478" s="388" t="s">
        <v>1471</v>
      </c>
      <c r="I478" s="388" t="s">
        <v>1393</v>
      </c>
      <c r="J478" s="388" t="s">
        <v>1382</v>
      </c>
      <c r="K478" s="388" t="s">
        <v>1383</v>
      </c>
      <c r="L478" s="389">
        <v>0</v>
      </c>
      <c r="M478" s="390" t="s">
        <v>2938</v>
      </c>
      <c r="N478" s="390" t="s">
        <v>3511</v>
      </c>
      <c r="O478" s="390" t="s">
        <v>3498</v>
      </c>
      <c r="P478" s="390" t="s">
        <v>1383</v>
      </c>
      <c r="Q478" s="388" t="s">
        <v>1383</v>
      </c>
      <c r="R478" s="390">
        <v>11</v>
      </c>
      <c r="S478" s="390" t="s">
        <v>1608</v>
      </c>
      <c r="T478" s="390">
        <v>28</v>
      </c>
      <c r="U478" s="390" t="s">
        <v>1609</v>
      </c>
      <c r="V478" s="390">
        <v>9205</v>
      </c>
      <c r="W478" s="390" t="s">
        <v>2378</v>
      </c>
      <c r="X478" s="390">
        <v>110119</v>
      </c>
      <c r="Y478" s="390" t="s">
        <v>2940</v>
      </c>
      <c r="Z478" s="391" t="s">
        <v>2941</v>
      </c>
    </row>
    <row r="479" spans="2:26" ht="15.75" customHeight="1" x14ac:dyDescent="0.3">
      <c r="B479" s="387" t="s">
        <v>1375</v>
      </c>
      <c r="C479" s="388">
        <v>122535</v>
      </c>
      <c r="D479" s="388" t="s">
        <v>3512</v>
      </c>
      <c r="E479" s="388" t="s">
        <v>1377</v>
      </c>
      <c r="F479" s="388" t="s">
        <v>3417</v>
      </c>
      <c r="G479" s="388" t="s">
        <v>1439</v>
      </c>
      <c r="H479" s="388" t="s">
        <v>1471</v>
      </c>
      <c r="I479" s="388" t="s">
        <v>1393</v>
      </c>
      <c r="J479" s="388" t="s">
        <v>3369</v>
      </c>
      <c r="K479" s="388" t="s">
        <v>1383</v>
      </c>
      <c r="L479" s="389">
        <v>0</v>
      </c>
      <c r="M479" s="390" t="s">
        <v>2931</v>
      </c>
      <c r="N479" s="390">
        <v>6871051</v>
      </c>
      <c r="O479" s="392" t="s">
        <v>3513</v>
      </c>
      <c r="P479" s="390" t="s">
        <v>1383</v>
      </c>
      <c r="Q479" s="388" t="s">
        <v>1383</v>
      </c>
      <c r="R479" s="390">
        <v>11</v>
      </c>
      <c r="S479" s="390" t="s">
        <v>1608</v>
      </c>
      <c r="T479" s="390" t="s">
        <v>3514</v>
      </c>
      <c r="U479" s="390" t="s">
        <v>3514</v>
      </c>
      <c r="V479" s="390" t="s">
        <v>1383</v>
      </c>
      <c r="W479" s="390" t="s">
        <v>1383</v>
      </c>
      <c r="X479" s="390" t="s">
        <v>1383</v>
      </c>
      <c r="Y479" s="390" t="s">
        <v>2932</v>
      </c>
      <c r="Z479" s="391" t="s">
        <v>2933</v>
      </c>
    </row>
    <row r="480" spans="2:26" ht="15.75" customHeight="1" x14ac:dyDescent="0.3">
      <c r="B480" s="387" t="s">
        <v>1375</v>
      </c>
      <c r="C480" s="388">
        <v>122536</v>
      </c>
      <c r="D480" s="388" t="s">
        <v>3515</v>
      </c>
      <c r="E480" s="388" t="s">
        <v>1377</v>
      </c>
      <c r="F480" s="388" t="s">
        <v>3417</v>
      </c>
      <c r="G480" s="388" t="s">
        <v>1439</v>
      </c>
      <c r="H480" s="388" t="s">
        <v>1471</v>
      </c>
      <c r="I480" s="388" t="s">
        <v>1393</v>
      </c>
      <c r="J480" s="388" t="s">
        <v>1382</v>
      </c>
      <c r="K480" s="388" t="s">
        <v>1383</v>
      </c>
      <c r="L480" s="389">
        <v>0</v>
      </c>
      <c r="M480" s="390" t="s">
        <v>1626</v>
      </c>
      <c r="N480" s="390" t="s">
        <v>1627</v>
      </c>
      <c r="O480" s="390" t="s">
        <v>3498</v>
      </c>
      <c r="P480" s="390" t="s">
        <v>1383</v>
      </c>
      <c r="Q480" s="388" t="s">
        <v>1383</v>
      </c>
      <c r="R480" s="390">
        <v>11</v>
      </c>
      <c r="S480" s="390" t="s">
        <v>1608</v>
      </c>
      <c r="T480" s="390">
        <v>27</v>
      </c>
      <c r="U480" s="390" t="s">
        <v>1608</v>
      </c>
      <c r="V480" s="390">
        <v>9212</v>
      </c>
      <c r="W480" s="390" t="s">
        <v>1628</v>
      </c>
      <c r="X480" s="390">
        <v>110535</v>
      </c>
      <c r="Y480" s="390" t="s">
        <v>1629</v>
      </c>
      <c r="Z480" s="391" t="s">
        <v>1630</v>
      </c>
    </row>
    <row r="481" spans="2:26" ht="15.75" customHeight="1" x14ac:dyDescent="0.3">
      <c r="B481" s="387" t="s">
        <v>1375</v>
      </c>
      <c r="C481" s="388">
        <v>122537</v>
      </c>
      <c r="D481" s="388" t="s">
        <v>3516</v>
      </c>
      <c r="E481" s="388" t="s">
        <v>1377</v>
      </c>
      <c r="F481" s="388" t="s">
        <v>3417</v>
      </c>
      <c r="G481" s="388" t="s">
        <v>1439</v>
      </c>
      <c r="H481" s="388" t="s">
        <v>1471</v>
      </c>
      <c r="I481" s="388" t="s">
        <v>1393</v>
      </c>
      <c r="J481" s="388" t="s">
        <v>1382</v>
      </c>
      <c r="K481" s="388" t="s">
        <v>1383</v>
      </c>
      <c r="L481" s="389">
        <v>0</v>
      </c>
      <c r="M481" s="390" t="s">
        <v>3517</v>
      </c>
      <c r="N481" s="390" t="s">
        <v>3311</v>
      </c>
      <c r="O481" s="390" t="s">
        <v>3498</v>
      </c>
      <c r="P481" s="390" t="s">
        <v>1383</v>
      </c>
      <c r="Q481" s="388" t="s">
        <v>1383</v>
      </c>
      <c r="R481" s="390">
        <v>11</v>
      </c>
      <c r="S481" s="390" t="s">
        <v>1608</v>
      </c>
      <c r="T481" s="390">
        <v>71</v>
      </c>
      <c r="U481" s="390" t="s">
        <v>1938</v>
      </c>
      <c r="V481" s="390">
        <v>9234</v>
      </c>
      <c r="W481" s="390" t="s">
        <v>3312</v>
      </c>
      <c r="X481" s="390">
        <v>110473</v>
      </c>
      <c r="Y481" s="390" t="s">
        <v>3313</v>
      </c>
      <c r="Z481" s="391" t="s">
        <v>3314</v>
      </c>
    </row>
    <row r="482" spans="2:26" ht="15.75" customHeight="1" x14ac:dyDescent="0.3">
      <c r="B482" s="387" t="s">
        <v>1375</v>
      </c>
      <c r="C482" s="388">
        <v>122538</v>
      </c>
      <c r="D482" s="388" t="s">
        <v>3518</v>
      </c>
      <c r="E482" s="388" t="s">
        <v>1377</v>
      </c>
      <c r="F482" s="388" t="s">
        <v>3417</v>
      </c>
      <c r="G482" s="388" t="s">
        <v>1439</v>
      </c>
      <c r="H482" s="388" t="s">
        <v>1471</v>
      </c>
      <c r="I482" s="388" t="s">
        <v>1393</v>
      </c>
      <c r="J482" s="388" t="s">
        <v>1382</v>
      </c>
      <c r="K482" s="388" t="s">
        <v>1383</v>
      </c>
      <c r="L482" s="389">
        <v>0</v>
      </c>
      <c r="M482" s="390" t="s">
        <v>2943</v>
      </c>
      <c r="N482" s="390" t="s">
        <v>2944</v>
      </c>
      <c r="O482" s="390" t="s">
        <v>3498</v>
      </c>
      <c r="P482" s="390" t="s">
        <v>1383</v>
      </c>
      <c r="Q482" s="388" t="s">
        <v>1383</v>
      </c>
      <c r="R482" s="390">
        <v>11</v>
      </c>
      <c r="S482" s="390" t="s">
        <v>1608</v>
      </c>
      <c r="T482" s="390">
        <v>71</v>
      </c>
      <c r="U482" s="390" t="s">
        <v>1938</v>
      </c>
      <c r="V482" s="390">
        <v>9257</v>
      </c>
      <c r="W482" s="390" t="s">
        <v>1938</v>
      </c>
      <c r="X482" s="390">
        <v>110292</v>
      </c>
      <c r="Y482" s="390" t="s">
        <v>2945</v>
      </c>
      <c r="Z482" s="391" t="s">
        <v>2946</v>
      </c>
    </row>
    <row r="483" spans="2:26" ht="15.75" customHeight="1" x14ac:dyDescent="0.3">
      <c r="B483" s="387" t="s">
        <v>1375</v>
      </c>
      <c r="C483" s="388">
        <v>122539</v>
      </c>
      <c r="D483" s="388" t="s">
        <v>3519</v>
      </c>
      <c r="E483" s="388" t="s">
        <v>1377</v>
      </c>
      <c r="F483" s="388" t="s">
        <v>3417</v>
      </c>
      <c r="G483" s="388" t="s">
        <v>1439</v>
      </c>
      <c r="H483" s="388" t="s">
        <v>1471</v>
      </c>
      <c r="I483" s="388" t="s">
        <v>1393</v>
      </c>
      <c r="J483" s="388" t="s">
        <v>1382</v>
      </c>
      <c r="K483" s="388" t="s">
        <v>1383</v>
      </c>
      <c r="L483" s="389">
        <v>0</v>
      </c>
      <c r="M483" s="390" t="s">
        <v>2341</v>
      </c>
      <c r="N483" s="390" t="s">
        <v>2342</v>
      </c>
      <c r="O483" s="390" t="s">
        <v>3498</v>
      </c>
      <c r="P483" s="390" t="s">
        <v>1383</v>
      </c>
      <c r="Q483" s="388" t="s">
        <v>1383</v>
      </c>
      <c r="R483" s="390">
        <v>11</v>
      </c>
      <c r="S483" s="390" t="s">
        <v>1608</v>
      </c>
      <c r="T483" s="390">
        <v>25</v>
      </c>
      <c r="U483" s="390" t="s">
        <v>2343</v>
      </c>
      <c r="V483" s="390">
        <v>5403</v>
      </c>
      <c r="W483" s="390" t="s">
        <v>2344</v>
      </c>
      <c r="X483" s="390">
        <v>110254</v>
      </c>
      <c r="Y483" s="390" t="s">
        <v>2344</v>
      </c>
      <c r="Z483" s="391" t="s">
        <v>2345</v>
      </c>
    </row>
    <row r="484" spans="2:26" ht="15.75" customHeight="1" x14ac:dyDescent="0.3">
      <c r="B484" s="387" t="s">
        <v>1375</v>
      </c>
      <c r="C484" s="388">
        <v>122540</v>
      </c>
      <c r="D484" s="388" t="s">
        <v>3520</v>
      </c>
      <c r="E484" s="388" t="s">
        <v>1377</v>
      </c>
      <c r="F484" s="388" t="s">
        <v>3417</v>
      </c>
      <c r="G484" s="388" t="s">
        <v>1439</v>
      </c>
      <c r="H484" s="388" t="s">
        <v>1471</v>
      </c>
      <c r="I484" s="388" t="s">
        <v>1530</v>
      </c>
      <c r="J484" s="388" t="s">
        <v>1382</v>
      </c>
      <c r="K484" s="388" t="s">
        <v>1383</v>
      </c>
      <c r="L484" s="389">
        <v>0</v>
      </c>
      <c r="M484" s="390" t="s">
        <v>2947</v>
      </c>
      <c r="N484" s="390" t="s">
        <v>2258</v>
      </c>
      <c r="O484" s="390" t="s">
        <v>3498</v>
      </c>
      <c r="P484" s="390" t="s">
        <v>1383</v>
      </c>
      <c r="Q484" s="388" t="s">
        <v>1383</v>
      </c>
      <c r="R484" s="390">
        <v>11</v>
      </c>
      <c r="S484" s="390" t="s">
        <v>1608</v>
      </c>
      <c r="T484" s="390">
        <v>28</v>
      </c>
      <c r="U484" s="390" t="s">
        <v>1609</v>
      </c>
      <c r="V484" s="390">
        <v>9237</v>
      </c>
      <c r="W484" s="390" t="s">
        <v>2948</v>
      </c>
      <c r="X484" s="390">
        <v>110558</v>
      </c>
      <c r="Y484" s="390" t="s">
        <v>1895</v>
      </c>
      <c r="Z484" s="391" t="s">
        <v>2949</v>
      </c>
    </row>
    <row r="485" spans="2:26" ht="15.75" customHeight="1" x14ac:dyDescent="0.3">
      <c r="B485" s="387" t="s">
        <v>1375</v>
      </c>
      <c r="C485" s="388">
        <v>122541</v>
      </c>
      <c r="D485" s="388" t="s">
        <v>3521</v>
      </c>
      <c r="E485" s="388" t="s">
        <v>1377</v>
      </c>
      <c r="F485" s="388" t="s">
        <v>3417</v>
      </c>
      <c r="G485" s="388" t="s">
        <v>1439</v>
      </c>
      <c r="H485" s="388" t="s">
        <v>1471</v>
      </c>
      <c r="I485" s="388" t="s">
        <v>1530</v>
      </c>
      <c r="J485" s="388" t="s">
        <v>1382</v>
      </c>
      <c r="K485" s="388" t="s">
        <v>1383</v>
      </c>
      <c r="L485" s="389">
        <v>0</v>
      </c>
      <c r="M485" s="390" t="s">
        <v>2169</v>
      </c>
      <c r="N485" s="390" t="s">
        <v>3347</v>
      </c>
      <c r="O485" s="390" t="s">
        <v>3498</v>
      </c>
      <c r="P485" s="390" t="s">
        <v>1383</v>
      </c>
      <c r="Q485" s="388" t="s">
        <v>1383</v>
      </c>
      <c r="R485" s="390">
        <v>11</v>
      </c>
      <c r="S485" s="390" t="s">
        <v>1608</v>
      </c>
      <c r="T485" s="390">
        <v>27</v>
      </c>
      <c r="U485" s="390" t="s">
        <v>1608</v>
      </c>
      <c r="V485" s="390">
        <v>9226</v>
      </c>
      <c r="W485" s="390" t="s">
        <v>2108</v>
      </c>
      <c r="X485" s="390">
        <v>110413</v>
      </c>
      <c r="Y485" s="390" t="s">
        <v>2170</v>
      </c>
      <c r="Z485" s="391" t="s">
        <v>2171</v>
      </c>
    </row>
    <row r="486" spans="2:26" ht="15.75" customHeight="1" x14ac:dyDescent="0.3">
      <c r="B486" s="387" t="s">
        <v>1375</v>
      </c>
      <c r="C486" s="388">
        <v>122543</v>
      </c>
      <c r="D486" s="388" t="s">
        <v>3522</v>
      </c>
      <c r="E486" s="388" t="s">
        <v>1377</v>
      </c>
      <c r="F486" s="388" t="s">
        <v>3417</v>
      </c>
      <c r="G486" s="388" t="s">
        <v>1439</v>
      </c>
      <c r="H486" s="388" t="s">
        <v>1380</v>
      </c>
      <c r="I486" s="388" t="s">
        <v>1393</v>
      </c>
      <c r="J486" s="388" t="s">
        <v>3369</v>
      </c>
      <c r="K486" s="388" t="s">
        <v>1383</v>
      </c>
      <c r="L486" s="389">
        <v>0</v>
      </c>
      <c r="M486" s="390" t="e">
        <v>#N/A</v>
      </c>
      <c r="N486" s="390">
        <v>7316515</v>
      </c>
      <c r="O486" s="390" t="s">
        <v>3433</v>
      </c>
      <c r="P486" s="390" t="s">
        <v>1383</v>
      </c>
      <c r="Q486" s="388" t="s">
        <v>1383</v>
      </c>
      <c r="R486" s="390">
        <v>19</v>
      </c>
      <c r="S486" s="390" t="s">
        <v>1841</v>
      </c>
      <c r="T486" s="390">
        <v>67</v>
      </c>
      <c r="U486" s="390" t="s">
        <v>1932</v>
      </c>
      <c r="V486" s="390" t="s">
        <v>1383</v>
      </c>
      <c r="W486" s="390" t="s">
        <v>1383</v>
      </c>
      <c r="X486" s="390" t="s">
        <v>1383</v>
      </c>
      <c r="Y486" s="390" t="s">
        <v>3523</v>
      </c>
      <c r="Z486" s="391" t="e">
        <v>#N/A</v>
      </c>
    </row>
    <row r="487" spans="2:26" ht="15.75" customHeight="1" x14ac:dyDescent="0.3">
      <c r="B487" s="387" t="s">
        <v>1375</v>
      </c>
      <c r="C487" s="388">
        <v>122551</v>
      </c>
      <c r="D487" s="388" t="s">
        <v>3524</v>
      </c>
      <c r="E487" s="388" t="s">
        <v>1377</v>
      </c>
      <c r="F487" s="388" t="s">
        <v>3417</v>
      </c>
      <c r="G487" s="388" t="s">
        <v>1439</v>
      </c>
      <c r="H487" s="388" t="s">
        <v>1471</v>
      </c>
      <c r="I487" s="388" t="s">
        <v>1393</v>
      </c>
      <c r="J487" s="388" t="s">
        <v>1382</v>
      </c>
      <c r="K487" s="388" t="s">
        <v>1383</v>
      </c>
      <c r="L487" s="389">
        <v>0</v>
      </c>
      <c r="M487" s="390" t="s">
        <v>1394</v>
      </c>
      <c r="N487" s="390" t="s">
        <v>1395</v>
      </c>
      <c r="O487" s="390" t="s">
        <v>3525</v>
      </c>
      <c r="P487" s="390" t="s">
        <v>1383</v>
      </c>
      <c r="Q487" s="388" t="s">
        <v>1383</v>
      </c>
      <c r="R487" s="390">
        <v>1</v>
      </c>
      <c r="S487" s="390" t="s">
        <v>1388</v>
      </c>
      <c r="T487" s="390">
        <v>9</v>
      </c>
      <c r="U487" s="390" t="s">
        <v>1392</v>
      </c>
      <c r="V487" s="390">
        <v>8527</v>
      </c>
      <c r="W487" s="390" t="s">
        <v>1396</v>
      </c>
      <c r="X487" s="390">
        <v>10087</v>
      </c>
      <c r="Y487" s="390" t="s">
        <v>1397</v>
      </c>
      <c r="Z487" s="391" t="s">
        <v>1398</v>
      </c>
    </row>
    <row r="488" spans="2:26" ht="15.75" customHeight="1" x14ac:dyDescent="0.3">
      <c r="B488" s="387" t="s">
        <v>1375</v>
      </c>
      <c r="C488" s="388">
        <v>122552</v>
      </c>
      <c r="D488" s="388" t="s">
        <v>3526</v>
      </c>
      <c r="E488" s="388" t="s">
        <v>1377</v>
      </c>
      <c r="F488" s="388" t="s">
        <v>3417</v>
      </c>
      <c r="G488" s="388" t="s">
        <v>1439</v>
      </c>
      <c r="H488" s="388" t="s">
        <v>1471</v>
      </c>
      <c r="I488" s="388" t="s">
        <v>1530</v>
      </c>
      <c r="J488" s="388" t="s">
        <v>1382</v>
      </c>
      <c r="K488" s="388" t="s">
        <v>1383</v>
      </c>
      <c r="L488" s="389">
        <v>0</v>
      </c>
      <c r="M488" s="390" t="s">
        <v>3297</v>
      </c>
      <c r="N488" s="390" t="s">
        <v>3527</v>
      </c>
      <c r="O488" s="390" t="s">
        <v>3498</v>
      </c>
      <c r="P488" s="390" t="s">
        <v>1383</v>
      </c>
      <c r="Q488" s="388" t="s">
        <v>1383</v>
      </c>
      <c r="R488" s="390">
        <v>1</v>
      </c>
      <c r="S488" s="390" t="s">
        <v>1388</v>
      </c>
      <c r="T488" s="390">
        <v>12</v>
      </c>
      <c r="U488" s="390" t="s">
        <v>2018</v>
      </c>
      <c r="V488" s="390">
        <v>8516</v>
      </c>
      <c r="W488" s="390" t="s">
        <v>3298</v>
      </c>
      <c r="X488" s="390">
        <v>10133</v>
      </c>
      <c r="Y488" s="390" t="s">
        <v>3299</v>
      </c>
      <c r="Z488" s="391" t="s">
        <v>3300</v>
      </c>
    </row>
    <row r="489" spans="2:26" ht="15.75" customHeight="1" x14ac:dyDescent="0.3">
      <c r="B489" s="387" t="s">
        <v>1375</v>
      </c>
      <c r="C489" s="388">
        <v>122553</v>
      </c>
      <c r="D489" s="388" t="s">
        <v>3528</v>
      </c>
      <c r="E489" s="388" t="s">
        <v>1377</v>
      </c>
      <c r="F489" s="388" t="s">
        <v>3417</v>
      </c>
      <c r="G489" s="388" t="s">
        <v>1439</v>
      </c>
      <c r="H489" s="388" t="s">
        <v>1471</v>
      </c>
      <c r="I489" s="388" t="s">
        <v>1393</v>
      </c>
      <c r="J489" s="388" t="s">
        <v>1382</v>
      </c>
      <c r="K489" s="388" t="s">
        <v>1383</v>
      </c>
      <c r="L489" s="389">
        <v>0</v>
      </c>
      <c r="M489" s="390" t="s">
        <v>3529</v>
      </c>
      <c r="N489" s="390" t="s">
        <v>1401</v>
      </c>
      <c r="O489" s="390" t="s">
        <v>3498</v>
      </c>
      <c r="P489" s="390" t="s">
        <v>1383</v>
      </c>
      <c r="Q489" s="388" t="s">
        <v>1383</v>
      </c>
      <c r="R489" s="390">
        <v>1</v>
      </c>
      <c r="S489" s="390" t="s">
        <v>1388</v>
      </c>
      <c r="T489" s="390">
        <v>9</v>
      </c>
      <c r="U489" s="390" t="s">
        <v>1392</v>
      </c>
      <c r="V489" s="390">
        <v>8535</v>
      </c>
      <c r="W489" s="390" t="s">
        <v>1399</v>
      </c>
      <c r="X489" s="390">
        <v>10032</v>
      </c>
      <c r="Y489" s="390" t="s">
        <v>1399</v>
      </c>
      <c r="Z489" s="391" t="s">
        <v>1402</v>
      </c>
    </row>
    <row r="490" spans="2:26" ht="15.75" customHeight="1" x14ac:dyDescent="0.3">
      <c r="B490" s="387" t="s">
        <v>1375</v>
      </c>
      <c r="C490" s="388">
        <v>122554</v>
      </c>
      <c r="D490" s="388" t="s">
        <v>3530</v>
      </c>
      <c r="E490" s="388" t="s">
        <v>1377</v>
      </c>
      <c r="F490" s="388" t="s">
        <v>3417</v>
      </c>
      <c r="G490" s="388" t="s">
        <v>1439</v>
      </c>
      <c r="H490" s="388" t="s">
        <v>1471</v>
      </c>
      <c r="I490" s="388" t="s">
        <v>1381</v>
      </c>
      <c r="J490" s="388" t="s">
        <v>1382</v>
      </c>
      <c r="K490" s="388" t="s">
        <v>1383</v>
      </c>
      <c r="L490" s="389">
        <v>0</v>
      </c>
      <c r="M490" s="390" t="s">
        <v>2676</v>
      </c>
      <c r="N490" s="390" t="s">
        <v>2677</v>
      </c>
      <c r="O490" s="390" t="s">
        <v>3498</v>
      </c>
      <c r="P490" s="390" t="s">
        <v>1383</v>
      </c>
      <c r="Q490" s="388" t="s">
        <v>1383</v>
      </c>
      <c r="R490" s="390">
        <v>1</v>
      </c>
      <c r="S490" s="390" t="s">
        <v>1388</v>
      </c>
      <c r="T490" s="390">
        <v>9</v>
      </c>
      <c r="U490" s="390" t="s">
        <v>1392</v>
      </c>
      <c r="V490" s="390">
        <v>8521</v>
      </c>
      <c r="W490" s="390" t="s">
        <v>2149</v>
      </c>
      <c r="X490" s="390">
        <v>10079</v>
      </c>
      <c r="Y490" s="390" t="s">
        <v>2678</v>
      </c>
      <c r="Z490" s="391" t="s">
        <v>2679</v>
      </c>
    </row>
    <row r="491" spans="2:26" ht="15.75" customHeight="1" x14ac:dyDescent="0.3">
      <c r="B491" s="387" t="s">
        <v>1375</v>
      </c>
      <c r="C491" s="388">
        <v>122555</v>
      </c>
      <c r="D491" s="388" t="s">
        <v>3531</v>
      </c>
      <c r="E491" s="388" t="s">
        <v>1377</v>
      </c>
      <c r="F491" s="388" t="s">
        <v>3417</v>
      </c>
      <c r="G491" s="388" t="s">
        <v>1439</v>
      </c>
      <c r="H491" s="388" t="s">
        <v>1471</v>
      </c>
      <c r="I491" s="388" t="s">
        <v>2717</v>
      </c>
      <c r="J491" s="388" t="s">
        <v>1382</v>
      </c>
      <c r="K491" s="388" t="s">
        <v>1383</v>
      </c>
      <c r="L491" s="389">
        <v>0</v>
      </c>
      <c r="M491" s="390" t="s">
        <v>2804</v>
      </c>
      <c r="N491" s="390" t="s">
        <v>2805</v>
      </c>
      <c r="O491" s="390" t="s">
        <v>3498</v>
      </c>
      <c r="P491" s="390" t="s">
        <v>1383</v>
      </c>
      <c r="Q491" s="388" t="s">
        <v>1383</v>
      </c>
      <c r="R491" s="390">
        <v>1</v>
      </c>
      <c r="S491" s="390" t="s">
        <v>1388</v>
      </c>
      <c r="T491" s="390">
        <v>12</v>
      </c>
      <c r="U491" s="390" t="s">
        <v>2018</v>
      </c>
      <c r="V491" s="390">
        <v>8519</v>
      </c>
      <c r="W491" s="390" t="s">
        <v>2019</v>
      </c>
      <c r="X491" s="390">
        <v>10252</v>
      </c>
      <c r="Y491" s="390" t="s">
        <v>2806</v>
      </c>
      <c r="Z491" s="391" t="s">
        <v>2807</v>
      </c>
    </row>
    <row r="492" spans="2:26" ht="15.75" customHeight="1" x14ac:dyDescent="0.3">
      <c r="B492" s="387" t="s">
        <v>1375</v>
      </c>
      <c r="C492" s="388">
        <v>122556</v>
      </c>
      <c r="D492" s="388" t="s">
        <v>3532</v>
      </c>
      <c r="E492" s="388" t="s">
        <v>1377</v>
      </c>
      <c r="F492" s="388" t="s">
        <v>3417</v>
      </c>
      <c r="G492" s="388" t="s">
        <v>1439</v>
      </c>
      <c r="H492" s="388" t="s">
        <v>1471</v>
      </c>
      <c r="I492" s="388" t="s">
        <v>1530</v>
      </c>
      <c r="J492" s="388" t="s">
        <v>1382</v>
      </c>
      <c r="K492" s="388" t="s">
        <v>1383</v>
      </c>
      <c r="L492" s="389">
        <v>0</v>
      </c>
      <c r="M492" s="390" t="s">
        <v>2798</v>
      </c>
      <c r="N492" s="390" t="s">
        <v>2799</v>
      </c>
      <c r="O492" s="390" t="s">
        <v>3498</v>
      </c>
      <c r="P492" s="390" t="s">
        <v>1383</v>
      </c>
      <c r="Q492" s="388" t="s">
        <v>1383</v>
      </c>
      <c r="R492" s="390">
        <v>1</v>
      </c>
      <c r="S492" s="390" t="s">
        <v>1388</v>
      </c>
      <c r="T492" s="390">
        <v>9</v>
      </c>
      <c r="U492" s="390" t="s">
        <v>1392</v>
      </c>
      <c r="V492" s="390">
        <v>8533</v>
      </c>
      <c r="W492" s="390" t="s">
        <v>2800</v>
      </c>
      <c r="X492" s="390">
        <v>10098</v>
      </c>
      <c r="Y492" s="390" t="s">
        <v>2801</v>
      </c>
      <c r="Z492" s="391" t="s">
        <v>2802</v>
      </c>
    </row>
    <row r="493" spans="2:26" ht="15.75" customHeight="1" x14ac:dyDescent="0.3">
      <c r="B493" s="387" t="s">
        <v>1375</v>
      </c>
      <c r="C493" s="388">
        <v>122557</v>
      </c>
      <c r="D493" s="388" t="s">
        <v>3533</v>
      </c>
      <c r="E493" s="388" t="s">
        <v>1377</v>
      </c>
      <c r="F493" s="388" t="s">
        <v>3417</v>
      </c>
      <c r="G493" s="388" t="s">
        <v>1439</v>
      </c>
      <c r="H493" s="388" t="s">
        <v>1471</v>
      </c>
      <c r="I493" s="388" t="s">
        <v>1393</v>
      </c>
      <c r="J493" s="388" t="s">
        <v>1382</v>
      </c>
      <c r="K493" s="388" t="s">
        <v>1383</v>
      </c>
      <c r="L493" s="389">
        <v>0</v>
      </c>
      <c r="M493" s="390" t="s">
        <v>3534</v>
      </c>
      <c r="N493" s="390" t="s">
        <v>2810</v>
      </c>
      <c r="O493" s="390" t="s">
        <v>3498</v>
      </c>
      <c r="P493" s="390" t="s">
        <v>1383</v>
      </c>
      <c r="Q493" s="388" t="s">
        <v>1383</v>
      </c>
      <c r="R493" s="390">
        <v>1</v>
      </c>
      <c r="S493" s="390" t="s">
        <v>1388</v>
      </c>
      <c r="T493" s="390">
        <v>12</v>
      </c>
      <c r="U493" s="390" t="s">
        <v>2018</v>
      </c>
      <c r="V493" s="390">
        <v>8502</v>
      </c>
      <c r="W493" s="390" t="s">
        <v>2811</v>
      </c>
      <c r="X493" s="390">
        <v>10010</v>
      </c>
      <c r="Y493" s="390" t="s">
        <v>2808</v>
      </c>
      <c r="Z493" s="391" t="s">
        <v>2812</v>
      </c>
    </row>
    <row r="494" spans="2:26" ht="15.75" customHeight="1" x14ac:dyDescent="0.3">
      <c r="B494" s="387" t="s">
        <v>1375</v>
      </c>
      <c r="C494" s="388">
        <v>122560</v>
      </c>
      <c r="D494" s="388" t="s">
        <v>3535</v>
      </c>
      <c r="E494" s="388" t="s">
        <v>1377</v>
      </c>
      <c r="F494" s="388" t="s">
        <v>3417</v>
      </c>
      <c r="G494" s="388" t="s">
        <v>1439</v>
      </c>
      <c r="H494" s="388" t="s">
        <v>1380</v>
      </c>
      <c r="I494" s="388" t="s">
        <v>1393</v>
      </c>
      <c r="J494" s="388" t="s">
        <v>3369</v>
      </c>
      <c r="K494" s="388" t="s">
        <v>1383</v>
      </c>
      <c r="L494" s="389">
        <v>0</v>
      </c>
      <c r="M494" s="390" t="s">
        <v>3195</v>
      </c>
      <c r="N494" s="390">
        <v>7642219</v>
      </c>
      <c r="O494" s="390" t="s">
        <v>3536</v>
      </c>
      <c r="P494" s="390" t="s">
        <v>1383</v>
      </c>
      <c r="Q494" s="388" t="s">
        <v>1383</v>
      </c>
      <c r="R494" s="390">
        <v>5</v>
      </c>
      <c r="S494" s="390" t="s">
        <v>1466</v>
      </c>
      <c r="T494" s="390">
        <v>57</v>
      </c>
      <c r="U494" s="390" t="s">
        <v>3537</v>
      </c>
      <c r="V494" s="390" t="s">
        <v>1383</v>
      </c>
      <c r="W494" s="390" t="s">
        <v>1383</v>
      </c>
      <c r="X494" s="390" t="s">
        <v>1383</v>
      </c>
      <c r="Y494" s="390" t="s">
        <v>3197</v>
      </c>
      <c r="Z494" s="391" t="s">
        <v>3198</v>
      </c>
    </row>
    <row r="495" spans="2:26" ht="15.75" customHeight="1" x14ac:dyDescent="0.3">
      <c r="B495" s="387" t="s">
        <v>1375</v>
      </c>
      <c r="C495" s="388">
        <v>122575</v>
      </c>
      <c r="D495" s="388" t="s">
        <v>3538</v>
      </c>
      <c r="E495" s="388" t="s">
        <v>1377</v>
      </c>
      <c r="F495" s="388" t="s">
        <v>3417</v>
      </c>
      <c r="G495" s="388" t="s">
        <v>1439</v>
      </c>
      <c r="H495" s="388" t="s">
        <v>1380</v>
      </c>
      <c r="I495" s="388" t="s">
        <v>1393</v>
      </c>
      <c r="J495" s="388" t="s">
        <v>3369</v>
      </c>
      <c r="K495" s="388" t="s">
        <v>1383</v>
      </c>
      <c r="L495" s="389">
        <v>0</v>
      </c>
      <c r="M495" s="390" t="s">
        <v>3122</v>
      </c>
      <c r="N495" s="390">
        <v>7315686</v>
      </c>
      <c r="O495" s="390" t="s">
        <v>3433</v>
      </c>
      <c r="P495" s="390" t="s">
        <v>1383</v>
      </c>
      <c r="Q495" s="388" t="s">
        <v>1383</v>
      </c>
      <c r="R495" s="390">
        <v>19</v>
      </c>
      <c r="S495" s="390" t="s">
        <v>1841</v>
      </c>
      <c r="T495" s="390">
        <v>66</v>
      </c>
      <c r="U495" s="390" t="s">
        <v>3437</v>
      </c>
      <c r="V495" s="390" t="s">
        <v>1383</v>
      </c>
      <c r="W495" s="390" t="s">
        <v>1383</v>
      </c>
      <c r="X495" s="390" t="s">
        <v>1383</v>
      </c>
      <c r="Y495" s="390" t="s">
        <v>1652</v>
      </c>
      <c r="Z495" s="391" t="s">
        <v>3124</v>
      </c>
    </row>
    <row r="496" spans="2:26" ht="15.75" customHeight="1" x14ac:dyDescent="0.3">
      <c r="B496" s="387" t="s">
        <v>1375</v>
      </c>
      <c r="C496" s="388">
        <v>122581</v>
      </c>
      <c r="D496" s="388" t="s">
        <v>3539</v>
      </c>
      <c r="E496" s="388" t="s">
        <v>1377</v>
      </c>
      <c r="F496" s="388" t="s">
        <v>3417</v>
      </c>
      <c r="G496" s="388" t="s">
        <v>1439</v>
      </c>
      <c r="H496" s="388" t="s">
        <v>1471</v>
      </c>
      <c r="I496" s="388" t="s">
        <v>1393</v>
      </c>
      <c r="J496" s="388" t="s">
        <v>1382</v>
      </c>
      <c r="K496" s="388" t="s">
        <v>1383</v>
      </c>
      <c r="L496" s="389">
        <v>0</v>
      </c>
      <c r="M496" s="390" t="s">
        <v>1557</v>
      </c>
      <c r="N496" s="390" t="s">
        <v>1558</v>
      </c>
      <c r="O496" s="390" t="s">
        <v>3478</v>
      </c>
      <c r="P496" s="390" t="s">
        <v>1383</v>
      </c>
      <c r="Q496" s="388" t="s">
        <v>1383</v>
      </c>
      <c r="R496" s="390">
        <v>10</v>
      </c>
      <c r="S496" s="390" t="s">
        <v>1552</v>
      </c>
      <c r="T496" s="390">
        <v>74</v>
      </c>
      <c r="U496" s="390" t="s">
        <v>1552</v>
      </c>
      <c r="V496" s="390">
        <v>5636</v>
      </c>
      <c r="W496" s="390" t="s">
        <v>1559</v>
      </c>
      <c r="X496" s="390">
        <v>100192</v>
      </c>
      <c r="Y496" s="390" t="s">
        <v>1560</v>
      </c>
      <c r="Z496" s="391" t="s">
        <v>1561</v>
      </c>
    </row>
    <row r="497" spans="2:26" ht="15.75" customHeight="1" x14ac:dyDescent="0.3">
      <c r="B497" s="387" t="s">
        <v>1375</v>
      </c>
      <c r="C497" s="388">
        <v>122582</v>
      </c>
      <c r="D497" s="388" t="s">
        <v>3540</v>
      </c>
      <c r="E497" s="388" t="s">
        <v>1377</v>
      </c>
      <c r="F497" s="388" t="s">
        <v>3417</v>
      </c>
      <c r="G497" s="388" t="s">
        <v>1439</v>
      </c>
      <c r="H497" s="388" t="s">
        <v>1471</v>
      </c>
      <c r="I497" s="388" t="s">
        <v>1393</v>
      </c>
      <c r="J497" s="388" t="s">
        <v>1382</v>
      </c>
      <c r="K497" s="388" t="s">
        <v>1383</v>
      </c>
      <c r="L497" s="389">
        <v>0</v>
      </c>
      <c r="M497" s="390" t="s">
        <v>3541</v>
      </c>
      <c r="N497" s="390" t="s">
        <v>1599</v>
      </c>
      <c r="O497" s="390" t="s">
        <v>3478</v>
      </c>
      <c r="P497" s="390" t="s">
        <v>1383</v>
      </c>
      <c r="Q497" s="388" t="s">
        <v>1383</v>
      </c>
      <c r="R497" s="390">
        <v>10</v>
      </c>
      <c r="S497" s="390" t="s">
        <v>1552</v>
      </c>
      <c r="T497" s="390">
        <v>73</v>
      </c>
      <c r="U497" s="390" t="s">
        <v>1562</v>
      </c>
      <c r="V497" s="390">
        <v>5648</v>
      </c>
      <c r="W497" s="390" t="s">
        <v>1580</v>
      </c>
      <c r="X497" s="390">
        <v>100243</v>
      </c>
      <c r="Y497" s="390" t="s">
        <v>1580</v>
      </c>
      <c r="Z497" s="391" t="s">
        <v>1600</v>
      </c>
    </row>
    <row r="498" spans="2:26" ht="15.75" customHeight="1" x14ac:dyDescent="0.3">
      <c r="B498" s="387" t="s">
        <v>1375</v>
      </c>
      <c r="C498" s="388">
        <v>122583</v>
      </c>
      <c r="D498" s="388" t="s">
        <v>3542</v>
      </c>
      <c r="E498" s="388" t="s">
        <v>1377</v>
      </c>
      <c r="F498" s="388" t="s">
        <v>3417</v>
      </c>
      <c r="G498" s="388" t="s">
        <v>1439</v>
      </c>
      <c r="H498" s="388" t="s">
        <v>1471</v>
      </c>
      <c r="I498" s="388" t="s">
        <v>1393</v>
      </c>
      <c r="J498" s="388" t="s">
        <v>1382</v>
      </c>
      <c r="K498" s="388" t="s">
        <v>1383</v>
      </c>
      <c r="L498" s="389">
        <v>0</v>
      </c>
      <c r="M498" s="390" t="s">
        <v>1578</v>
      </c>
      <c r="N498" s="390" t="s">
        <v>3543</v>
      </c>
      <c r="O498" s="390" t="s">
        <v>3478</v>
      </c>
      <c r="P498" s="390" t="s">
        <v>1383</v>
      </c>
      <c r="Q498" s="388" t="s">
        <v>1383</v>
      </c>
      <c r="R498" s="390">
        <v>10</v>
      </c>
      <c r="S498" s="390" t="s">
        <v>1552</v>
      </c>
      <c r="T498" s="390">
        <v>73</v>
      </c>
      <c r="U498" s="390" t="s">
        <v>1562</v>
      </c>
      <c r="V498" s="390">
        <v>5648</v>
      </c>
      <c r="W498" s="390" t="s">
        <v>1580</v>
      </c>
      <c r="X498" s="390">
        <v>100169</v>
      </c>
      <c r="Y498" s="390" t="s">
        <v>1577</v>
      </c>
      <c r="Z498" s="391" t="s">
        <v>1581</v>
      </c>
    </row>
    <row r="499" spans="2:26" ht="15.75" customHeight="1" x14ac:dyDescent="0.3">
      <c r="B499" s="387" t="s">
        <v>1375</v>
      </c>
      <c r="C499" s="388">
        <v>122584</v>
      </c>
      <c r="D499" s="388" t="s">
        <v>3544</v>
      </c>
      <c r="E499" s="388" t="s">
        <v>1377</v>
      </c>
      <c r="F499" s="388" t="s">
        <v>3417</v>
      </c>
      <c r="G499" s="388" t="s">
        <v>1439</v>
      </c>
      <c r="H499" s="388" t="s">
        <v>1471</v>
      </c>
      <c r="I499" s="388" t="s">
        <v>1393</v>
      </c>
      <c r="J499" s="388" t="s">
        <v>1382</v>
      </c>
      <c r="K499" s="388" t="s">
        <v>1383</v>
      </c>
      <c r="L499" s="389">
        <v>0</v>
      </c>
      <c r="M499" s="390" t="s">
        <v>3215</v>
      </c>
      <c r="N499" s="390" t="s">
        <v>3545</v>
      </c>
      <c r="O499" s="390" t="s">
        <v>3478</v>
      </c>
      <c r="P499" s="390" t="s">
        <v>1383</v>
      </c>
      <c r="Q499" s="388" t="s">
        <v>1383</v>
      </c>
      <c r="R499" s="390">
        <v>10</v>
      </c>
      <c r="S499" s="390" t="s">
        <v>1552</v>
      </c>
      <c r="T499" s="390">
        <v>74</v>
      </c>
      <c r="U499" s="390" t="s">
        <v>1552</v>
      </c>
      <c r="V499" s="390">
        <v>5666</v>
      </c>
      <c r="W499" s="390" t="s">
        <v>3217</v>
      </c>
      <c r="X499" s="390">
        <v>100197</v>
      </c>
      <c r="Y499" s="390" t="s">
        <v>3218</v>
      </c>
      <c r="Z499" s="391" t="s">
        <v>3219</v>
      </c>
    </row>
    <row r="500" spans="2:26" ht="15.75" customHeight="1" x14ac:dyDescent="0.3">
      <c r="B500" s="387" t="s">
        <v>1375</v>
      </c>
      <c r="C500" s="388">
        <v>122585</v>
      </c>
      <c r="D500" s="388" t="s">
        <v>3546</v>
      </c>
      <c r="E500" s="388" t="s">
        <v>1377</v>
      </c>
      <c r="F500" s="388" t="s">
        <v>3417</v>
      </c>
      <c r="G500" s="388" t="s">
        <v>1439</v>
      </c>
      <c r="H500" s="388" t="s">
        <v>1471</v>
      </c>
      <c r="I500" s="388" t="s">
        <v>1381</v>
      </c>
      <c r="J500" s="388" t="s">
        <v>1382</v>
      </c>
      <c r="K500" s="388" t="s">
        <v>1383</v>
      </c>
      <c r="L500" s="389">
        <v>0</v>
      </c>
      <c r="M500" s="390" t="s">
        <v>1550</v>
      </c>
      <c r="N500" s="390" t="s">
        <v>1551</v>
      </c>
      <c r="O500" s="390" t="s">
        <v>3478</v>
      </c>
      <c r="P500" s="390" t="s">
        <v>1383</v>
      </c>
      <c r="Q500" s="388" t="s">
        <v>1383</v>
      </c>
      <c r="R500" s="390">
        <v>10</v>
      </c>
      <c r="S500" s="390" t="s">
        <v>1552</v>
      </c>
      <c r="T500" s="390">
        <v>26</v>
      </c>
      <c r="U500" s="390" t="s">
        <v>1553</v>
      </c>
      <c r="V500" s="390">
        <v>5503</v>
      </c>
      <c r="W500" s="390" t="s">
        <v>1554</v>
      </c>
      <c r="X500" s="390">
        <v>100181</v>
      </c>
      <c r="Y500" s="390" t="s">
        <v>1555</v>
      </c>
      <c r="Z500" s="391" t="s">
        <v>1556</v>
      </c>
    </row>
    <row r="501" spans="2:26" ht="15.75" customHeight="1" x14ac:dyDescent="0.3">
      <c r="B501" s="387" t="s">
        <v>1375</v>
      </c>
      <c r="C501" s="388">
        <v>122586</v>
      </c>
      <c r="D501" s="388" t="s">
        <v>3547</v>
      </c>
      <c r="E501" s="388" t="s">
        <v>1377</v>
      </c>
      <c r="F501" s="388" t="s">
        <v>3417</v>
      </c>
      <c r="G501" s="388" t="s">
        <v>1439</v>
      </c>
      <c r="H501" s="388" t="s">
        <v>1471</v>
      </c>
      <c r="I501" s="388" t="s">
        <v>1393</v>
      </c>
      <c r="J501" s="388" t="s">
        <v>1382</v>
      </c>
      <c r="K501" s="388" t="s">
        <v>1383</v>
      </c>
      <c r="L501" s="389">
        <v>0</v>
      </c>
      <c r="M501" s="390" t="s">
        <v>1568</v>
      </c>
      <c r="N501" s="390" t="s">
        <v>1569</v>
      </c>
      <c r="O501" s="390" t="s">
        <v>3478</v>
      </c>
      <c r="P501" s="390" t="s">
        <v>1383</v>
      </c>
      <c r="Q501" s="388" t="s">
        <v>1383</v>
      </c>
      <c r="R501" s="390">
        <v>10</v>
      </c>
      <c r="S501" s="390" t="s">
        <v>1552</v>
      </c>
      <c r="T501" s="390">
        <v>26</v>
      </c>
      <c r="U501" s="390" t="s">
        <v>1553</v>
      </c>
      <c r="V501" s="390">
        <v>5405</v>
      </c>
      <c r="W501" s="390" t="s">
        <v>1570</v>
      </c>
      <c r="X501" s="390">
        <v>100116</v>
      </c>
      <c r="Y501" s="390" t="s">
        <v>1570</v>
      </c>
      <c r="Z501" s="391" t="s">
        <v>1571</v>
      </c>
    </row>
    <row r="502" spans="2:26" ht="15.75" customHeight="1" x14ac:dyDescent="0.3">
      <c r="B502" s="387" t="s">
        <v>1375</v>
      </c>
      <c r="C502" s="388">
        <v>122587</v>
      </c>
      <c r="D502" s="388" t="s">
        <v>3548</v>
      </c>
      <c r="E502" s="388" t="s">
        <v>1377</v>
      </c>
      <c r="F502" s="388" t="s">
        <v>3417</v>
      </c>
      <c r="G502" s="388" t="s">
        <v>1439</v>
      </c>
      <c r="H502" s="388" t="s">
        <v>1471</v>
      </c>
      <c r="I502" s="388" t="s">
        <v>1393</v>
      </c>
      <c r="J502" s="388" t="s">
        <v>1382</v>
      </c>
      <c r="K502" s="388" t="s">
        <v>1383</v>
      </c>
      <c r="L502" s="389">
        <v>0</v>
      </c>
      <c r="M502" s="390" t="s">
        <v>1583</v>
      </c>
      <c r="N502" s="390" t="s">
        <v>1584</v>
      </c>
      <c r="O502" s="390" t="s">
        <v>3478</v>
      </c>
      <c r="P502" s="390" t="s">
        <v>1383</v>
      </c>
      <c r="Q502" s="388" t="s">
        <v>1383</v>
      </c>
      <c r="R502" s="390">
        <v>10</v>
      </c>
      <c r="S502" s="390" t="s">
        <v>1552</v>
      </c>
      <c r="T502" s="390">
        <v>30</v>
      </c>
      <c r="U502" s="390" t="s">
        <v>1585</v>
      </c>
      <c r="V502" s="390">
        <v>5608</v>
      </c>
      <c r="W502" s="390" t="s">
        <v>1586</v>
      </c>
      <c r="X502" s="390">
        <v>100207</v>
      </c>
      <c r="Y502" s="390" t="s">
        <v>1587</v>
      </c>
      <c r="Z502" s="391" t="s">
        <v>1588</v>
      </c>
    </row>
    <row r="503" spans="2:26" ht="15.75" customHeight="1" x14ac:dyDescent="0.3">
      <c r="B503" s="387" t="s">
        <v>1375</v>
      </c>
      <c r="C503" s="388">
        <v>122588</v>
      </c>
      <c r="D503" s="388" t="s">
        <v>3549</v>
      </c>
      <c r="E503" s="388" t="s">
        <v>1377</v>
      </c>
      <c r="F503" s="388" t="s">
        <v>3417</v>
      </c>
      <c r="G503" s="388" t="s">
        <v>1439</v>
      </c>
      <c r="H503" s="388" t="s">
        <v>1471</v>
      </c>
      <c r="I503" s="388" t="s">
        <v>1393</v>
      </c>
      <c r="J503" s="388" t="s">
        <v>1382</v>
      </c>
      <c r="K503" s="388" t="s">
        <v>1383</v>
      </c>
      <c r="L503" s="389">
        <v>0</v>
      </c>
      <c r="M503" s="390" t="s">
        <v>2347</v>
      </c>
      <c r="N503" s="390" t="s">
        <v>2348</v>
      </c>
      <c r="O503" s="390" t="s">
        <v>3478</v>
      </c>
      <c r="P503" s="390" t="s">
        <v>1383</v>
      </c>
      <c r="Q503" s="388" t="s">
        <v>1383</v>
      </c>
      <c r="R503" s="390">
        <v>10</v>
      </c>
      <c r="S503" s="390" t="s">
        <v>1552</v>
      </c>
      <c r="T503" s="390">
        <v>29</v>
      </c>
      <c r="U503" s="390" t="s">
        <v>1575</v>
      </c>
      <c r="V503" s="390">
        <v>5630</v>
      </c>
      <c r="W503" s="390" t="s">
        <v>2349</v>
      </c>
      <c r="X503" s="390">
        <v>100247</v>
      </c>
      <c r="Y503" s="390" t="s">
        <v>2346</v>
      </c>
      <c r="Z503" s="391" t="s">
        <v>2350</v>
      </c>
    </row>
    <row r="504" spans="2:26" ht="15.75" customHeight="1" x14ac:dyDescent="0.3">
      <c r="B504" s="387" t="s">
        <v>1375</v>
      </c>
      <c r="C504" s="388">
        <v>122589</v>
      </c>
      <c r="D504" s="388" t="s">
        <v>3550</v>
      </c>
      <c r="E504" s="388" t="s">
        <v>1377</v>
      </c>
      <c r="F504" s="388" t="s">
        <v>3417</v>
      </c>
      <c r="G504" s="388" t="s">
        <v>1439</v>
      </c>
      <c r="H504" s="388" t="s">
        <v>1471</v>
      </c>
      <c r="I504" s="388" t="s">
        <v>1393</v>
      </c>
      <c r="J504" s="388" t="s">
        <v>1382</v>
      </c>
      <c r="K504" s="388" t="s">
        <v>1383</v>
      </c>
      <c r="L504" s="389">
        <v>0</v>
      </c>
      <c r="M504" s="390" t="s">
        <v>3551</v>
      </c>
      <c r="N504" s="390" t="s">
        <v>3552</v>
      </c>
      <c r="O504" s="390" t="s">
        <v>3471</v>
      </c>
      <c r="P504" s="390" t="s">
        <v>1383</v>
      </c>
      <c r="Q504" s="388" t="s">
        <v>1383</v>
      </c>
      <c r="R504" s="390">
        <v>9</v>
      </c>
      <c r="S504" s="390" t="s">
        <v>1533</v>
      </c>
      <c r="T504" s="390">
        <v>75</v>
      </c>
      <c r="U504" s="390" t="s">
        <v>1533</v>
      </c>
      <c r="V504" s="390">
        <v>6410</v>
      </c>
      <c r="W504" s="390" t="s">
        <v>1541</v>
      </c>
      <c r="X504" s="390">
        <v>90017</v>
      </c>
      <c r="Y504" s="390" t="s">
        <v>1542</v>
      </c>
      <c r="Z504" s="391" t="s">
        <v>1543</v>
      </c>
    </row>
    <row r="505" spans="2:26" ht="15.75" customHeight="1" x14ac:dyDescent="0.3">
      <c r="B505" s="387" t="s">
        <v>1375</v>
      </c>
      <c r="C505" s="388">
        <v>122590</v>
      </c>
      <c r="D505" s="388" t="s">
        <v>3553</v>
      </c>
      <c r="E505" s="388" t="s">
        <v>1377</v>
      </c>
      <c r="F505" s="388" t="s">
        <v>3417</v>
      </c>
      <c r="G505" s="388" t="s">
        <v>1439</v>
      </c>
      <c r="H505" s="388" t="s">
        <v>1471</v>
      </c>
      <c r="I505" s="388" t="s">
        <v>1393</v>
      </c>
      <c r="J505" s="388" t="s">
        <v>1382</v>
      </c>
      <c r="K505" s="388" t="s">
        <v>1383</v>
      </c>
      <c r="L505" s="389">
        <v>0</v>
      </c>
      <c r="M505" s="390" t="s">
        <v>2721</v>
      </c>
      <c r="N505" s="390" t="s">
        <v>3554</v>
      </c>
      <c r="O505" s="390" t="s">
        <v>3471</v>
      </c>
      <c r="P505" s="390" t="s">
        <v>1383</v>
      </c>
      <c r="Q505" s="388" t="s">
        <v>1383</v>
      </c>
      <c r="R505" s="390">
        <v>9</v>
      </c>
      <c r="S505" s="390" t="s">
        <v>1533</v>
      </c>
      <c r="T505" s="390">
        <v>75</v>
      </c>
      <c r="U505" s="390" t="s">
        <v>1533</v>
      </c>
      <c r="V505" s="390">
        <v>6403</v>
      </c>
      <c r="W505" s="390" t="s">
        <v>2722</v>
      </c>
      <c r="X505" s="390">
        <v>90174</v>
      </c>
      <c r="Y505" s="390" t="s">
        <v>2723</v>
      </c>
      <c r="Z505" s="391" t="s">
        <v>2724</v>
      </c>
    </row>
    <row r="506" spans="2:26" ht="15.75" customHeight="1" x14ac:dyDescent="0.3">
      <c r="B506" s="387" t="s">
        <v>1375</v>
      </c>
      <c r="C506" s="388">
        <v>122591</v>
      </c>
      <c r="D506" s="388" t="s">
        <v>3555</v>
      </c>
      <c r="E506" s="388" t="s">
        <v>1377</v>
      </c>
      <c r="F506" s="388" t="s">
        <v>3417</v>
      </c>
      <c r="G506" s="388" t="s">
        <v>1439</v>
      </c>
      <c r="H506" s="388" t="s">
        <v>1471</v>
      </c>
      <c r="I506" s="388" t="s">
        <v>1393</v>
      </c>
      <c r="J506" s="388" t="s">
        <v>1382</v>
      </c>
      <c r="K506" s="388" t="s">
        <v>1383</v>
      </c>
      <c r="L506" s="389">
        <v>0</v>
      </c>
      <c r="M506" s="390" t="s">
        <v>2459</v>
      </c>
      <c r="N506" s="390" t="s">
        <v>2460</v>
      </c>
      <c r="O506" s="390" t="s">
        <v>3471</v>
      </c>
      <c r="P506" s="390" t="s">
        <v>1383</v>
      </c>
      <c r="Q506" s="388" t="s">
        <v>1383</v>
      </c>
      <c r="R506" s="390">
        <v>9</v>
      </c>
      <c r="S506" s="390" t="s">
        <v>1533</v>
      </c>
      <c r="T506" s="390">
        <v>77</v>
      </c>
      <c r="U506" s="390" t="s">
        <v>2086</v>
      </c>
      <c r="V506" s="390">
        <v>6521</v>
      </c>
      <c r="W506" s="390" t="s">
        <v>2458</v>
      </c>
      <c r="X506" s="390">
        <v>90085</v>
      </c>
      <c r="Y506" s="390" t="s">
        <v>2461</v>
      </c>
      <c r="Z506" s="391" t="s">
        <v>2462</v>
      </c>
    </row>
    <row r="507" spans="2:26" ht="15.75" customHeight="1" x14ac:dyDescent="0.3">
      <c r="B507" s="387" t="s">
        <v>1375</v>
      </c>
      <c r="C507" s="388">
        <v>122593</v>
      </c>
      <c r="D507" s="388" t="s">
        <v>3556</v>
      </c>
      <c r="E507" s="388" t="s">
        <v>1377</v>
      </c>
      <c r="F507" s="388" t="s">
        <v>3417</v>
      </c>
      <c r="G507" s="388" t="s">
        <v>1439</v>
      </c>
      <c r="H507" s="388" t="s">
        <v>1471</v>
      </c>
      <c r="I507" s="388" t="s">
        <v>1393</v>
      </c>
      <c r="J507" s="388" t="s">
        <v>1382</v>
      </c>
      <c r="K507" s="388" t="s">
        <v>1383</v>
      </c>
      <c r="L507" s="389">
        <v>0</v>
      </c>
      <c r="M507" s="390" t="s">
        <v>1488</v>
      </c>
      <c r="N507" s="390" t="s">
        <v>1489</v>
      </c>
      <c r="O507" s="390" t="s">
        <v>3471</v>
      </c>
      <c r="P507" s="390" t="s">
        <v>1383</v>
      </c>
      <c r="Q507" s="388" t="s">
        <v>1383</v>
      </c>
      <c r="R507" s="390">
        <v>8</v>
      </c>
      <c r="S507" s="390" t="s">
        <v>1483</v>
      </c>
      <c r="T507" s="390">
        <v>81</v>
      </c>
      <c r="U507" s="390" t="s">
        <v>1490</v>
      </c>
      <c r="V507" s="390">
        <v>4525</v>
      </c>
      <c r="W507" s="390" t="s">
        <v>1491</v>
      </c>
      <c r="X507" s="390">
        <v>80208</v>
      </c>
      <c r="Y507" s="390" t="s">
        <v>1492</v>
      </c>
      <c r="Z507" s="391" t="s">
        <v>1493</v>
      </c>
    </row>
    <row r="508" spans="2:26" ht="15.75" customHeight="1" x14ac:dyDescent="0.3">
      <c r="B508" s="387" t="s">
        <v>1375</v>
      </c>
      <c r="C508" s="388">
        <v>122594</v>
      </c>
      <c r="D508" s="388" t="s">
        <v>3557</v>
      </c>
      <c r="E508" s="388" t="s">
        <v>1377</v>
      </c>
      <c r="F508" s="388" t="s">
        <v>3417</v>
      </c>
      <c r="G508" s="388" t="s">
        <v>1439</v>
      </c>
      <c r="H508" s="388" t="s">
        <v>1471</v>
      </c>
      <c r="I508" s="388" t="s">
        <v>1393</v>
      </c>
      <c r="J508" s="388" t="s">
        <v>1382</v>
      </c>
      <c r="K508" s="388" t="s">
        <v>1383</v>
      </c>
      <c r="L508" s="389">
        <v>0</v>
      </c>
      <c r="M508" s="390" t="s">
        <v>2309</v>
      </c>
      <c r="N508" s="390" t="s">
        <v>2310</v>
      </c>
      <c r="O508" s="390" t="s">
        <v>3471</v>
      </c>
      <c r="P508" s="390" t="s">
        <v>1383</v>
      </c>
      <c r="Q508" s="388" t="s">
        <v>1383</v>
      </c>
      <c r="R508" s="390">
        <v>8</v>
      </c>
      <c r="S508" s="390" t="s">
        <v>1483</v>
      </c>
      <c r="T508" s="390">
        <v>44</v>
      </c>
      <c r="U508" s="390" t="s">
        <v>2311</v>
      </c>
      <c r="V508" s="390">
        <v>4551</v>
      </c>
      <c r="W508" s="390" t="s">
        <v>2312</v>
      </c>
      <c r="X508" s="390">
        <v>80151</v>
      </c>
      <c r="Y508" s="390" t="s">
        <v>2308</v>
      </c>
      <c r="Z508" s="391" t="s">
        <v>2313</v>
      </c>
    </row>
    <row r="509" spans="2:26" ht="15.75" customHeight="1" x14ac:dyDescent="0.3">
      <c r="B509" s="387" t="s">
        <v>1375</v>
      </c>
      <c r="C509" s="388">
        <v>122595</v>
      </c>
      <c r="D509" s="388" t="s">
        <v>3558</v>
      </c>
      <c r="E509" s="388" t="s">
        <v>1377</v>
      </c>
      <c r="F509" s="388" t="s">
        <v>3417</v>
      </c>
      <c r="G509" s="388" t="s">
        <v>1439</v>
      </c>
      <c r="H509" s="388" t="s">
        <v>1471</v>
      </c>
      <c r="I509" s="388" t="s">
        <v>1393</v>
      </c>
      <c r="J509" s="388" t="s">
        <v>1382</v>
      </c>
      <c r="K509" s="388" t="s">
        <v>1383</v>
      </c>
      <c r="L509" s="389">
        <v>0</v>
      </c>
      <c r="M509" s="390" t="s">
        <v>1480</v>
      </c>
      <c r="N509" s="390" t="s">
        <v>1481</v>
      </c>
      <c r="O509" s="390" t="s">
        <v>3471</v>
      </c>
      <c r="P509" s="390" t="s">
        <v>1383</v>
      </c>
      <c r="Q509" s="388" t="s">
        <v>1383</v>
      </c>
      <c r="R509" s="390">
        <v>8</v>
      </c>
      <c r="S509" s="390" t="s">
        <v>1483</v>
      </c>
      <c r="T509" s="390">
        <v>45</v>
      </c>
      <c r="U509" s="390" t="s">
        <v>1484</v>
      </c>
      <c r="V509" s="390">
        <v>4506</v>
      </c>
      <c r="W509" s="390" t="s">
        <v>1485</v>
      </c>
      <c r="X509" s="390">
        <v>80335</v>
      </c>
      <c r="Y509" s="390" t="s">
        <v>1479</v>
      </c>
      <c r="Z509" s="391" t="s">
        <v>1486</v>
      </c>
    </row>
    <row r="510" spans="2:26" ht="15.75" customHeight="1" x14ac:dyDescent="0.3">
      <c r="B510" s="387" t="s">
        <v>1375</v>
      </c>
      <c r="C510" s="388">
        <v>122596</v>
      </c>
      <c r="D510" s="388" t="s">
        <v>3559</v>
      </c>
      <c r="E510" s="388" t="s">
        <v>1377</v>
      </c>
      <c r="F510" s="388" t="s">
        <v>3417</v>
      </c>
      <c r="G510" s="388" t="s">
        <v>1439</v>
      </c>
      <c r="H510" s="388" t="s">
        <v>1471</v>
      </c>
      <c r="I510" s="388" t="s">
        <v>1393</v>
      </c>
      <c r="J510" s="388" t="s">
        <v>1382</v>
      </c>
      <c r="K510" s="388" t="s">
        <v>1383</v>
      </c>
      <c r="L510" s="389">
        <v>0</v>
      </c>
      <c r="M510" s="390" t="s">
        <v>3560</v>
      </c>
      <c r="N510" s="390" t="s">
        <v>3561</v>
      </c>
      <c r="O510" s="390" t="s">
        <v>3471</v>
      </c>
      <c r="P510" s="390" t="s">
        <v>1383</v>
      </c>
      <c r="Q510" s="388" t="s">
        <v>1383</v>
      </c>
      <c r="R510" s="390">
        <v>8</v>
      </c>
      <c r="S510" s="390" t="s">
        <v>1483</v>
      </c>
      <c r="T510" s="390">
        <v>48</v>
      </c>
      <c r="U510" s="390" t="s">
        <v>2265</v>
      </c>
      <c r="V510" s="390">
        <v>4517</v>
      </c>
      <c r="W510" s="390" t="s">
        <v>2906</v>
      </c>
      <c r="X510" s="390">
        <v>80221</v>
      </c>
      <c r="Y510" s="390" t="s">
        <v>2924</v>
      </c>
      <c r="Z510" s="391" t="s">
        <v>2925</v>
      </c>
    </row>
    <row r="511" spans="2:26" ht="15.75" customHeight="1" x14ac:dyDescent="0.3">
      <c r="B511" s="387" t="s">
        <v>1375</v>
      </c>
      <c r="C511" s="388">
        <v>122597</v>
      </c>
      <c r="D511" s="388" t="s">
        <v>3562</v>
      </c>
      <c r="E511" s="388" t="s">
        <v>1377</v>
      </c>
      <c r="F511" s="388" t="s">
        <v>3417</v>
      </c>
      <c r="G511" s="388" t="s">
        <v>1439</v>
      </c>
      <c r="H511" s="388" t="s">
        <v>1471</v>
      </c>
      <c r="I511" s="388" t="s">
        <v>1393</v>
      </c>
      <c r="J511" s="388" t="s">
        <v>1382</v>
      </c>
      <c r="K511" s="388" t="s">
        <v>1383</v>
      </c>
      <c r="L511" s="389">
        <v>0</v>
      </c>
      <c r="M511" s="390" t="s">
        <v>3563</v>
      </c>
      <c r="N511" s="390" t="s">
        <v>3564</v>
      </c>
      <c r="O511" s="390" t="s">
        <v>3471</v>
      </c>
      <c r="P511" s="390" t="s">
        <v>1383</v>
      </c>
      <c r="Q511" s="388" t="s">
        <v>1383</v>
      </c>
      <c r="R511" s="390">
        <v>8</v>
      </c>
      <c r="S511" s="390" t="s">
        <v>1483</v>
      </c>
      <c r="T511" s="390">
        <v>81</v>
      </c>
      <c r="U511" s="390" t="s">
        <v>1490</v>
      </c>
      <c r="V511" s="390">
        <v>4557</v>
      </c>
      <c r="W511" s="390" t="s">
        <v>1490</v>
      </c>
      <c r="X511" s="390">
        <v>80129</v>
      </c>
      <c r="Y511" s="390" t="s">
        <v>1490</v>
      </c>
      <c r="Z511" s="391" t="s">
        <v>3565</v>
      </c>
    </row>
    <row r="512" spans="2:26" ht="15.75" customHeight="1" x14ac:dyDescent="0.3">
      <c r="B512" s="387" t="s">
        <v>1375</v>
      </c>
      <c r="C512" s="388">
        <v>122598</v>
      </c>
      <c r="D512" s="388" t="s">
        <v>3566</v>
      </c>
      <c r="E512" s="388" t="s">
        <v>1377</v>
      </c>
      <c r="F512" s="388" t="s">
        <v>3417</v>
      </c>
      <c r="G512" s="388" t="s">
        <v>1439</v>
      </c>
      <c r="H512" s="388" t="s">
        <v>1471</v>
      </c>
      <c r="I512" s="388" t="s">
        <v>1393</v>
      </c>
      <c r="J512" s="388" t="s">
        <v>1382</v>
      </c>
      <c r="K512" s="388" t="s">
        <v>1383</v>
      </c>
      <c r="L512" s="389">
        <v>0</v>
      </c>
      <c r="M512" s="390" t="s">
        <v>3567</v>
      </c>
      <c r="N512" s="390" t="s">
        <v>3568</v>
      </c>
      <c r="O512" s="390" t="s">
        <v>3471</v>
      </c>
      <c r="P512" s="390" t="s">
        <v>1383</v>
      </c>
      <c r="Q512" s="388" t="s">
        <v>1383</v>
      </c>
      <c r="R512" s="390">
        <v>8</v>
      </c>
      <c r="S512" s="390" t="s">
        <v>1483</v>
      </c>
      <c r="T512" s="390">
        <v>81</v>
      </c>
      <c r="U512" s="390" t="s">
        <v>1490</v>
      </c>
      <c r="V512" s="390">
        <v>4535</v>
      </c>
      <c r="W512" s="390" t="s">
        <v>2912</v>
      </c>
      <c r="X512" s="390">
        <v>80076</v>
      </c>
      <c r="Y512" s="390" t="s">
        <v>2912</v>
      </c>
      <c r="Z512" s="391" t="s">
        <v>2915</v>
      </c>
    </row>
    <row r="513" spans="2:26" ht="15.75" customHeight="1" x14ac:dyDescent="0.3">
      <c r="B513" s="387" t="s">
        <v>1375</v>
      </c>
      <c r="C513" s="388">
        <v>122599</v>
      </c>
      <c r="D513" s="388" t="s">
        <v>3569</v>
      </c>
      <c r="E513" s="388" t="s">
        <v>1377</v>
      </c>
      <c r="F513" s="388" t="s">
        <v>3417</v>
      </c>
      <c r="G513" s="388" t="s">
        <v>1439</v>
      </c>
      <c r="H513" s="388" t="s">
        <v>1471</v>
      </c>
      <c r="I513" s="388" t="s">
        <v>1393</v>
      </c>
      <c r="J513" s="388" t="s">
        <v>1382</v>
      </c>
      <c r="K513" s="388" t="s">
        <v>1383</v>
      </c>
      <c r="L513" s="389">
        <v>0</v>
      </c>
      <c r="M513" s="390" t="s">
        <v>2917</v>
      </c>
      <c r="N513" s="390" t="s">
        <v>2918</v>
      </c>
      <c r="O513" s="390" t="s">
        <v>3471</v>
      </c>
      <c r="P513" s="390" t="s">
        <v>1383</v>
      </c>
      <c r="Q513" s="388" t="s">
        <v>1383</v>
      </c>
      <c r="R513" s="390">
        <v>8</v>
      </c>
      <c r="S513" s="390" t="s">
        <v>1483</v>
      </c>
      <c r="T513" s="390">
        <v>48</v>
      </c>
      <c r="U513" s="390" t="s">
        <v>2265</v>
      </c>
      <c r="V513" s="390">
        <v>4532</v>
      </c>
      <c r="W513" s="390" t="s">
        <v>2919</v>
      </c>
      <c r="X513" s="390">
        <v>80158</v>
      </c>
      <c r="Y513" s="390" t="s">
        <v>2916</v>
      </c>
      <c r="Z513" s="391" t="s">
        <v>2920</v>
      </c>
    </row>
    <row r="514" spans="2:26" ht="15.75" customHeight="1" x14ac:dyDescent="0.3">
      <c r="B514" s="387" t="s">
        <v>1375</v>
      </c>
      <c r="C514" s="388">
        <v>122600</v>
      </c>
      <c r="D514" s="388" t="s">
        <v>3570</v>
      </c>
      <c r="E514" s="388" t="s">
        <v>1377</v>
      </c>
      <c r="F514" s="388" t="s">
        <v>3417</v>
      </c>
      <c r="G514" s="388" t="s">
        <v>1439</v>
      </c>
      <c r="H514" s="388" t="s">
        <v>1471</v>
      </c>
      <c r="I514" s="388" t="s">
        <v>1393</v>
      </c>
      <c r="J514" s="388" t="s">
        <v>1382</v>
      </c>
      <c r="K514" s="388" t="s">
        <v>1383</v>
      </c>
      <c r="L514" s="389">
        <v>0</v>
      </c>
      <c r="M514" s="390" t="s">
        <v>3571</v>
      </c>
      <c r="N514" s="390" t="s">
        <v>1496</v>
      </c>
      <c r="O514" s="390" t="s">
        <v>3471</v>
      </c>
      <c r="P514" s="390" t="s">
        <v>1383</v>
      </c>
      <c r="Q514" s="388" t="s">
        <v>1383</v>
      </c>
      <c r="R514" s="390">
        <v>8</v>
      </c>
      <c r="S514" s="390" t="s">
        <v>1483</v>
      </c>
      <c r="T514" s="390">
        <v>45</v>
      </c>
      <c r="U514" s="390" t="s">
        <v>1484</v>
      </c>
      <c r="V514" s="390">
        <v>4544</v>
      </c>
      <c r="W514" s="390" t="s">
        <v>1497</v>
      </c>
      <c r="X514" s="390">
        <v>80284</v>
      </c>
      <c r="Y514" s="390" t="s">
        <v>1498</v>
      </c>
      <c r="Z514" s="391" t="s">
        <v>1499</v>
      </c>
    </row>
    <row r="515" spans="2:26" ht="15.75" customHeight="1" x14ac:dyDescent="0.3">
      <c r="B515" s="387" t="s">
        <v>1375</v>
      </c>
      <c r="C515" s="388">
        <v>122601</v>
      </c>
      <c r="D515" s="388" t="s">
        <v>3572</v>
      </c>
      <c r="E515" s="388" t="s">
        <v>1377</v>
      </c>
      <c r="F515" s="388" t="s">
        <v>3417</v>
      </c>
      <c r="G515" s="388" t="s">
        <v>1439</v>
      </c>
      <c r="H515" s="388" t="s">
        <v>1471</v>
      </c>
      <c r="I515" s="388" t="s">
        <v>1530</v>
      </c>
      <c r="J515" s="388" t="s">
        <v>1382</v>
      </c>
      <c r="K515" s="388" t="s">
        <v>1383</v>
      </c>
      <c r="L515" s="389">
        <v>0</v>
      </c>
      <c r="M515" s="390" t="s">
        <v>2668</v>
      </c>
      <c r="N515" s="390" t="s">
        <v>2669</v>
      </c>
      <c r="O515" s="390" t="s">
        <v>3471</v>
      </c>
      <c r="P515" s="390" t="s">
        <v>1383</v>
      </c>
      <c r="Q515" s="388" t="s">
        <v>1383</v>
      </c>
      <c r="R515" s="390">
        <v>8</v>
      </c>
      <c r="S515" s="390" t="s">
        <v>1483</v>
      </c>
      <c r="T515" s="390">
        <v>45</v>
      </c>
      <c r="U515" s="390" t="s">
        <v>1484</v>
      </c>
      <c r="V515" s="390">
        <v>4542</v>
      </c>
      <c r="W515" s="390" t="s">
        <v>2670</v>
      </c>
      <c r="X515" s="390">
        <v>80005</v>
      </c>
      <c r="Y515" s="390" t="s">
        <v>2671</v>
      </c>
      <c r="Z515" s="391" t="s">
        <v>2672</v>
      </c>
    </row>
    <row r="516" spans="2:26" ht="15.75" customHeight="1" x14ac:dyDescent="0.3">
      <c r="B516" s="387" t="s">
        <v>1375</v>
      </c>
      <c r="C516" s="388">
        <v>122602</v>
      </c>
      <c r="D516" s="388" t="s">
        <v>3573</v>
      </c>
      <c r="E516" s="388" t="s">
        <v>1377</v>
      </c>
      <c r="F516" s="388" t="s">
        <v>3417</v>
      </c>
      <c r="G516" s="388" t="s">
        <v>1439</v>
      </c>
      <c r="H516" s="388" t="s">
        <v>1471</v>
      </c>
      <c r="I516" s="388" t="s">
        <v>1530</v>
      </c>
      <c r="J516" s="388" t="s">
        <v>1382</v>
      </c>
      <c r="K516" s="388" t="s">
        <v>1383</v>
      </c>
      <c r="L516" s="389">
        <v>0</v>
      </c>
      <c r="M516" s="390" t="s">
        <v>2515</v>
      </c>
      <c r="N516" s="390" t="s">
        <v>2516</v>
      </c>
      <c r="O516" s="390" t="s">
        <v>3471</v>
      </c>
      <c r="P516" s="390" t="s">
        <v>1383</v>
      </c>
      <c r="Q516" s="388" t="s">
        <v>1383</v>
      </c>
      <c r="R516" s="390">
        <v>8</v>
      </c>
      <c r="S516" s="390" t="s">
        <v>1483</v>
      </c>
      <c r="T516" s="390">
        <v>48</v>
      </c>
      <c r="U516" s="390" t="s">
        <v>2265</v>
      </c>
      <c r="V516" s="390">
        <v>4516</v>
      </c>
      <c r="W516" s="390" t="s">
        <v>2517</v>
      </c>
      <c r="X516" s="390">
        <v>80029</v>
      </c>
      <c r="Y516" s="390" t="s">
        <v>2518</v>
      </c>
      <c r="Z516" s="391" t="s">
        <v>2519</v>
      </c>
    </row>
    <row r="517" spans="2:26" ht="15.75" customHeight="1" x14ac:dyDescent="0.3">
      <c r="B517" s="387" t="s">
        <v>1375</v>
      </c>
      <c r="C517" s="388">
        <v>122603</v>
      </c>
      <c r="D517" s="388" t="s">
        <v>3574</v>
      </c>
      <c r="E517" s="388" t="s">
        <v>1377</v>
      </c>
      <c r="F517" s="388" t="s">
        <v>3417</v>
      </c>
      <c r="G517" s="388" t="s">
        <v>1439</v>
      </c>
      <c r="H517" s="388" t="s">
        <v>1471</v>
      </c>
      <c r="I517" s="388" t="s">
        <v>1393</v>
      </c>
      <c r="J517" s="388" t="s">
        <v>1382</v>
      </c>
      <c r="K517" s="388" t="s">
        <v>1383</v>
      </c>
      <c r="L517" s="389">
        <v>0</v>
      </c>
      <c r="M517" s="390" t="s">
        <v>2263</v>
      </c>
      <c r="N517" s="390" t="s">
        <v>2264</v>
      </c>
      <c r="O517" s="390" t="s">
        <v>3471</v>
      </c>
      <c r="P517" s="390" t="s">
        <v>1383</v>
      </c>
      <c r="Q517" s="388" t="s">
        <v>1383</v>
      </c>
      <c r="R517" s="390">
        <v>8</v>
      </c>
      <c r="S517" s="390" t="s">
        <v>1483</v>
      </c>
      <c r="T517" s="390">
        <v>48</v>
      </c>
      <c r="U517" s="390" t="s">
        <v>2265</v>
      </c>
      <c r="V517" s="390">
        <v>4545</v>
      </c>
      <c r="W517" s="390" t="s">
        <v>2266</v>
      </c>
      <c r="X517" s="390">
        <v>80324</v>
      </c>
      <c r="Y517" s="390" t="s">
        <v>2262</v>
      </c>
      <c r="Z517" s="391" t="s">
        <v>2267</v>
      </c>
    </row>
    <row r="518" spans="2:26" ht="15.75" customHeight="1" x14ac:dyDescent="0.3">
      <c r="B518" s="387" t="s">
        <v>1375</v>
      </c>
      <c r="C518" s="388">
        <v>122604</v>
      </c>
      <c r="D518" s="388" t="s">
        <v>3575</v>
      </c>
      <c r="E518" s="388" t="s">
        <v>1377</v>
      </c>
      <c r="F518" s="388" t="s">
        <v>3417</v>
      </c>
      <c r="G518" s="388" t="s">
        <v>1439</v>
      </c>
      <c r="H518" s="388" t="s">
        <v>1471</v>
      </c>
      <c r="I518" s="388" t="s">
        <v>1393</v>
      </c>
      <c r="J518" s="388" t="s">
        <v>1382</v>
      </c>
      <c r="K518" s="388" t="s">
        <v>1383</v>
      </c>
      <c r="L518" s="389">
        <v>0</v>
      </c>
      <c r="M518" s="390" t="s">
        <v>2904</v>
      </c>
      <c r="N518" s="390" t="s">
        <v>2905</v>
      </c>
      <c r="O518" s="390" t="s">
        <v>3471</v>
      </c>
      <c r="P518" s="390" t="s">
        <v>1383</v>
      </c>
      <c r="Q518" s="388" t="s">
        <v>1383</v>
      </c>
      <c r="R518" s="390">
        <v>8</v>
      </c>
      <c r="S518" s="390" t="s">
        <v>1483</v>
      </c>
      <c r="T518" s="390">
        <v>48</v>
      </c>
      <c r="U518" s="390" t="s">
        <v>2265</v>
      </c>
      <c r="V518" s="390">
        <v>4517</v>
      </c>
      <c r="W518" s="390" t="s">
        <v>2906</v>
      </c>
      <c r="X518" s="390">
        <v>80136</v>
      </c>
      <c r="Y518" s="390" t="s">
        <v>2906</v>
      </c>
      <c r="Z518" s="391" t="s">
        <v>2907</v>
      </c>
    </row>
    <row r="519" spans="2:26" ht="15.75" customHeight="1" x14ac:dyDescent="0.3">
      <c r="B519" s="387" t="s">
        <v>1375</v>
      </c>
      <c r="C519" s="388">
        <v>122605</v>
      </c>
      <c r="D519" s="388" t="s">
        <v>3576</v>
      </c>
      <c r="E519" s="388" t="s">
        <v>1377</v>
      </c>
      <c r="F519" s="388" t="s">
        <v>3417</v>
      </c>
      <c r="G519" s="388" t="s">
        <v>1439</v>
      </c>
      <c r="H519" s="388" t="s">
        <v>1471</v>
      </c>
      <c r="I519" s="388" t="s">
        <v>1530</v>
      </c>
      <c r="J519" s="388" t="s">
        <v>1382</v>
      </c>
      <c r="K519" s="388" t="s">
        <v>1383</v>
      </c>
      <c r="L519" s="389">
        <v>0</v>
      </c>
      <c r="M519" s="390" t="s">
        <v>2509</v>
      </c>
      <c r="N519" s="390" t="s">
        <v>2510</v>
      </c>
      <c r="O519" s="390" t="s">
        <v>3471</v>
      </c>
      <c r="P519" s="390" t="s">
        <v>1383</v>
      </c>
      <c r="Q519" s="388" t="s">
        <v>1383</v>
      </c>
      <c r="R519" s="390">
        <v>8</v>
      </c>
      <c r="S519" s="390" t="s">
        <v>1483</v>
      </c>
      <c r="T519" s="390">
        <v>48</v>
      </c>
      <c r="U519" s="390" t="s">
        <v>2265</v>
      </c>
      <c r="V519" s="390">
        <v>4536</v>
      </c>
      <c r="W519" s="390" t="s">
        <v>2511</v>
      </c>
      <c r="X519" s="390">
        <v>80338</v>
      </c>
      <c r="Y519" s="390" t="s">
        <v>2512</v>
      </c>
      <c r="Z519" s="391" t="s">
        <v>2513</v>
      </c>
    </row>
    <row r="520" spans="2:26" ht="15.75" customHeight="1" x14ac:dyDescent="0.3">
      <c r="B520" s="387" t="s">
        <v>1375</v>
      </c>
      <c r="C520" s="388">
        <v>122606</v>
      </c>
      <c r="D520" s="388" t="s">
        <v>3577</v>
      </c>
      <c r="E520" s="388" t="s">
        <v>1377</v>
      </c>
      <c r="F520" s="388" t="s">
        <v>3417</v>
      </c>
      <c r="G520" s="388" t="s">
        <v>1439</v>
      </c>
      <c r="H520" s="388" t="s">
        <v>1471</v>
      </c>
      <c r="I520" s="388" t="s">
        <v>1530</v>
      </c>
      <c r="J520" s="388" t="s">
        <v>1382</v>
      </c>
      <c r="K520" s="388" t="s">
        <v>1383</v>
      </c>
      <c r="L520" s="389">
        <v>0</v>
      </c>
      <c r="M520" s="390" t="s">
        <v>3578</v>
      </c>
      <c r="N520" s="390" t="s">
        <v>3579</v>
      </c>
      <c r="O520" s="390" t="s">
        <v>3471</v>
      </c>
      <c r="P520" s="390" t="s">
        <v>1383</v>
      </c>
      <c r="Q520" s="388" t="s">
        <v>1383</v>
      </c>
      <c r="R520" s="390">
        <v>8</v>
      </c>
      <c r="S520" s="390" t="s">
        <v>1483</v>
      </c>
      <c r="T520" s="390">
        <v>47</v>
      </c>
      <c r="U520" s="390" t="s">
        <v>1503</v>
      </c>
      <c r="V520" s="390">
        <v>4508</v>
      </c>
      <c r="W520" s="390" t="s">
        <v>1504</v>
      </c>
      <c r="X520" s="390">
        <v>80141</v>
      </c>
      <c r="Y520" s="390" t="s">
        <v>2056</v>
      </c>
      <c r="Z520" s="391" t="s">
        <v>2057</v>
      </c>
    </row>
    <row r="521" spans="2:26" ht="15.75" customHeight="1" x14ac:dyDescent="0.3">
      <c r="B521" s="387" t="s">
        <v>1375</v>
      </c>
      <c r="C521" s="388">
        <v>122607</v>
      </c>
      <c r="D521" s="388" t="s">
        <v>3580</v>
      </c>
      <c r="E521" s="388" t="s">
        <v>1377</v>
      </c>
      <c r="F521" s="388" t="s">
        <v>3417</v>
      </c>
      <c r="G521" s="388" t="s">
        <v>1439</v>
      </c>
      <c r="H521" s="388" t="s">
        <v>1471</v>
      </c>
      <c r="I521" s="388" t="s">
        <v>1393</v>
      </c>
      <c r="J521" s="388" t="s">
        <v>1382</v>
      </c>
      <c r="K521" s="388" t="s">
        <v>1383</v>
      </c>
      <c r="L521" s="389">
        <v>0</v>
      </c>
      <c r="M521" s="390" t="s">
        <v>2269</v>
      </c>
      <c r="N521" s="390" t="s">
        <v>2270</v>
      </c>
      <c r="O521" s="390" t="s">
        <v>3471</v>
      </c>
      <c r="P521" s="390" t="s">
        <v>1383</v>
      </c>
      <c r="Q521" s="388" t="s">
        <v>1383</v>
      </c>
      <c r="R521" s="390">
        <v>8</v>
      </c>
      <c r="S521" s="390" t="s">
        <v>1483</v>
      </c>
      <c r="T521" s="390">
        <v>46</v>
      </c>
      <c r="U521" s="390" t="s">
        <v>1523</v>
      </c>
      <c r="V521" s="390">
        <v>6503</v>
      </c>
      <c r="W521" s="390" t="s">
        <v>2271</v>
      </c>
      <c r="X521" s="390">
        <v>80329</v>
      </c>
      <c r="Y521" s="390" t="s">
        <v>2272</v>
      </c>
      <c r="Z521" s="391" t="s">
        <v>2273</v>
      </c>
    </row>
    <row r="522" spans="2:26" ht="15.75" customHeight="1" x14ac:dyDescent="0.3">
      <c r="B522" s="387" t="s">
        <v>1375</v>
      </c>
      <c r="C522" s="388">
        <v>122608</v>
      </c>
      <c r="D522" s="388" t="s">
        <v>3581</v>
      </c>
      <c r="E522" s="388" t="s">
        <v>1377</v>
      </c>
      <c r="F522" s="388" t="s">
        <v>3417</v>
      </c>
      <c r="G522" s="388" t="s">
        <v>1439</v>
      </c>
      <c r="H522" s="388" t="s">
        <v>1471</v>
      </c>
      <c r="I522" s="388" t="s">
        <v>1393</v>
      </c>
      <c r="J522" s="388" t="s">
        <v>1382</v>
      </c>
      <c r="K522" s="388" t="s">
        <v>1383</v>
      </c>
      <c r="L522" s="389">
        <v>0</v>
      </c>
      <c r="M522" s="390" t="s">
        <v>2674</v>
      </c>
      <c r="N522" s="390" t="s">
        <v>2638</v>
      </c>
      <c r="O522" s="390" t="s">
        <v>3471</v>
      </c>
      <c r="P522" s="390" t="s">
        <v>1383</v>
      </c>
      <c r="Q522" s="388" t="s">
        <v>1383</v>
      </c>
      <c r="R522" s="390">
        <v>8</v>
      </c>
      <c r="S522" s="390" t="s">
        <v>1483</v>
      </c>
      <c r="T522" s="390">
        <v>82</v>
      </c>
      <c r="U522" s="390" t="s">
        <v>1511</v>
      </c>
      <c r="V522" s="390">
        <v>4555</v>
      </c>
      <c r="W522" s="390" t="s">
        <v>1512</v>
      </c>
      <c r="X522" s="390">
        <v>80218</v>
      </c>
      <c r="Y522" s="390" t="s">
        <v>1513</v>
      </c>
      <c r="Z522" s="391" t="s">
        <v>2675</v>
      </c>
    </row>
    <row r="523" spans="2:26" ht="15.75" customHeight="1" x14ac:dyDescent="0.3">
      <c r="B523" s="387" t="s">
        <v>1375</v>
      </c>
      <c r="C523" s="388">
        <v>122609</v>
      </c>
      <c r="D523" s="388" t="s">
        <v>3582</v>
      </c>
      <c r="E523" s="388" t="s">
        <v>1377</v>
      </c>
      <c r="F523" s="388" t="s">
        <v>3417</v>
      </c>
      <c r="G523" s="388" t="s">
        <v>1439</v>
      </c>
      <c r="H523" s="388" t="s">
        <v>1471</v>
      </c>
      <c r="I523" s="388" t="s">
        <v>1393</v>
      </c>
      <c r="J523" s="388" t="s">
        <v>1382</v>
      </c>
      <c r="K523" s="388" t="s">
        <v>1383</v>
      </c>
      <c r="L523" s="389">
        <v>0</v>
      </c>
      <c r="M523" s="390" t="s">
        <v>3583</v>
      </c>
      <c r="N523" s="390" t="s">
        <v>3584</v>
      </c>
      <c r="O523" s="390" t="s">
        <v>3471</v>
      </c>
      <c r="P523" s="390" t="s">
        <v>1383</v>
      </c>
      <c r="Q523" s="388" t="s">
        <v>1383</v>
      </c>
      <c r="R523" s="390">
        <v>8</v>
      </c>
      <c r="S523" s="390" t="s">
        <v>1483</v>
      </c>
      <c r="T523" s="390">
        <v>82</v>
      </c>
      <c r="U523" s="390" t="s">
        <v>1511</v>
      </c>
      <c r="V523" s="390">
        <v>4554</v>
      </c>
      <c r="W523" s="390" t="s">
        <v>1511</v>
      </c>
      <c r="X523" s="390">
        <v>80219</v>
      </c>
      <c r="Y523" s="390" t="s">
        <v>1518</v>
      </c>
      <c r="Z523" s="391" t="s">
        <v>1519</v>
      </c>
    </row>
    <row r="524" spans="2:26" ht="15.75" customHeight="1" x14ac:dyDescent="0.3">
      <c r="B524" s="387" t="s">
        <v>1375</v>
      </c>
      <c r="C524" s="388">
        <v>122610</v>
      </c>
      <c r="D524" s="388" t="s">
        <v>3585</v>
      </c>
      <c r="E524" s="388" t="s">
        <v>1377</v>
      </c>
      <c r="F524" s="388" t="s">
        <v>3417</v>
      </c>
      <c r="G524" s="388" t="s">
        <v>1439</v>
      </c>
      <c r="H524" s="388" t="s">
        <v>1471</v>
      </c>
      <c r="I524" s="388" t="s">
        <v>1393</v>
      </c>
      <c r="J524" s="388" t="s">
        <v>1382</v>
      </c>
      <c r="K524" s="388" t="s">
        <v>1383</v>
      </c>
      <c r="L524" s="389">
        <v>0</v>
      </c>
      <c r="M524" s="390" t="s">
        <v>3586</v>
      </c>
      <c r="N524" s="390">
        <v>3204350176</v>
      </c>
      <c r="O524" s="390" t="s">
        <v>3471</v>
      </c>
      <c r="P524" s="390" t="s">
        <v>1383</v>
      </c>
      <c r="Q524" s="388" t="s">
        <v>1383</v>
      </c>
      <c r="R524" s="390">
        <v>8</v>
      </c>
      <c r="S524" s="390" t="s">
        <v>1483</v>
      </c>
      <c r="T524" s="390">
        <v>83</v>
      </c>
      <c r="U524" s="390" t="s">
        <v>1921</v>
      </c>
      <c r="V524" s="390">
        <v>4316</v>
      </c>
      <c r="W524" s="390" t="s">
        <v>1921</v>
      </c>
      <c r="X524" s="390">
        <v>80174</v>
      </c>
      <c r="Y524" s="390" t="s">
        <v>3212</v>
      </c>
      <c r="Z524" s="391" t="s">
        <v>3213</v>
      </c>
    </row>
    <row r="525" spans="2:26" ht="15.75" customHeight="1" x14ac:dyDescent="0.3">
      <c r="B525" s="387" t="s">
        <v>1375</v>
      </c>
      <c r="C525" s="388">
        <v>122611</v>
      </c>
      <c r="D525" s="388" t="s">
        <v>3587</v>
      </c>
      <c r="E525" s="388" t="s">
        <v>1377</v>
      </c>
      <c r="F525" s="388" t="s">
        <v>3417</v>
      </c>
      <c r="G525" s="388" t="s">
        <v>1439</v>
      </c>
      <c r="H525" s="388" t="s">
        <v>1471</v>
      </c>
      <c r="I525" s="388" t="s">
        <v>1530</v>
      </c>
      <c r="J525" s="388" t="s">
        <v>1382</v>
      </c>
      <c r="K525" s="388" t="s">
        <v>1383</v>
      </c>
      <c r="L525" s="389">
        <v>0</v>
      </c>
      <c r="M525" s="390" t="s">
        <v>2633</v>
      </c>
      <c r="N525" s="390" t="s">
        <v>2634</v>
      </c>
      <c r="O525" s="390" t="s">
        <v>3471</v>
      </c>
      <c r="P525" s="390" t="s">
        <v>1383</v>
      </c>
      <c r="Q525" s="388" t="s">
        <v>1383</v>
      </c>
      <c r="R525" s="390">
        <v>8</v>
      </c>
      <c r="S525" s="390" t="s">
        <v>1483</v>
      </c>
      <c r="T525" s="390">
        <v>82</v>
      </c>
      <c r="U525" s="390" t="s">
        <v>1511</v>
      </c>
      <c r="V525" s="390">
        <v>4612</v>
      </c>
      <c r="W525" s="390" t="s">
        <v>1994</v>
      </c>
      <c r="X525" s="390">
        <v>80079</v>
      </c>
      <c r="Y525" s="390" t="s">
        <v>1994</v>
      </c>
      <c r="Z525" s="391" t="s">
        <v>2635</v>
      </c>
    </row>
    <row r="526" spans="2:26" ht="15.75" customHeight="1" x14ac:dyDescent="0.3">
      <c r="B526" s="387" t="s">
        <v>1375</v>
      </c>
      <c r="C526" s="388">
        <v>122612</v>
      </c>
      <c r="D526" s="388" t="s">
        <v>3588</v>
      </c>
      <c r="E526" s="388" t="s">
        <v>1377</v>
      </c>
      <c r="F526" s="388" t="s">
        <v>3417</v>
      </c>
      <c r="G526" s="388" t="s">
        <v>1439</v>
      </c>
      <c r="H526" s="388" t="s">
        <v>1471</v>
      </c>
      <c r="I526" s="388" t="s">
        <v>1393</v>
      </c>
      <c r="J526" s="388" t="s">
        <v>1382</v>
      </c>
      <c r="K526" s="388" t="s">
        <v>1383</v>
      </c>
      <c r="L526" s="389">
        <v>0</v>
      </c>
      <c r="M526" s="390" t="s">
        <v>2374</v>
      </c>
      <c r="N526" s="390" t="s">
        <v>2375</v>
      </c>
      <c r="O526" s="390" t="s">
        <v>3471</v>
      </c>
      <c r="P526" s="390" t="s">
        <v>1383</v>
      </c>
      <c r="Q526" s="388" t="s">
        <v>1383</v>
      </c>
      <c r="R526" s="390">
        <v>8</v>
      </c>
      <c r="S526" s="390" t="s">
        <v>1483</v>
      </c>
      <c r="T526" s="390">
        <v>79</v>
      </c>
      <c r="U526" s="390" t="s">
        <v>2376</v>
      </c>
      <c r="V526" s="390">
        <v>4627</v>
      </c>
      <c r="W526" s="390" t="s">
        <v>1858</v>
      </c>
      <c r="X526" s="390">
        <v>80341</v>
      </c>
      <c r="Y526" s="390" t="s">
        <v>2373</v>
      </c>
      <c r="Z526" s="391" t="s">
        <v>2377</v>
      </c>
    </row>
    <row r="527" spans="2:26" ht="15.75" customHeight="1" x14ac:dyDescent="0.3">
      <c r="B527" s="387" t="s">
        <v>1375</v>
      </c>
      <c r="C527" s="388">
        <v>122614</v>
      </c>
      <c r="D527" s="388" t="s">
        <v>3589</v>
      </c>
      <c r="E527" s="388" t="s">
        <v>1377</v>
      </c>
      <c r="F527" s="388" t="s">
        <v>3417</v>
      </c>
      <c r="G527" s="388" t="s">
        <v>1439</v>
      </c>
      <c r="H527" s="388" t="s">
        <v>1471</v>
      </c>
      <c r="I527" s="388" t="s">
        <v>1393</v>
      </c>
      <c r="J527" s="388" t="s">
        <v>1382</v>
      </c>
      <c r="K527" s="388" t="s">
        <v>1383</v>
      </c>
      <c r="L527" s="389">
        <v>0</v>
      </c>
      <c r="M527" s="390" t="s">
        <v>2443</v>
      </c>
      <c r="N527" s="390" t="s">
        <v>2444</v>
      </c>
      <c r="O527" s="390" t="s">
        <v>3481</v>
      </c>
      <c r="P527" s="390" t="s">
        <v>1383</v>
      </c>
      <c r="Q527" s="388" t="s">
        <v>1383</v>
      </c>
      <c r="R527" s="390">
        <v>14</v>
      </c>
      <c r="S527" s="390" t="s">
        <v>1718</v>
      </c>
      <c r="T527" s="390">
        <v>37</v>
      </c>
      <c r="U527" s="390" t="s">
        <v>2445</v>
      </c>
      <c r="V527" s="390">
        <v>4111</v>
      </c>
      <c r="W527" s="390" t="s">
        <v>2446</v>
      </c>
      <c r="X527" s="390">
        <v>140005</v>
      </c>
      <c r="Y527" s="390" t="s">
        <v>2446</v>
      </c>
      <c r="Z527" s="391" t="s">
        <v>2447</v>
      </c>
    </row>
    <row r="528" spans="2:26" ht="15.75" customHeight="1" x14ac:dyDescent="0.3">
      <c r="B528" s="387" t="s">
        <v>1375</v>
      </c>
      <c r="C528" s="388">
        <v>122615</v>
      </c>
      <c r="D528" s="388" t="s">
        <v>3590</v>
      </c>
      <c r="E528" s="388" t="s">
        <v>1377</v>
      </c>
      <c r="F528" s="388" t="s">
        <v>3417</v>
      </c>
      <c r="G528" s="388" t="s">
        <v>1439</v>
      </c>
      <c r="H528" s="388" t="s">
        <v>1471</v>
      </c>
      <c r="I528" s="388" t="s">
        <v>1530</v>
      </c>
      <c r="J528" s="388" t="s">
        <v>1382</v>
      </c>
      <c r="K528" s="388" t="s">
        <v>1383</v>
      </c>
      <c r="L528" s="389">
        <v>0</v>
      </c>
      <c r="M528" s="390" t="s">
        <v>3591</v>
      </c>
      <c r="N528" s="390" t="s">
        <v>2790</v>
      </c>
      <c r="O528" s="390" t="s">
        <v>3478</v>
      </c>
      <c r="P528" s="390" t="s">
        <v>1383</v>
      </c>
      <c r="Q528" s="388" t="s">
        <v>1383</v>
      </c>
      <c r="R528" s="390">
        <v>14</v>
      </c>
      <c r="S528" s="390" t="s">
        <v>1718</v>
      </c>
      <c r="T528" s="390">
        <v>102</v>
      </c>
      <c r="U528" s="390" t="s">
        <v>1719</v>
      </c>
      <c r="V528" s="390">
        <v>4104</v>
      </c>
      <c r="W528" s="390" t="s">
        <v>2791</v>
      </c>
      <c r="X528" s="390">
        <v>140008</v>
      </c>
      <c r="Y528" s="390" t="s">
        <v>2791</v>
      </c>
      <c r="Z528" s="391" t="s">
        <v>2792</v>
      </c>
    </row>
    <row r="529" spans="2:26" ht="15.75" customHeight="1" x14ac:dyDescent="0.3">
      <c r="B529" s="387" t="s">
        <v>1375</v>
      </c>
      <c r="C529" s="388">
        <v>122616</v>
      </c>
      <c r="D529" s="388" t="s">
        <v>3592</v>
      </c>
      <c r="E529" s="388" t="s">
        <v>1377</v>
      </c>
      <c r="F529" s="388" t="s">
        <v>3417</v>
      </c>
      <c r="G529" s="388" t="s">
        <v>1439</v>
      </c>
      <c r="H529" s="388" t="s">
        <v>1471</v>
      </c>
      <c r="I529" s="388" t="s">
        <v>1440</v>
      </c>
      <c r="J529" s="388" t="s">
        <v>1382</v>
      </c>
      <c r="K529" s="388" t="s">
        <v>1383</v>
      </c>
      <c r="L529" s="389">
        <v>0</v>
      </c>
      <c r="M529" s="390" t="s">
        <v>2892</v>
      </c>
      <c r="N529" s="390" t="s">
        <v>2893</v>
      </c>
      <c r="O529" s="390" t="s">
        <v>3478</v>
      </c>
      <c r="P529" s="390" t="s">
        <v>1383</v>
      </c>
      <c r="Q529" s="388" t="s">
        <v>1383</v>
      </c>
      <c r="R529" s="390">
        <v>15</v>
      </c>
      <c r="S529" s="390" t="s">
        <v>1735</v>
      </c>
      <c r="T529" s="390">
        <v>35</v>
      </c>
      <c r="U529" s="390" t="s">
        <v>2733</v>
      </c>
      <c r="V529" s="390">
        <v>1208</v>
      </c>
      <c r="W529" s="390" t="s">
        <v>2894</v>
      </c>
      <c r="X529" s="390">
        <v>150015</v>
      </c>
      <c r="Y529" s="390" t="s">
        <v>2895</v>
      </c>
      <c r="Z529" s="391" t="s">
        <v>2896</v>
      </c>
    </row>
    <row r="530" spans="2:26" ht="15.75" customHeight="1" x14ac:dyDescent="0.3">
      <c r="B530" s="387" t="s">
        <v>1375</v>
      </c>
      <c r="C530" s="388">
        <v>122617</v>
      </c>
      <c r="D530" s="388" t="s">
        <v>3593</v>
      </c>
      <c r="E530" s="388" t="s">
        <v>1377</v>
      </c>
      <c r="F530" s="388" t="s">
        <v>3417</v>
      </c>
      <c r="G530" s="388" t="s">
        <v>1439</v>
      </c>
      <c r="H530" s="388" t="s">
        <v>1471</v>
      </c>
      <c r="I530" s="388" t="s">
        <v>1393</v>
      </c>
      <c r="J530" s="388" t="s">
        <v>1382</v>
      </c>
      <c r="K530" s="388" t="s">
        <v>1383</v>
      </c>
      <c r="L530" s="389">
        <v>0</v>
      </c>
      <c r="M530" s="390" t="s">
        <v>1776</v>
      </c>
      <c r="N530" s="390" t="s">
        <v>1777</v>
      </c>
      <c r="O530" s="390" t="s">
        <v>3478</v>
      </c>
      <c r="P530" s="390" t="s">
        <v>1383</v>
      </c>
      <c r="Q530" s="388" t="s">
        <v>1383</v>
      </c>
      <c r="R530" s="390">
        <v>16</v>
      </c>
      <c r="S530" s="390" t="s">
        <v>1746</v>
      </c>
      <c r="T530" s="390">
        <v>43</v>
      </c>
      <c r="U530" s="390" t="s">
        <v>1753</v>
      </c>
      <c r="V530" s="390">
        <v>4307</v>
      </c>
      <c r="W530" s="390" t="s">
        <v>1778</v>
      </c>
      <c r="X530" s="390">
        <v>160053</v>
      </c>
      <c r="Y530" s="390" t="s">
        <v>1778</v>
      </c>
      <c r="Z530" s="391" t="s">
        <v>1779</v>
      </c>
    </row>
    <row r="531" spans="2:26" ht="15.75" customHeight="1" x14ac:dyDescent="0.3">
      <c r="B531" s="387" t="s">
        <v>1375</v>
      </c>
      <c r="C531" s="388">
        <v>122618</v>
      </c>
      <c r="D531" s="388" t="s">
        <v>3594</v>
      </c>
      <c r="E531" s="388" t="s">
        <v>1377</v>
      </c>
      <c r="F531" s="388" t="s">
        <v>3417</v>
      </c>
      <c r="G531" s="388" t="s">
        <v>1439</v>
      </c>
      <c r="H531" s="388" t="s">
        <v>1471</v>
      </c>
      <c r="I531" s="388" t="s">
        <v>1530</v>
      </c>
      <c r="J531" s="388" t="s">
        <v>1382</v>
      </c>
      <c r="K531" s="388" t="s">
        <v>1383</v>
      </c>
      <c r="L531" s="389">
        <v>0</v>
      </c>
      <c r="M531" s="390" t="s">
        <v>2473</v>
      </c>
      <c r="N531" s="390" t="s">
        <v>3595</v>
      </c>
      <c r="O531" s="390" t="s">
        <v>3478</v>
      </c>
      <c r="P531" s="390" t="s">
        <v>1383</v>
      </c>
      <c r="Q531" s="388" t="s">
        <v>1383</v>
      </c>
      <c r="R531" s="390">
        <v>16</v>
      </c>
      <c r="S531" s="390" t="s">
        <v>1746</v>
      </c>
      <c r="T531" s="390">
        <v>40</v>
      </c>
      <c r="U531" s="390" t="s">
        <v>1747</v>
      </c>
      <c r="V531" s="390">
        <v>4402</v>
      </c>
      <c r="W531" s="390" t="s">
        <v>2475</v>
      </c>
      <c r="X531" s="390">
        <v>160059</v>
      </c>
      <c r="Y531" s="390" t="s">
        <v>2476</v>
      </c>
      <c r="Z531" s="391" t="s">
        <v>2477</v>
      </c>
    </row>
    <row r="532" spans="2:26" ht="15.75" customHeight="1" x14ac:dyDescent="0.3">
      <c r="B532" s="387" t="s">
        <v>1375</v>
      </c>
      <c r="C532" s="388">
        <v>122619</v>
      </c>
      <c r="D532" s="388" t="s">
        <v>3596</v>
      </c>
      <c r="E532" s="388" t="s">
        <v>1377</v>
      </c>
      <c r="F532" s="388" t="s">
        <v>3417</v>
      </c>
      <c r="G532" s="388" t="s">
        <v>1439</v>
      </c>
      <c r="H532" s="388" t="s">
        <v>1380</v>
      </c>
      <c r="I532" s="388" t="s">
        <v>1530</v>
      </c>
      <c r="J532" s="388" t="s">
        <v>1382</v>
      </c>
      <c r="K532" s="388" t="s">
        <v>1383</v>
      </c>
      <c r="L532" s="389">
        <v>0</v>
      </c>
      <c r="M532" s="390" t="s">
        <v>3004</v>
      </c>
      <c r="N532" s="390" t="s">
        <v>3005</v>
      </c>
      <c r="O532" s="390" t="s">
        <v>3423</v>
      </c>
      <c r="P532" s="390" t="s">
        <v>1383</v>
      </c>
      <c r="Q532" s="388" t="s">
        <v>1383</v>
      </c>
      <c r="R532" s="390">
        <v>7</v>
      </c>
      <c r="S532" s="390" t="s">
        <v>1687</v>
      </c>
      <c r="T532" s="390">
        <v>84</v>
      </c>
      <c r="U532" s="390" t="s">
        <v>1920</v>
      </c>
      <c r="V532" s="390">
        <v>4622</v>
      </c>
      <c r="W532" s="390" t="s">
        <v>3006</v>
      </c>
      <c r="X532" s="390">
        <v>70084</v>
      </c>
      <c r="Y532" s="390" t="s">
        <v>3007</v>
      </c>
      <c r="Z532" s="391" t="s">
        <v>3008</v>
      </c>
    </row>
    <row r="533" spans="2:26" ht="15.75" customHeight="1" x14ac:dyDescent="0.3">
      <c r="B533" s="387" t="s">
        <v>1375</v>
      </c>
      <c r="C533" s="388">
        <v>122620</v>
      </c>
      <c r="D533" s="388" t="s">
        <v>3597</v>
      </c>
      <c r="E533" s="388" t="s">
        <v>1377</v>
      </c>
      <c r="F533" s="388" t="s">
        <v>3417</v>
      </c>
      <c r="G533" s="388" t="s">
        <v>1439</v>
      </c>
      <c r="H533" s="388" t="s">
        <v>1380</v>
      </c>
      <c r="I533" s="388" t="s">
        <v>1440</v>
      </c>
      <c r="J533" s="388" t="s">
        <v>1382</v>
      </c>
      <c r="K533" s="388" t="s">
        <v>1383</v>
      </c>
      <c r="L533" s="389">
        <v>0</v>
      </c>
      <c r="M533" s="390" t="s">
        <v>2184</v>
      </c>
      <c r="N533" s="390" t="s">
        <v>3598</v>
      </c>
      <c r="O533" s="390" t="s">
        <v>3423</v>
      </c>
      <c r="P533" s="390" t="s">
        <v>1383</v>
      </c>
      <c r="Q533" s="388" t="s">
        <v>1383</v>
      </c>
      <c r="R533" s="390">
        <v>4</v>
      </c>
      <c r="S533" s="390" t="s">
        <v>1451</v>
      </c>
      <c r="T533" s="390">
        <v>50</v>
      </c>
      <c r="U533" s="390" t="s">
        <v>1458</v>
      </c>
      <c r="V533" s="390">
        <v>1355</v>
      </c>
      <c r="W533" s="390" t="s">
        <v>2186</v>
      </c>
      <c r="X533" s="390">
        <v>40091</v>
      </c>
      <c r="Y533" s="390" t="s">
        <v>2187</v>
      </c>
      <c r="Z533" s="391" t="s">
        <v>2188</v>
      </c>
    </row>
    <row r="534" spans="2:26" ht="15.75" customHeight="1" x14ac:dyDescent="0.3">
      <c r="B534" s="387" t="s">
        <v>1375</v>
      </c>
      <c r="C534" s="388">
        <v>122621</v>
      </c>
      <c r="D534" s="388" t="s">
        <v>3599</v>
      </c>
      <c r="E534" s="388" t="s">
        <v>1377</v>
      </c>
      <c r="F534" s="388" t="s">
        <v>3417</v>
      </c>
      <c r="G534" s="388" t="s">
        <v>1439</v>
      </c>
      <c r="H534" s="388" t="s">
        <v>1380</v>
      </c>
      <c r="I534" s="388" t="s">
        <v>1530</v>
      </c>
      <c r="J534" s="388" t="s">
        <v>1382</v>
      </c>
      <c r="K534" s="388" t="s">
        <v>1383</v>
      </c>
      <c r="L534" s="389">
        <v>0</v>
      </c>
      <c r="M534" s="390" t="s">
        <v>3066</v>
      </c>
      <c r="N534" s="390" t="s">
        <v>3600</v>
      </c>
      <c r="O534" s="390" t="s">
        <v>3423</v>
      </c>
      <c r="P534" s="390" t="s">
        <v>1383</v>
      </c>
      <c r="Q534" s="388" t="s">
        <v>1383</v>
      </c>
      <c r="R534" s="390">
        <v>4</v>
      </c>
      <c r="S534" s="390" t="s">
        <v>1451</v>
      </c>
      <c r="T534" s="390">
        <v>51</v>
      </c>
      <c r="U534" s="390" t="s">
        <v>1885</v>
      </c>
      <c r="V534" s="390">
        <v>1327</v>
      </c>
      <c r="W534" s="390" t="s">
        <v>1885</v>
      </c>
      <c r="X534" s="390">
        <v>40103</v>
      </c>
      <c r="Y534" s="390" t="s">
        <v>1885</v>
      </c>
      <c r="Z534" s="391" t="s">
        <v>3068</v>
      </c>
    </row>
    <row r="535" spans="2:26" ht="15.75" customHeight="1" x14ac:dyDescent="0.3">
      <c r="B535" s="387" t="s">
        <v>1375</v>
      </c>
      <c r="C535" s="388">
        <v>122623</v>
      </c>
      <c r="D535" s="388" t="s">
        <v>3601</v>
      </c>
      <c r="E535" s="388" t="s">
        <v>1377</v>
      </c>
      <c r="F535" s="388" t="s">
        <v>3417</v>
      </c>
      <c r="G535" s="388" t="s">
        <v>1439</v>
      </c>
      <c r="H535" s="388" t="s">
        <v>1471</v>
      </c>
      <c r="I535" s="388" t="s">
        <v>1530</v>
      </c>
      <c r="J535" s="388" t="s">
        <v>1382</v>
      </c>
      <c r="K535" s="388" t="s">
        <v>1383</v>
      </c>
      <c r="L535" s="389">
        <v>0</v>
      </c>
      <c r="M535" s="390" t="s">
        <v>3267</v>
      </c>
      <c r="N535" s="390" t="s">
        <v>3602</v>
      </c>
      <c r="O535" s="390" t="s">
        <v>3478</v>
      </c>
      <c r="P535" s="390" t="s">
        <v>1383</v>
      </c>
      <c r="Q535" s="388" t="s">
        <v>1383</v>
      </c>
      <c r="R535" s="390">
        <v>14</v>
      </c>
      <c r="S535" s="390" t="s">
        <v>1718</v>
      </c>
      <c r="T535" s="390">
        <v>37</v>
      </c>
      <c r="U535" s="390" t="s">
        <v>2445</v>
      </c>
      <c r="V535" s="390">
        <v>4105</v>
      </c>
      <c r="W535" s="390" t="s">
        <v>3268</v>
      </c>
      <c r="X535" s="390">
        <v>140003</v>
      </c>
      <c r="Y535" s="390" t="s">
        <v>3268</v>
      </c>
      <c r="Z535" s="391" t="s">
        <v>3269</v>
      </c>
    </row>
    <row r="536" spans="2:26" ht="15.75" customHeight="1" x14ac:dyDescent="0.3">
      <c r="B536" s="387" t="s">
        <v>1375</v>
      </c>
      <c r="C536" s="388">
        <v>122624</v>
      </c>
      <c r="D536" s="388" t="s">
        <v>3603</v>
      </c>
      <c r="E536" s="388" t="s">
        <v>1377</v>
      </c>
      <c r="F536" s="388" t="s">
        <v>3417</v>
      </c>
      <c r="G536" s="388" t="s">
        <v>1439</v>
      </c>
      <c r="H536" s="388" t="s">
        <v>1380</v>
      </c>
      <c r="I536" s="388" t="s">
        <v>1393</v>
      </c>
      <c r="J536" s="388" t="s">
        <v>1382</v>
      </c>
      <c r="K536" s="388" t="s">
        <v>1383</v>
      </c>
      <c r="L536" s="389">
        <v>0</v>
      </c>
      <c r="M536" s="390" t="s">
        <v>3332</v>
      </c>
      <c r="N536" s="390" t="s">
        <v>1678</v>
      </c>
      <c r="O536" s="390" t="s">
        <v>3423</v>
      </c>
      <c r="P536" s="390" t="s">
        <v>1383</v>
      </c>
      <c r="Q536" s="388" t="s">
        <v>1383</v>
      </c>
      <c r="R536" s="390">
        <v>6</v>
      </c>
      <c r="S536" s="390" t="s">
        <v>1658</v>
      </c>
      <c r="T536" s="390">
        <v>62</v>
      </c>
      <c r="U536" s="390" t="s">
        <v>1658</v>
      </c>
      <c r="V536" s="390">
        <v>2508</v>
      </c>
      <c r="W536" s="390" t="s">
        <v>1658</v>
      </c>
      <c r="X536" s="390">
        <v>60031</v>
      </c>
      <c r="Y536" s="390" t="s">
        <v>1658</v>
      </c>
      <c r="Z536" s="391" t="s">
        <v>3334</v>
      </c>
    </row>
    <row r="537" spans="2:26" ht="15.75" customHeight="1" x14ac:dyDescent="0.3">
      <c r="B537" s="387" t="s">
        <v>1375</v>
      </c>
      <c r="C537" s="388">
        <v>122625</v>
      </c>
      <c r="D537" s="388" t="s">
        <v>3604</v>
      </c>
      <c r="E537" s="388" t="s">
        <v>1377</v>
      </c>
      <c r="F537" s="388" t="s">
        <v>3417</v>
      </c>
      <c r="G537" s="388" t="s">
        <v>1439</v>
      </c>
      <c r="H537" s="388" t="s">
        <v>1380</v>
      </c>
      <c r="I537" s="388" t="s">
        <v>1530</v>
      </c>
      <c r="J537" s="388" t="s">
        <v>3369</v>
      </c>
      <c r="K537" s="388" t="s">
        <v>1383</v>
      </c>
      <c r="L537" s="389">
        <v>0</v>
      </c>
      <c r="M537" s="390" t="s">
        <v>3081</v>
      </c>
      <c r="N537" s="390">
        <v>3679801</v>
      </c>
      <c r="O537" s="392" t="s">
        <v>3605</v>
      </c>
      <c r="P537" s="390" t="s">
        <v>1383</v>
      </c>
      <c r="Q537" s="388" t="s">
        <v>1383</v>
      </c>
      <c r="R537" s="390">
        <v>4</v>
      </c>
      <c r="S537" s="390" t="s">
        <v>1451</v>
      </c>
      <c r="T537" s="390">
        <v>50</v>
      </c>
      <c r="U537" s="390" t="s">
        <v>3606</v>
      </c>
      <c r="V537" s="390" t="s">
        <v>1383</v>
      </c>
      <c r="W537" s="390" t="s">
        <v>1383</v>
      </c>
      <c r="X537" s="390" t="s">
        <v>1383</v>
      </c>
      <c r="Y537" s="390" t="s">
        <v>2183</v>
      </c>
      <c r="Z537" s="391" t="s">
        <v>3607</v>
      </c>
    </row>
    <row r="538" spans="2:26" ht="15.75" customHeight="1" x14ac:dyDescent="0.3">
      <c r="B538" s="387" t="s">
        <v>1375</v>
      </c>
      <c r="C538" s="388">
        <v>122626</v>
      </c>
      <c r="D538" s="388" t="s">
        <v>3608</v>
      </c>
      <c r="E538" s="388" t="s">
        <v>1377</v>
      </c>
      <c r="F538" s="388" t="s">
        <v>3417</v>
      </c>
      <c r="G538" s="388" t="s">
        <v>1439</v>
      </c>
      <c r="H538" s="388" t="s">
        <v>1380</v>
      </c>
      <c r="I538" s="388" t="s">
        <v>1393</v>
      </c>
      <c r="J538" s="388" t="s">
        <v>3369</v>
      </c>
      <c r="K538" s="388" t="s">
        <v>1383</v>
      </c>
      <c r="L538" s="389">
        <v>0</v>
      </c>
      <c r="M538" s="390" t="s">
        <v>1637</v>
      </c>
      <c r="N538" s="390" t="s">
        <v>3609</v>
      </c>
      <c r="O538" s="390" t="s">
        <v>3536</v>
      </c>
      <c r="P538" s="390" t="s">
        <v>1383</v>
      </c>
      <c r="Q538" s="388" t="s">
        <v>1383</v>
      </c>
      <c r="R538" s="390">
        <v>5</v>
      </c>
      <c r="S538" s="390" t="s">
        <v>1466</v>
      </c>
      <c r="T538" s="390">
        <v>57</v>
      </c>
      <c r="U538" s="390" t="s">
        <v>3537</v>
      </c>
      <c r="V538" s="390" t="s">
        <v>1383</v>
      </c>
      <c r="W538" s="390" t="s">
        <v>1383</v>
      </c>
      <c r="X538" s="390" t="s">
        <v>1383</v>
      </c>
      <c r="Y538" s="390" t="s">
        <v>1468</v>
      </c>
      <c r="Z538" s="391" t="s">
        <v>1640</v>
      </c>
    </row>
    <row r="539" spans="2:26" ht="15.75" customHeight="1" x14ac:dyDescent="0.3">
      <c r="B539" s="387" t="s">
        <v>1375</v>
      </c>
      <c r="C539" s="388">
        <v>122628</v>
      </c>
      <c r="D539" s="388" t="s">
        <v>3610</v>
      </c>
      <c r="E539" s="388" t="s">
        <v>1377</v>
      </c>
      <c r="F539" s="388" t="s">
        <v>3417</v>
      </c>
      <c r="G539" s="388" t="s">
        <v>1439</v>
      </c>
      <c r="H539" s="388" t="s">
        <v>1471</v>
      </c>
      <c r="I539" s="388" t="s">
        <v>1440</v>
      </c>
      <c r="J539" s="388" t="s">
        <v>1382</v>
      </c>
      <c r="K539" s="388" t="s">
        <v>1383</v>
      </c>
      <c r="L539" s="389">
        <v>0</v>
      </c>
      <c r="M539" s="390" t="s">
        <v>1545</v>
      </c>
      <c r="N539" s="390" t="s">
        <v>1546</v>
      </c>
      <c r="O539" s="390" t="s">
        <v>3471</v>
      </c>
      <c r="P539" s="390" t="s">
        <v>1383</v>
      </c>
      <c r="Q539" s="388" t="s">
        <v>1383</v>
      </c>
      <c r="R539" s="390">
        <v>9</v>
      </c>
      <c r="S539" s="390" t="s">
        <v>1533</v>
      </c>
      <c r="T539" s="390">
        <v>75</v>
      </c>
      <c r="U539" s="390" t="s">
        <v>1533</v>
      </c>
      <c r="V539" s="390">
        <v>6402</v>
      </c>
      <c r="W539" s="390" t="s">
        <v>1547</v>
      </c>
      <c r="X539" s="390">
        <v>90062</v>
      </c>
      <c r="Y539" s="390" t="s">
        <v>1544</v>
      </c>
      <c r="Z539" s="391" t="s">
        <v>1548</v>
      </c>
    </row>
    <row r="540" spans="2:26" ht="15.75" customHeight="1" x14ac:dyDescent="0.3">
      <c r="B540" s="387" t="s">
        <v>1375</v>
      </c>
      <c r="C540" s="388">
        <v>122629</v>
      </c>
      <c r="D540" s="388" t="s">
        <v>3611</v>
      </c>
      <c r="E540" s="388" t="s">
        <v>1377</v>
      </c>
      <c r="F540" s="388" t="s">
        <v>3417</v>
      </c>
      <c r="G540" s="388" t="s">
        <v>1439</v>
      </c>
      <c r="H540" s="388" t="s">
        <v>1471</v>
      </c>
      <c r="I540" s="388" t="s">
        <v>1393</v>
      </c>
      <c r="J540" s="388" t="s">
        <v>1382</v>
      </c>
      <c r="K540" s="388" t="s">
        <v>1383</v>
      </c>
      <c r="L540" s="389">
        <v>0</v>
      </c>
      <c r="M540" s="390" t="s">
        <v>3612</v>
      </c>
      <c r="N540" s="390" t="s">
        <v>3453</v>
      </c>
      <c r="O540" s="390" t="s">
        <v>3478</v>
      </c>
      <c r="P540" s="390" t="s">
        <v>1383</v>
      </c>
      <c r="Q540" s="388" t="s">
        <v>1383</v>
      </c>
      <c r="R540" s="390">
        <v>12</v>
      </c>
      <c r="S540" s="390" t="s">
        <v>1695</v>
      </c>
      <c r="T540" s="390">
        <v>22</v>
      </c>
      <c r="U540" s="390" t="s">
        <v>1701</v>
      </c>
      <c r="V540" s="390">
        <v>5102</v>
      </c>
      <c r="W540" s="390" t="s">
        <v>1989</v>
      </c>
      <c r="X540" s="390">
        <v>120045</v>
      </c>
      <c r="Y540" s="390" t="s">
        <v>1989</v>
      </c>
      <c r="Z540" s="391" t="s">
        <v>1990</v>
      </c>
    </row>
    <row r="541" spans="2:26" ht="15.75" customHeight="1" x14ac:dyDescent="0.3">
      <c r="B541" s="387" t="s">
        <v>1375</v>
      </c>
      <c r="C541" s="388">
        <v>122632</v>
      </c>
      <c r="D541" s="388" t="s">
        <v>3613</v>
      </c>
      <c r="E541" s="388" t="s">
        <v>1377</v>
      </c>
      <c r="F541" s="388" t="s">
        <v>3417</v>
      </c>
      <c r="G541" s="388" t="s">
        <v>1439</v>
      </c>
      <c r="H541" s="388" t="s">
        <v>1380</v>
      </c>
      <c r="I541" s="388" t="s">
        <v>1393</v>
      </c>
      <c r="J541" s="388" t="s">
        <v>1382</v>
      </c>
      <c r="K541" s="388" t="s">
        <v>1383</v>
      </c>
      <c r="L541" s="389">
        <v>0</v>
      </c>
      <c r="M541" s="390" t="s">
        <v>1767</v>
      </c>
      <c r="N541" s="390" t="s">
        <v>1768</v>
      </c>
      <c r="O541" s="390" t="s">
        <v>3423</v>
      </c>
      <c r="P541" s="390" t="s">
        <v>1383</v>
      </c>
      <c r="Q541" s="388" t="s">
        <v>1383</v>
      </c>
      <c r="R541" s="390">
        <v>16</v>
      </c>
      <c r="S541" s="390" t="s">
        <v>1746</v>
      </c>
      <c r="T541" s="390">
        <v>40</v>
      </c>
      <c r="U541" s="390" t="s">
        <v>1747</v>
      </c>
      <c r="V541" s="390">
        <v>4205</v>
      </c>
      <c r="W541" s="390" t="s">
        <v>1769</v>
      </c>
      <c r="X541" s="390">
        <v>160047</v>
      </c>
      <c r="Y541" s="390" t="s">
        <v>1769</v>
      </c>
      <c r="Z541" s="391" t="s">
        <v>1770</v>
      </c>
    </row>
    <row r="542" spans="2:26" ht="15.75" customHeight="1" x14ac:dyDescent="0.3">
      <c r="B542" s="387" t="s">
        <v>1375</v>
      </c>
      <c r="C542" s="388">
        <v>122638</v>
      </c>
      <c r="D542" s="388" t="s">
        <v>3614</v>
      </c>
      <c r="E542" s="388" t="s">
        <v>1377</v>
      </c>
      <c r="F542" s="388" t="s">
        <v>3417</v>
      </c>
      <c r="G542" s="388" t="s">
        <v>1439</v>
      </c>
      <c r="H542" s="388" t="s">
        <v>1380</v>
      </c>
      <c r="I542" s="388" t="s">
        <v>1393</v>
      </c>
      <c r="J542" s="388" t="s">
        <v>3369</v>
      </c>
      <c r="K542" s="388" t="s">
        <v>1383</v>
      </c>
      <c r="L542" s="389">
        <v>0</v>
      </c>
      <c r="M542" s="390" t="s">
        <v>2830</v>
      </c>
      <c r="N542" s="390">
        <v>7647635</v>
      </c>
      <c r="O542" s="390" t="s">
        <v>3536</v>
      </c>
      <c r="P542" s="390" t="s">
        <v>1383</v>
      </c>
      <c r="Q542" s="388" t="s">
        <v>1383</v>
      </c>
      <c r="R542" s="390">
        <v>5</v>
      </c>
      <c r="S542" s="390" t="s">
        <v>1466</v>
      </c>
      <c r="T542" s="390">
        <v>58</v>
      </c>
      <c r="U542" s="390" t="s">
        <v>3615</v>
      </c>
      <c r="V542" s="390" t="s">
        <v>1383</v>
      </c>
      <c r="W542" s="390" t="s">
        <v>1383</v>
      </c>
      <c r="X542" s="390" t="s">
        <v>1383</v>
      </c>
      <c r="Y542" s="390" t="s">
        <v>2831</v>
      </c>
      <c r="Z542" s="391" t="s">
        <v>2832</v>
      </c>
    </row>
    <row r="543" spans="2:26" ht="15.75" customHeight="1" x14ac:dyDescent="0.3">
      <c r="B543" s="387" t="s">
        <v>1375</v>
      </c>
      <c r="C543" s="388">
        <v>122639</v>
      </c>
      <c r="D543" s="388" t="s">
        <v>3616</v>
      </c>
      <c r="E543" s="388" t="s">
        <v>1377</v>
      </c>
      <c r="F543" s="388" t="s">
        <v>3417</v>
      </c>
      <c r="G543" s="388" t="s">
        <v>1439</v>
      </c>
      <c r="H543" s="388" t="s">
        <v>1471</v>
      </c>
      <c r="I543" s="388" t="s">
        <v>1393</v>
      </c>
      <c r="J543" s="388" t="s">
        <v>3369</v>
      </c>
      <c r="K543" s="388" t="s">
        <v>1383</v>
      </c>
      <c r="L543" s="389">
        <v>0</v>
      </c>
      <c r="M543" s="390" t="s">
        <v>3617</v>
      </c>
      <c r="N543" s="390">
        <v>3103689</v>
      </c>
      <c r="O543" s="390" t="s">
        <v>3618</v>
      </c>
      <c r="P543" s="390" t="s">
        <v>1383</v>
      </c>
      <c r="Q543" s="388" t="s">
        <v>1383</v>
      </c>
      <c r="R543" s="390">
        <v>2</v>
      </c>
      <c r="S543" s="390" t="s">
        <v>1406</v>
      </c>
      <c r="T543" s="390" t="s">
        <v>3619</v>
      </c>
      <c r="U543" s="390" t="s">
        <v>3619</v>
      </c>
      <c r="V543" s="390" t="s">
        <v>1383</v>
      </c>
      <c r="W543" s="390" t="s">
        <v>1383</v>
      </c>
      <c r="X543" s="390" t="s">
        <v>1383</v>
      </c>
      <c r="Y543" s="390" t="s">
        <v>1408</v>
      </c>
      <c r="Z543" s="391" t="s">
        <v>1409</v>
      </c>
    </row>
    <row r="544" spans="2:26" ht="15.75" customHeight="1" x14ac:dyDescent="0.3">
      <c r="B544" s="387" t="s">
        <v>1375</v>
      </c>
      <c r="C544" s="388">
        <v>122640</v>
      </c>
      <c r="D544" s="388" t="s">
        <v>3620</v>
      </c>
      <c r="E544" s="388" t="s">
        <v>1377</v>
      </c>
      <c r="F544" s="388" t="s">
        <v>3417</v>
      </c>
      <c r="G544" s="388" t="s">
        <v>1439</v>
      </c>
      <c r="H544" s="388" t="s">
        <v>1471</v>
      </c>
      <c r="I544" s="388" t="s">
        <v>1393</v>
      </c>
      <c r="J544" s="388" t="s">
        <v>3369</v>
      </c>
      <c r="K544" s="388" t="s">
        <v>1383</v>
      </c>
      <c r="L544" s="389">
        <v>0</v>
      </c>
      <c r="M544" s="390" t="s">
        <v>3233</v>
      </c>
      <c r="N544" s="390">
        <v>4411911</v>
      </c>
      <c r="O544" s="390" t="s">
        <v>3621</v>
      </c>
      <c r="P544" s="390" t="s">
        <v>1383</v>
      </c>
      <c r="Q544" s="388" t="s">
        <v>1383</v>
      </c>
      <c r="R544" s="390">
        <v>10</v>
      </c>
      <c r="S544" s="390" t="s">
        <v>1552</v>
      </c>
      <c r="T544" s="390" t="s">
        <v>3622</v>
      </c>
      <c r="U544" s="390" t="s">
        <v>3622</v>
      </c>
      <c r="V544" s="390" t="s">
        <v>1383</v>
      </c>
      <c r="W544" s="390" t="s">
        <v>1383</v>
      </c>
      <c r="X544" s="390" t="s">
        <v>1383</v>
      </c>
      <c r="Y544" s="390" t="s">
        <v>1560</v>
      </c>
      <c r="Z544" s="391" t="s">
        <v>3236</v>
      </c>
    </row>
    <row r="545" spans="2:26" ht="15.75" customHeight="1" x14ac:dyDescent="0.3">
      <c r="B545" s="387" t="s">
        <v>1375</v>
      </c>
      <c r="C545" s="388">
        <v>122642</v>
      </c>
      <c r="D545" s="388" t="s">
        <v>3623</v>
      </c>
      <c r="E545" s="388" t="s">
        <v>1377</v>
      </c>
      <c r="F545" s="388" t="s">
        <v>3417</v>
      </c>
      <c r="G545" s="388" t="s">
        <v>1439</v>
      </c>
      <c r="H545" s="388" t="s">
        <v>1380</v>
      </c>
      <c r="I545" s="388" t="s">
        <v>1530</v>
      </c>
      <c r="J545" s="388" t="s">
        <v>3369</v>
      </c>
      <c r="K545" s="388" t="s">
        <v>1383</v>
      </c>
      <c r="L545" s="389">
        <v>0</v>
      </c>
      <c r="M545" s="390" t="s">
        <v>1846</v>
      </c>
      <c r="N545" s="390">
        <v>4558635</v>
      </c>
      <c r="O545" s="390" t="s">
        <v>3433</v>
      </c>
      <c r="P545" s="390" t="s">
        <v>1383</v>
      </c>
      <c r="Q545" s="388" t="s">
        <v>1383</v>
      </c>
      <c r="R545" s="390">
        <v>19</v>
      </c>
      <c r="S545" s="390" t="s">
        <v>1841</v>
      </c>
      <c r="T545" s="390">
        <v>66</v>
      </c>
      <c r="U545" s="390" t="s">
        <v>3437</v>
      </c>
      <c r="V545" s="390" t="s">
        <v>1383</v>
      </c>
      <c r="W545" s="390" t="s">
        <v>1383</v>
      </c>
      <c r="X545" s="390" t="s">
        <v>1383</v>
      </c>
      <c r="Y545" s="390" t="s">
        <v>1848</v>
      </c>
      <c r="Z545" s="391" t="s">
        <v>2491</v>
      </c>
    </row>
    <row r="546" spans="2:26" ht="15.75" customHeight="1" x14ac:dyDescent="0.3">
      <c r="B546" s="387" t="s">
        <v>1375</v>
      </c>
      <c r="C546" s="388">
        <v>122645</v>
      </c>
      <c r="D546" s="388" t="s">
        <v>3624</v>
      </c>
      <c r="E546" s="388" t="s">
        <v>1377</v>
      </c>
      <c r="F546" s="388" t="s">
        <v>1378</v>
      </c>
      <c r="G546" s="388" t="s">
        <v>1379</v>
      </c>
      <c r="H546" s="388" t="s">
        <v>1471</v>
      </c>
      <c r="I546" s="388" t="s">
        <v>1393</v>
      </c>
      <c r="J546" s="388"/>
      <c r="K546" s="388" t="s">
        <v>1383</v>
      </c>
      <c r="L546" s="389">
        <v>300</v>
      </c>
      <c r="M546" s="390" t="s">
        <v>3392</v>
      </c>
      <c r="N546" s="390" t="s">
        <v>1877</v>
      </c>
      <c r="O546" s="390" t="s">
        <v>1474</v>
      </c>
      <c r="P546" s="390" t="s">
        <v>1387</v>
      </c>
      <c r="Q546" s="388" t="s">
        <v>1383</v>
      </c>
      <c r="R546" s="390">
        <v>5</v>
      </c>
      <c r="S546" s="390" t="s">
        <v>1466</v>
      </c>
      <c r="T546" s="390" t="s">
        <v>1383</v>
      </c>
      <c r="U546" s="390" t="s">
        <v>3625</v>
      </c>
      <c r="V546" s="390" t="s">
        <v>1383</v>
      </c>
      <c r="W546" s="390" t="s">
        <v>1952</v>
      </c>
      <c r="X546" s="390" t="s">
        <v>1383</v>
      </c>
      <c r="Y546" s="390" t="s">
        <v>1952</v>
      </c>
      <c r="Z546" s="391" t="s">
        <v>1383</v>
      </c>
    </row>
    <row r="547" spans="2:26" ht="15.75" customHeight="1" x14ac:dyDescent="0.3">
      <c r="B547" s="387" t="s">
        <v>1375</v>
      </c>
      <c r="C547" s="388">
        <v>122646</v>
      </c>
      <c r="D547" s="388" t="s">
        <v>3626</v>
      </c>
      <c r="E547" s="388" t="s">
        <v>1377</v>
      </c>
      <c r="F547" s="388" t="s">
        <v>1378</v>
      </c>
      <c r="G547" s="388" t="s">
        <v>1379</v>
      </c>
      <c r="H547" s="388" t="s">
        <v>1471</v>
      </c>
      <c r="I547" s="388" t="s">
        <v>1393</v>
      </c>
      <c r="J547" s="388"/>
      <c r="K547" s="388" t="s">
        <v>1383</v>
      </c>
      <c r="L547" s="389">
        <v>300</v>
      </c>
      <c r="M547" s="390" t="s">
        <v>3627</v>
      </c>
      <c r="N547" s="390" t="s">
        <v>3628</v>
      </c>
      <c r="O547" s="390" t="s">
        <v>1474</v>
      </c>
      <c r="P547" s="390" t="s">
        <v>1387</v>
      </c>
      <c r="Q547" s="388" t="s">
        <v>1383</v>
      </c>
      <c r="R547" s="390">
        <v>3</v>
      </c>
      <c r="S547" s="390" t="s">
        <v>3629</v>
      </c>
      <c r="T547" s="390" t="s">
        <v>1383</v>
      </c>
      <c r="U547" s="390" t="s">
        <v>3630</v>
      </c>
      <c r="V547" s="390" t="s">
        <v>1383</v>
      </c>
      <c r="W547" s="390" t="s">
        <v>2354</v>
      </c>
      <c r="X547" s="390" t="s">
        <v>1383</v>
      </c>
      <c r="Y547" s="390" t="s">
        <v>2354</v>
      </c>
      <c r="Z547" s="391" t="s">
        <v>1383</v>
      </c>
    </row>
    <row r="548" spans="2:26" ht="15.75" customHeight="1" x14ac:dyDescent="0.3">
      <c r="B548" s="387" t="s">
        <v>1375</v>
      </c>
      <c r="C548" s="388">
        <v>122647</v>
      </c>
      <c r="D548" s="388" t="s">
        <v>3631</v>
      </c>
      <c r="E548" s="388" t="s">
        <v>1377</v>
      </c>
      <c r="F548" s="388" t="s">
        <v>1378</v>
      </c>
      <c r="G548" s="388" t="s">
        <v>1379</v>
      </c>
      <c r="H548" s="388" t="s">
        <v>1471</v>
      </c>
      <c r="I548" s="388" t="s">
        <v>1393</v>
      </c>
      <c r="J548" s="388"/>
      <c r="K548" s="388" t="s">
        <v>1383</v>
      </c>
      <c r="L548" s="389">
        <v>300</v>
      </c>
      <c r="M548" s="390" t="s">
        <v>3409</v>
      </c>
      <c r="N548" s="390">
        <v>3638394</v>
      </c>
      <c r="O548" s="390" t="s">
        <v>1474</v>
      </c>
      <c r="P548" s="390" t="s">
        <v>1387</v>
      </c>
      <c r="Q548" s="388" t="s">
        <v>1383</v>
      </c>
      <c r="R548" s="390">
        <v>4</v>
      </c>
      <c r="S548" s="390" t="s">
        <v>1451</v>
      </c>
      <c r="T548" s="390" t="s">
        <v>1383</v>
      </c>
      <c r="U548" s="390" t="s">
        <v>3632</v>
      </c>
      <c r="V548" s="390" t="s">
        <v>1383</v>
      </c>
      <c r="W548" s="390" t="s">
        <v>3633</v>
      </c>
      <c r="X548" s="390" t="s">
        <v>1383</v>
      </c>
      <c r="Y548" s="390" t="s">
        <v>3414</v>
      </c>
      <c r="Z548" s="391" t="s">
        <v>1383</v>
      </c>
    </row>
    <row r="549" spans="2:26" ht="15.75" customHeight="1" x14ac:dyDescent="0.3">
      <c r="B549" s="387" t="s">
        <v>1375</v>
      </c>
      <c r="C549" s="388">
        <v>122649</v>
      </c>
      <c r="D549" s="388" t="s">
        <v>3634</v>
      </c>
      <c r="E549" s="388" t="s">
        <v>1377</v>
      </c>
      <c r="F549" s="388" t="s">
        <v>1378</v>
      </c>
      <c r="G549" s="388" t="s">
        <v>1439</v>
      </c>
      <c r="H549" s="388" t="s">
        <v>1380</v>
      </c>
      <c r="I549" s="388" t="s">
        <v>1381</v>
      </c>
      <c r="J549" s="388"/>
      <c r="K549" s="388" t="s">
        <v>1383</v>
      </c>
      <c r="L549" s="389">
        <v>0</v>
      </c>
      <c r="M549" s="390" t="s">
        <v>1693</v>
      </c>
      <c r="N549" s="390">
        <v>3150258</v>
      </c>
      <c r="O549" s="390" t="s">
        <v>3635</v>
      </c>
      <c r="P549" s="390" t="s">
        <v>1387</v>
      </c>
      <c r="Q549" s="388" t="s">
        <v>1383</v>
      </c>
      <c r="R549" s="390">
        <v>12</v>
      </c>
      <c r="S549" s="390" t="s">
        <v>1695</v>
      </c>
      <c r="T549" s="390" t="s">
        <v>1383</v>
      </c>
      <c r="U549" s="390" t="s">
        <v>3421</v>
      </c>
      <c r="V549" s="390" t="s">
        <v>1383</v>
      </c>
      <c r="W549" s="390" t="s">
        <v>1692</v>
      </c>
      <c r="X549" s="390" t="s">
        <v>1383</v>
      </c>
      <c r="Y549" s="390" t="s">
        <v>1692</v>
      </c>
      <c r="Z549" s="391" t="s">
        <v>1383</v>
      </c>
    </row>
    <row r="550" spans="2:26" ht="15.75" customHeight="1" x14ac:dyDescent="0.3">
      <c r="B550" s="387" t="s">
        <v>1375</v>
      </c>
      <c r="C550" s="388">
        <v>122650</v>
      </c>
      <c r="D550" s="388" t="s">
        <v>3636</v>
      </c>
      <c r="E550" s="388" t="s">
        <v>1377</v>
      </c>
      <c r="F550" s="388" t="s">
        <v>1378</v>
      </c>
      <c r="G550" s="388" t="s">
        <v>1379</v>
      </c>
      <c r="H550" s="388" t="s">
        <v>1380</v>
      </c>
      <c r="I550" s="388" t="s">
        <v>1393</v>
      </c>
      <c r="J550" s="388"/>
      <c r="K550" s="388" t="s">
        <v>1383</v>
      </c>
      <c r="L550" s="389">
        <v>266</v>
      </c>
      <c r="M550" s="390" t="s">
        <v>3637</v>
      </c>
      <c r="N550" s="390" t="s">
        <v>2712</v>
      </c>
      <c r="O550" s="392" t="s">
        <v>1386</v>
      </c>
      <c r="P550" s="390" t="s">
        <v>1387</v>
      </c>
      <c r="Q550" s="388" t="s">
        <v>1383</v>
      </c>
      <c r="R550" s="390">
        <v>5</v>
      </c>
      <c r="S550" s="390" t="s">
        <v>1451</v>
      </c>
      <c r="T550" s="390">
        <v>50</v>
      </c>
      <c r="U550" s="390" t="s">
        <v>3638</v>
      </c>
      <c r="V550" s="390" t="s">
        <v>1383</v>
      </c>
      <c r="W550" s="390" t="s">
        <v>3402</v>
      </c>
      <c r="X550" s="390">
        <v>40095</v>
      </c>
      <c r="Y550" s="390" t="s">
        <v>3402</v>
      </c>
      <c r="Z550" s="391" t="s">
        <v>3404</v>
      </c>
    </row>
    <row r="551" spans="2:26" ht="15.75" customHeight="1" x14ac:dyDescent="0.3">
      <c r="B551" s="387" t="s">
        <v>1375</v>
      </c>
      <c r="C551" s="388">
        <v>122651</v>
      </c>
      <c r="D551" s="388" t="s">
        <v>3639</v>
      </c>
      <c r="E551" s="388" t="s">
        <v>1377</v>
      </c>
      <c r="F551" s="388" t="s">
        <v>1378</v>
      </c>
      <c r="G551" s="388" t="s">
        <v>1439</v>
      </c>
      <c r="H551" s="388" t="s">
        <v>1380</v>
      </c>
      <c r="I551" s="388" t="s">
        <v>1393</v>
      </c>
      <c r="J551" s="388"/>
      <c r="K551" s="388" t="s">
        <v>1383</v>
      </c>
      <c r="L551" s="389">
        <v>0</v>
      </c>
      <c r="M551" s="390" t="s">
        <v>3640</v>
      </c>
      <c r="N551" s="390" t="s">
        <v>3641</v>
      </c>
      <c r="O551" s="390" t="s">
        <v>3536</v>
      </c>
      <c r="P551" s="390" t="s">
        <v>1387</v>
      </c>
      <c r="Q551" s="388" t="s">
        <v>1383</v>
      </c>
      <c r="R551" s="390">
        <v>5</v>
      </c>
      <c r="S551" s="390" t="s">
        <v>1466</v>
      </c>
      <c r="T551" s="390" t="s">
        <v>1383</v>
      </c>
      <c r="U551" s="390" t="s">
        <v>3537</v>
      </c>
      <c r="V551" s="390" t="s">
        <v>1383</v>
      </c>
      <c r="W551" s="390" t="s">
        <v>1468</v>
      </c>
      <c r="X551" s="390" t="s">
        <v>1383</v>
      </c>
      <c r="Y551" s="390" t="s">
        <v>1636</v>
      </c>
      <c r="Z551" s="391" t="s">
        <v>1383</v>
      </c>
    </row>
    <row r="552" spans="2:26" ht="15.75" customHeight="1" x14ac:dyDescent="0.3">
      <c r="B552" s="387" t="s">
        <v>1375</v>
      </c>
      <c r="C552" s="388">
        <v>122652</v>
      </c>
      <c r="D552" s="388" t="s">
        <v>3642</v>
      </c>
      <c r="E552" s="388" t="s">
        <v>1377</v>
      </c>
      <c r="F552" s="388" t="s">
        <v>2726</v>
      </c>
      <c r="G552" s="388" t="s">
        <v>1379</v>
      </c>
      <c r="H552" s="388" t="s">
        <v>1380</v>
      </c>
      <c r="I552" s="388" t="s">
        <v>1393</v>
      </c>
      <c r="J552" s="388"/>
      <c r="K552" s="388" t="s">
        <v>1383</v>
      </c>
      <c r="L552" s="389">
        <v>20</v>
      </c>
      <c r="M552" s="390" t="s">
        <v>2830</v>
      </c>
      <c r="N552" s="390">
        <v>7647635</v>
      </c>
      <c r="O552" s="390" t="s">
        <v>2741</v>
      </c>
      <c r="P552" s="390" t="s">
        <v>1387</v>
      </c>
      <c r="Q552" s="388" t="s">
        <v>1383</v>
      </c>
      <c r="R552" s="390">
        <v>5</v>
      </c>
      <c r="S552" s="390" t="s">
        <v>1466</v>
      </c>
      <c r="T552" s="390" t="s">
        <v>1383</v>
      </c>
      <c r="U552" s="390" t="s">
        <v>3615</v>
      </c>
      <c r="V552" s="390" t="s">
        <v>1383</v>
      </c>
      <c r="W552" s="390" t="s">
        <v>1875</v>
      </c>
      <c r="X552" s="390" t="s">
        <v>1383</v>
      </c>
      <c r="Y552" s="390" t="s">
        <v>2831</v>
      </c>
      <c r="Z552" s="391" t="s">
        <v>1383</v>
      </c>
    </row>
    <row r="553" spans="2:26" ht="15.75" customHeight="1" x14ac:dyDescent="0.3">
      <c r="B553" s="387" t="s">
        <v>1375</v>
      </c>
      <c r="C553" s="388">
        <v>122653</v>
      </c>
      <c r="D553" s="388" t="s">
        <v>3643</v>
      </c>
      <c r="E553" s="388" t="s">
        <v>1377</v>
      </c>
      <c r="F553" s="388" t="s">
        <v>1378</v>
      </c>
      <c r="G553" s="388" t="s">
        <v>1439</v>
      </c>
      <c r="H553" s="388" t="s">
        <v>1380</v>
      </c>
      <c r="I553" s="388" t="s">
        <v>1393</v>
      </c>
      <c r="J553" s="388"/>
      <c r="K553" s="388" t="s">
        <v>1383</v>
      </c>
      <c r="L553" s="389">
        <v>0</v>
      </c>
      <c r="M553" s="390" t="s">
        <v>3195</v>
      </c>
      <c r="N553" s="390">
        <v>7642219</v>
      </c>
      <c r="O553" s="390" t="s">
        <v>3536</v>
      </c>
      <c r="P553" s="390" t="s">
        <v>1387</v>
      </c>
      <c r="Q553" s="388" t="s">
        <v>1383</v>
      </c>
      <c r="R553" s="390">
        <v>1</v>
      </c>
      <c r="S553" s="390" t="s">
        <v>1388</v>
      </c>
      <c r="T553" s="390" t="s">
        <v>1383</v>
      </c>
      <c r="U553" s="390" t="s">
        <v>3537</v>
      </c>
      <c r="V553" s="390" t="s">
        <v>1383</v>
      </c>
      <c r="W553" s="390" t="s">
        <v>1872</v>
      </c>
      <c r="X553" s="390" t="s">
        <v>1383</v>
      </c>
      <c r="Y553" s="390" t="s">
        <v>3197</v>
      </c>
      <c r="Z553" s="391" t="s">
        <v>1383</v>
      </c>
    </row>
    <row r="554" spans="2:26" ht="15.75" customHeight="1" x14ac:dyDescent="0.3">
      <c r="B554" s="387" t="s">
        <v>1375</v>
      </c>
      <c r="C554" s="388">
        <v>122654</v>
      </c>
      <c r="D554" s="388" t="s">
        <v>3644</v>
      </c>
      <c r="E554" s="388" t="s">
        <v>1377</v>
      </c>
      <c r="F554" s="388" t="s">
        <v>2726</v>
      </c>
      <c r="G554" s="388" t="s">
        <v>1379</v>
      </c>
      <c r="H554" s="388" t="s">
        <v>1380</v>
      </c>
      <c r="I554" s="388" t="s">
        <v>1393</v>
      </c>
      <c r="J554" s="388"/>
      <c r="K554" s="388" t="s">
        <v>1383</v>
      </c>
      <c r="L554" s="389">
        <v>40</v>
      </c>
      <c r="M554" s="390" t="s">
        <v>2680</v>
      </c>
      <c r="N554" s="390" t="s">
        <v>2681</v>
      </c>
      <c r="O554" s="392" t="s">
        <v>2755</v>
      </c>
      <c r="P554" s="390" t="s">
        <v>1387</v>
      </c>
      <c r="Q554" s="388" t="s">
        <v>1383</v>
      </c>
      <c r="R554" s="390">
        <v>6</v>
      </c>
      <c r="S554" s="390" t="s">
        <v>1658</v>
      </c>
      <c r="T554" s="390" t="s">
        <v>1383</v>
      </c>
      <c r="U554" s="390" t="s">
        <v>3645</v>
      </c>
      <c r="V554" s="390" t="s">
        <v>1383</v>
      </c>
      <c r="W554" s="390" t="s">
        <v>2683</v>
      </c>
      <c r="X554" s="390" t="s">
        <v>1383</v>
      </c>
      <c r="Y554" s="390" t="s">
        <v>2684</v>
      </c>
      <c r="Z554" s="391" t="s">
        <v>1383</v>
      </c>
    </row>
    <row r="555" spans="2:26" ht="15.75" customHeight="1" x14ac:dyDescent="0.3">
      <c r="B555" s="387" t="s">
        <v>1375</v>
      </c>
      <c r="C555" s="388">
        <v>122655</v>
      </c>
      <c r="D555" s="388" t="s">
        <v>3646</v>
      </c>
      <c r="E555" s="388" t="s">
        <v>1377</v>
      </c>
      <c r="F555" s="388" t="s">
        <v>1378</v>
      </c>
      <c r="G555" s="388" t="s">
        <v>1439</v>
      </c>
      <c r="H555" s="388" t="s">
        <v>1380</v>
      </c>
      <c r="I555" s="388" t="s">
        <v>1393</v>
      </c>
      <c r="J555" s="388"/>
      <c r="K555" s="388" t="s">
        <v>1383</v>
      </c>
      <c r="L555" s="389">
        <v>0</v>
      </c>
      <c r="M555" s="390" t="s">
        <v>3332</v>
      </c>
      <c r="N555" s="390">
        <v>7698033</v>
      </c>
      <c r="O555" s="392" t="s">
        <v>3605</v>
      </c>
      <c r="P555" s="390" t="s">
        <v>1387</v>
      </c>
      <c r="Q555" s="388" t="s">
        <v>1383</v>
      </c>
      <c r="R555" s="390">
        <v>11</v>
      </c>
      <c r="S555" s="390" t="s">
        <v>1608</v>
      </c>
      <c r="T555" s="390" t="s">
        <v>1383</v>
      </c>
      <c r="U555" s="390" t="s">
        <v>3647</v>
      </c>
      <c r="V555" s="390" t="s">
        <v>1383</v>
      </c>
      <c r="W555" s="390" t="s">
        <v>1658</v>
      </c>
      <c r="X555" s="390" t="s">
        <v>1383</v>
      </c>
      <c r="Y555" s="390" t="s">
        <v>1658</v>
      </c>
      <c r="Z555" s="391" t="s">
        <v>1383</v>
      </c>
    </row>
    <row r="556" spans="2:26" ht="15.75" customHeight="1" x14ac:dyDescent="0.3">
      <c r="B556" s="387" t="s">
        <v>1375</v>
      </c>
      <c r="C556" s="388">
        <v>122656</v>
      </c>
      <c r="D556" s="388" t="s">
        <v>3648</v>
      </c>
      <c r="E556" s="388" t="s">
        <v>1377</v>
      </c>
      <c r="F556" s="388" t="s">
        <v>1378</v>
      </c>
      <c r="G556" s="388" t="s">
        <v>1439</v>
      </c>
      <c r="H556" s="388" t="s">
        <v>1380</v>
      </c>
      <c r="I556" s="388" t="s">
        <v>1530</v>
      </c>
      <c r="J556" s="388" t="s">
        <v>1383</v>
      </c>
      <c r="K556" s="388" t="s">
        <v>1383</v>
      </c>
      <c r="L556" s="389">
        <v>0</v>
      </c>
      <c r="M556" s="390" t="s">
        <v>2604</v>
      </c>
      <c r="N556" s="390">
        <v>6759327</v>
      </c>
      <c r="O556" s="390" t="s">
        <v>3649</v>
      </c>
      <c r="P556" s="390" t="s">
        <v>1387</v>
      </c>
      <c r="Q556" s="388" t="s">
        <v>1383</v>
      </c>
      <c r="R556" s="390">
        <v>11</v>
      </c>
      <c r="S556" s="390" t="s">
        <v>1608</v>
      </c>
      <c r="T556" s="390" t="s">
        <v>1383</v>
      </c>
      <c r="U556" s="390" t="s">
        <v>3650</v>
      </c>
      <c r="V556" s="390" t="s">
        <v>1383</v>
      </c>
      <c r="W556" s="390" t="s">
        <v>2606</v>
      </c>
      <c r="X556" s="390" t="s">
        <v>1383</v>
      </c>
      <c r="Y556" s="390" t="s">
        <v>2606</v>
      </c>
      <c r="Z556" s="391" t="s">
        <v>1383</v>
      </c>
    </row>
    <row r="557" spans="2:26" ht="15.75" customHeight="1" x14ac:dyDescent="0.3">
      <c r="B557" s="387" t="s">
        <v>1375</v>
      </c>
      <c r="C557" s="388">
        <v>122657</v>
      </c>
      <c r="D557" s="388" t="s">
        <v>3651</v>
      </c>
      <c r="E557" s="388" t="s">
        <v>1377</v>
      </c>
      <c r="F557" s="388" t="s">
        <v>1378</v>
      </c>
      <c r="G557" s="388" t="s">
        <v>1439</v>
      </c>
      <c r="H557" s="388" t="s">
        <v>1380</v>
      </c>
      <c r="I557" s="388" t="s">
        <v>1393</v>
      </c>
      <c r="J557" s="388"/>
      <c r="K557" s="388" t="s">
        <v>1383</v>
      </c>
      <c r="L557" s="389">
        <v>0</v>
      </c>
      <c r="M557" s="390" t="s">
        <v>1383</v>
      </c>
      <c r="N557" s="390" t="s">
        <v>3652</v>
      </c>
      <c r="O557" s="390" t="s">
        <v>3649</v>
      </c>
      <c r="P557" s="390" t="s">
        <v>1383</v>
      </c>
      <c r="Q557" s="388" t="s">
        <v>1383</v>
      </c>
      <c r="R557" s="390">
        <v>11</v>
      </c>
      <c r="S557" s="390" t="s">
        <v>1608</v>
      </c>
      <c r="T557" s="390" t="s">
        <v>1383</v>
      </c>
      <c r="U557" s="390" t="s">
        <v>3650</v>
      </c>
      <c r="V557" s="390" t="s">
        <v>1383</v>
      </c>
      <c r="W557" s="390" t="s">
        <v>2945</v>
      </c>
      <c r="X557" s="390" t="s">
        <v>1383</v>
      </c>
      <c r="Y557" s="390" t="s">
        <v>2945</v>
      </c>
      <c r="Z557" s="391" t="s">
        <v>1383</v>
      </c>
    </row>
    <row r="558" spans="2:26" ht="15.75" customHeight="1" x14ac:dyDescent="0.3">
      <c r="B558" s="387" t="s">
        <v>1375</v>
      </c>
      <c r="C558" s="388">
        <v>122658</v>
      </c>
      <c r="D558" s="388" t="s">
        <v>3653</v>
      </c>
      <c r="E558" s="388" t="s">
        <v>1377</v>
      </c>
      <c r="F558" s="388" t="s">
        <v>1378</v>
      </c>
      <c r="G558" s="388" t="s">
        <v>1439</v>
      </c>
      <c r="H558" s="388" t="s">
        <v>1380</v>
      </c>
      <c r="I558" s="388" t="s">
        <v>1393</v>
      </c>
      <c r="J558" s="388"/>
      <c r="K558" s="388" t="s">
        <v>1383</v>
      </c>
      <c r="L558" s="389">
        <v>0</v>
      </c>
      <c r="M558" s="390" t="s">
        <v>2467</v>
      </c>
      <c r="N558" s="390">
        <v>6823370</v>
      </c>
      <c r="O558" s="390" t="s">
        <v>3649</v>
      </c>
      <c r="P558" s="390" t="s">
        <v>1387</v>
      </c>
      <c r="Q558" s="388" t="s">
        <v>1383</v>
      </c>
      <c r="R558" s="390">
        <v>4</v>
      </c>
      <c r="S558" s="390" t="s">
        <v>1451</v>
      </c>
      <c r="T558" s="390" t="s">
        <v>1383</v>
      </c>
      <c r="U558" s="390" t="s">
        <v>3514</v>
      </c>
      <c r="V558" s="390" t="s">
        <v>1383</v>
      </c>
      <c r="W558" s="390" t="s">
        <v>3654</v>
      </c>
      <c r="X558" s="390" t="s">
        <v>1383</v>
      </c>
      <c r="Y558" s="390" t="s">
        <v>2469</v>
      </c>
      <c r="Z558" s="391" t="s">
        <v>1383</v>
      </c>
    </row>
    <row r="559" spans="2:26" ht="15.75" customHeight="1" x14ac:dyDescent="0.3">
      <c r="B559" s="387" t="s">
        <v>1375</v>
      </c>
      <c r="C559" s="388">
        <v>122659</v>
      </c>
      <c r="D559" s="388" t="s">
        <v>3655</v>
      </c>
      <c r="E559" s="388" t="s">
        <v>1377</v>
      </c>
      <c r="F559" s="388" t="s">
        <v>1378</v>
      </c>
      <c r="G559" s="388" t="s">
        <v>1439</v>
      </c>
      <c r="H559" s="388" t="s">
        <v>1380</v>
      </c>
      <c r="I559" s="388" t="s">
        <v>1530</v>
      </c>
      <c r="J559" s="388" t="s">
        <v>1383</v>
      </c>
      <c r="K559" s="388" t="s">
        <v>1383</v>
      </c>
      <c r="L559" s="389">
        <v>0</v>
      </c>
      <c r="M559" s="390" t="s">
        <v>3656</v>
      </c>
      <c r="N559" s="390">
        <v>3679801</v>
      </c>
      <c r="O559" s="392" t="s">
        <v>3605</v>
      </c>
      <c r="P559" s="390" t="s">
        <v>1387</v>
      </c>
      <c r="Q559" s="388" t="s">
        <v>1383</v>
      </c>
      <c r="R559" s="390">
        <v>4</v>
      </c>
      <c r="S559" s="390" t="s">
        <v>1451</v>
      </c>
      <c r="T559" s="390" t="s">
        <v>1383</v>
      </c>
      <c r="U559" s="390" t="s">
        <v>3606</v>
      </c>
      <c r="V559" s="390" t="s">
        <v>1383</v>
      </c>
      <c r="W559" s="390" t="s">
        <v>2183</v>
      </c>
      <c r="X559" s="390" t="s">
        <v>1383</v>
      </c>
      <c r="Y559" s="390" t="s">
        <v>2183</v>
      </c>
      <c r="Z559" s="391" t="s">
        <v>1383</v>
      </c>
    </row>
    <row r="560" spans="2:26" ht="15.75" customHeight="1" x14ac:dyDescent="0.3">
      <c r="B560" s="387" t="s">
        <v>1375</v>
      </c>
      <c r="C560" s="388">
        <v>122660</v>
      </c>
      <c r="D560" s="388" t="s">
        <v>3657</v>
      </c>
      <c r="E560" s="388" t="s">
        <v>1377</v>
      </c>
      <c r="F560" s="388" t="s">
        <v>1378</v>
      </c>
      <c r="G560" s="388" t="s">
        <v>1439</v>
      </c>
      <c r="H560" s="388" t="s">
        <v>1380</v>
      </c>
      <c r="I560" s="388" t="s">
        <v>1530</v>
      </c>
      <c r="J560" s="388" t="s">
        <v>1383</v>
      </c>
      <c r="K560" s="388" t="s">
        <v>1383</v>
      </c>
      <c r="L560" s="389">
        <v>0</v>
      </c>
      <c r="M560" s="390" t="s">
        <v>3066</v>
      </c>
      <c r="N560" s="390">
        <v>3651493</v>
      </c>
      <c r="O560" s="392" t="s">
        <v>3605</v>
      </c>
      <c r="P560" s="390" t="s">
        <v>1387</v>
      </c>
      <c r="Q560" s="388" t="s">
        <v>1383</v>
      </c>
      <c r="R560" s="390">
        <v>4</v>
      </c>
      <c r="S560" s="390" t="s">
        <v>1451</v>
      </c>
      <c r="T560" s="390" t="s">
        <v>1383</v>
      </c>
      <c r="U560" s="390" t="s">
        <v>3658</v>
      </c>
      <c r="V560" s="390" t="s">
        <v>1383</v>
      </c>
      <c r="W560" s="390" t="s">
        <v>1885</v>
      </c>
      <c r="X560" s="390" t="s">
        <v>1383</v>
      </c>
      <c r="Y560" s="390" t="s">
        <v>1885</v>
      </c>
      <c r="Z560" s="391" t="s">
        <v>1383</v>
      </c>
    </row>
    <row r="561" spans="2:26" ht="15.75" customHeight="1" x14ac:dyDescent="0.3">
      <c r="B561" s="387" t="s">
        <v>1375</v>
      </c>
      <c r="C561" s="388">
        <v>122661</v>
      </c>
      <c r="D561" s="388" t="s">
        <v>3659</v>
      </c>
      <c r="E561" s="388" t="s">
        <v>1377</v>
      </c>
      <c r="F561" s="388" t="s">
        <v>1378</v>
      </c>
      <c r="G561" s="388" t="s">
        <v>1439</v>
      </c>
      <c r="H561" s="388" t="s">
        <v>1380</v>
      </c>
      <c r="I561" s="388" t="s">
        <v>1440</v>
      </c>
      <c r="J561" s="388" t="s">
        <v>1383</v>
      </c>
      <c r="K561" s="388" t="s">
        <v>1383</v>
      </c>
      <c r="L561" s="389">
        <v>0</v>
      </c>
      <c r="M561" s="390" t="s">
        <v>2184</v>
      </c>
      <c r="N561" s="390">
        <v>3637407</v>
      </c>
      <c r="O561" s="392" t="s">
        <v>3605</v>
      </c>
      <c r="P561" s="390" t="s">
        <v>1387</v>
      </c>
      <c r="Q561" s="388" t="s">
        <v>1383</v>
      </c>
      <c r="R561" s="390">
        <v>18</v>
      </c>
      <c r="S561" s="390" t="s">
        <v>3459</v>
      </c>
      <c r="T561" s="390" t="s">
        <v>1383</v>
      </c>
      <c r="U561" s="390" t="s">
        <v>3606</v>
      </c>
      <c r="V561" s="390" t="s">
        <v>1383</v>
      </c>
      <c r="W561" s="390" t="s">
        <v>2186</v>
      </c>
      <c r="X561" s="390" t="s">
        <v>1383</v>
      </c>
      <c r="Y561" s="390" t="s">
        <v>2183</v>
      </c>
      <c r="Z561" s="391" t="s">
        <v>1383</v>
      </c>
    </row>
    <row r="562" spans="2:26" ht="15.75" customHeight="1" x14ac:dyDescent="0.3">
      <c r="B562" s="387" t="s">
        <v>1375</v>
      </c>
      <c r="C562" s="388">
        <v>122662</v>
      </c>
      <c r="D562" s="388" t="s">
        <v>3660</v>
      </c>
      <c r="E562" s="388" t="s">
        <v>1377</v>
      </c>
      <c r="F562" s="388" t="s">
        <v>2726</v>
      </c>
      <c r="G562" s="388" t="s">
        <v>1379</v>
      </c>
      <c r="H562" s="388" t="s">
        <v>1380</v>
      </c>
      <c r="I562" s="388" t="s">
        <v>1530</v>
      </c>
      <c r="J562" s="388" t="s">
        <v>1383</v>
      </c>
      <c r="K562" s="388" t="s">
        <v>1383</v>
      </c>
      <c r="L562" s="389">
        <v>20</v>
      </c>
      <c r="M562" s="390" t="s">
        <v>3661</v>
      </c>
      <c r="N562" s="390" t="s">
        <v>1638</v>
      </c>
      <c r="O562" s="390" t="s">
        <v>2741</v>
      </c>
      <c r="P562" s="390" t="s">
        <v>1387</v>
      </c>
      <c r="Q562" s="388" t="s">
        <v>1383</v>
      </c>
      <c r="R562" s="390">
        <v>18</v>
      </c>
      <c r="S562" s="390" t="s">
        <v>3459</v>
      </c>
      <c r="T562" s="390" t="s">
        <v>1383</v>
      </c>
      <c r="U562" s="390" t="s">
        <v>3463</v>
      </c>
      <c r="V562" s="390" t="s">
        <v>1383</v>
      </c>
      <c r="W562" s="390" t="s">
        <v>1815</v>
      </c>
      <c r="X562" s="390" t="s">
        <v>1383</v>
      </c>
      <c r="Y562" s="390" t="s">
        <v>1816</v>
      </c>
      <c r="Z562" s="391" t="s">
        <v>1383</v>
      </c>
    </row>
    <row r="563" spans="2:26" ht="15.75" customHeight="1" x14ac:dyDescent="0.3">
      <c r="B563" s="387" t="s">
        <v>1375</v>
      </c>
      <c r="C563" s="388">
        <v>122663</v>
      </c>
      <c r="D563" s="388" t="s">
        <v>3662</v>
      </c>
      <c r="E563" s="388" t="s">
        <v>1377</v>
      </c>
      <c r="F563" s="388" t="s">
        <v>1378</v>
      </c>
      <c r="G563" s="388" t="s">
        <v>1439</v>
      </c>
      <c r="H563" s="388" t="s">
        <v>1380</v>
      </c>
      <c r="I563" s="388" t="s">
        <v>1530</v>
      </c>
      <c r="J563" s="388" t="s">
        <v>1383</v>
      </c>
      <c r="K563" s="388" t="s">
        <v>1383</v>
      </c>
      <c r="L563" s="389">
        <v>0</v>
      </c>
      <c r="M563" s="390" t="s">
        <v>2536</v>
      </c>
      <c r="N563" s="390">
        <v>7714301</v>
      </c>
      <c r="O563" s="390" t="s">
        <v>2741</v>
      </c>
      <c r="P563" s="390" t="s">
        <v>1387</v>
      </c>
      <c r="Q563" s="388" t="s">
        <v>1383</v>
      </c>
      <c r="R563" s="390">
        <v>18</v>
      </c>
      <c r="S563" s="390" t="s">
        <v>3459</v>
      </c>
      <c r="T563" s="390" t="s">
        <v>1383</v>
      </c>
      <c r="U563" s="390" t="s">
        <v>3460</v>
      </c>
      <c r="V563" s="390" t="s">
        <v>1383</v>
      </c>
      <c r="W563" s="390" t="s">
        <v>1980</v>
      </c>
      <c r="X563" s="390" t="s">
        <v>1383</v>
      </c>
      <c r="Y563" s="390" t="s">
        <v>1980</v>
      </c>
      <c r="Z563" s="391" t="s">
        <v>1383</v>
      </c>
    </row>
    <row r="564" spans="2:26" ht="15.75" customHeight="1" x14ac:dyDescent="0.3">
      <c r="B564" s="387" t="s">
        <v>1375</v>
      </c>
      <c r="C564" s="388">
        <v>122664</v>
      </c>
      <c r="D564" s="388" t="s">
        <v>3663</v>
      </c>
      <c r="E564" s="388" t="s">
        <v>1377</v>
      </c>
      <c r="F564" s="388" t="s">
        <v>2726</v>
      </c>
      <c r="G564" s="388" t="s">
        <v>1379</v>
      </c>
      <c r="H564" s="388" t="s">
        <v>1380</v>
      </c>
      <c r="I564" s="388" t="s">
        <v>1440</v>
      </c>
      <c r="J564" s="388" t="s">
        <v>1383</v>
      </c>
      <c r="K564" s="388" t="s">
        <v>1383</v>
      </c>
      <c r="L564" s="389">
        <v>20</v>
      </c>
      <c r="M564" s="390" t="s">
        <v>1807</v>
      </c>
      <c r="N564" s="390" t="s">
        <v>1643</v>
      </c>
      <c r="O564" s="390" t="s">
        <v>2741</v>
      </c>
      <c r="P564" s="390" t="s">
        <v>1387</v>
      </c>
      <c r="Q564" s="388" t="s">
        <v>1383</v>
      </c>
      <c r="R564" s="390">
        <v>16</v>
      </c>
      <c r="S564" s="390" t="s">
        <v>1746</v>
      </c>
      <c r="T564" s="390" t="s">
        <v>1383</v>
      </c>
      <c r="U564" s="390" t="s">
        <v>3463</v>
      </c>
      <c r="V564" s="390" t="s">
        <v>1383</v>
      </c>
      <c r="W564" s="390" t="s">
        <v>1810</v>
      </c>
      <c r="X564" s="390" t="s">
        <v>1383</v>
      </c>
      <c r="Y564" s="390" t="s">
        <v>1810</v>
      </c>
      <c r="Z564" s="391" t="s">
        <v>1383</v>
      </c>
    </row>
    <row r="565" spans="2:26" ht="15.75" customHeight="1" x14ac:dyDescent="0.3">
      <c r="B565" s="387" t="s">
        <v>1375</v>
      </c>
      <c r="C565" s="388">
        <v>122665</v>
      </c>
      <c r="D565" s="388" t="s">
        <v>3664</v>
      </c>
      <c r="E565" s="388" t="s">
        <v>1377</v>
      </c>
      <c r="F565" s="388" t="s">
        <v>1378</v>
      </c>
      <c r="G565" s="388" t="s">
        <v>1439</v>
      </c>
      <c r="H565" s="388" t="s">
        <v>1380</v>
      </c>
      <c r="I565" s="388" t="s">
        <v>1393</v>
      </c>
      <c r="J565" s="388"/>
      <c r="K565" s="388" t="s">
        <v>1383</v>
      </c>
      <c r="L565" s="389">
        <v>0</v>
      </c>
      <c r="M565" s="390" t="s">
        <v>1767</v>
      </c>
      <c r="N565" s="390">
        <v>3605807</v>
      </c>
      <c r="O565" s="392" t="s">
        <v>3605</v>
      </c>
      <c r="P565" s="390" t="s">
        <v>1387</v>
      </c>
      <c r="Q565" s="388" t="s">
        <v>1383</v>
      </c>
      <c r="R565" s="390">
        <v>16</v>
      </c>
      <c r="S565" s="390" t="s">
        <v>1746</v>
      </c>
      <c r="T565" s="390" t="s">
        <v>1383</v>
      </c>
      <c r="U565" s="390" t="s">
        <v>3665</v>
      </c>
      <c r="V565" s="390" t="s">
        <v>1383</v>
      </c>
      <c r="W565" s="390" t="s">
        <v>1769</v>
      </c>
      <c r="X565" s="390" t="s">
        <v>1383</v>
      </c>
      <c r="Y565" s="390" t="s">
        <v>1769</v>
      </c>
      <c r="Z565" s="391" t="s">
        <v>1383</v>
      </c>
    </row>
    <row r="566" spans="2:26" ht="15.75" customHeight="1" x14ac:dyDescent="0.3">
      <c r="B566" s="387" t="s">
        <v>1375</v>
      </c>
      <c r="C566" s="388">
        <v>122666</v>
      </c>
      <c r="D566" s="388" t="s">
        <v>3666</v>
      </c>
      <c r="E566" s="388" t="s">
        <v>1377</v>
      </c>
      <c r="F566" s="388" t="s">
        <v>1378</v>
      </c>
      <c r="G566" s="388" t="s">
        <v>1439</v>
      </c>
      <c r="H566" s="388" t="s">
        <v>1380</v>
      </c>
      <c r="I566" s="388" t="s">
        <v>1393</v>
      </c>
      <c r="J566" s="388"/>
      <c r="K566" s="388" t="s">
        <v>1383</v>
      </c>
      <c r="L566" s="389">
        <v>0</v>
      </c>
      <c r="M566" s="390" t="s">
        <v>1772</v>
      </c>
      <c r="N566" s="390">
        <v>2771672</v>
      </c>
      <c r="O566" s="392" t="s">
        <v>3605</v>
      </c>
      <c r="P566" s="390" t="s">
        <v>1387</v>
      </c>
      <c r="Q566" s="388" t="s">
        <v>1383</v>
      </c>
      <c r="R566" s="390">
        <v>8</v>
      </c>
      <c r="S566" s="390" t="s">
        <v>1483</v>
      </c>
      <c r="T566" s="390" t="s">
        <v>1383</v>
      </c>
      <c r="U566" s="390" t="s">
        <v>3667</v>
      </c>
      <c r="V566" s="390" t="s">
        <v>1383</v>
      </c>
      <c r="W566" s="390" t="s">
        <v>1769</v>
      </c>
      <c r="X566" s="390" t="s">
        <v>1383</v>
      </c>
      <c r="Y566" s="390" t="s">
        <v>1769</v>
      </c>
      <c r="Z566" s="391" t="s">
        <v>1383</v>
      </c>
    </row>
    <row r="567" spans="2:26" ht="15.75" customHeight="1" x14ac:dyDescent="0.3">
      <c r="B567" s="387" t="s">
        <v>1375</v>
      </c>
      <c r="C567" s="388">
        <v>122667</v>
      </c>
      <c r="D567" s="388" t="s">
        <v>3668</v>
      </c>
      <c r="E567" s="388" t="s">
        <v>1377</v>
      </c>
      <c r="F567" s="388" t="s">
        <v>1378</v>
      </c>
      <c r="G567" s="388" t="s">
        <v>1439</v>
      </c>
      <c r="H567" s="388" t="s">
        <v>1380</v>
      </c>
      <c r="I567" s="388" t="s">
        <v>1381</v>
      </c>
      <c r="J567" s="388"/>
      <c r="K567" s="388" t="s">
        <v>1383</v>
      </c>
      <c r="L567" s="389">
        <v>0</v>
      </c>
      <c r="M567" s="390" t="s">
        <v>2926</v>
      </c>
      <c r="N567" s="390" t="s">
        <v>3453</v>
      </c>
      <c r="O567" s="390" t="s">
        <v>3669</v>
      </c>
      <c r="P567" s="390" t="s">
        <v>1387</v>
      </c>
      <c r="Q567" s="388" t="s">
        <v>1383</v>
      </c>
      <c r="R567" s="390">
        <v>8</v>
      </c>
      <c r="S567" s="390" t="s">
        <v>1483</v>
      </c>
      <c r="T567" s="390" t="s">
        <v>1383</v>
      </c>
      <c r="U567" s="390" t="s">
        <v>3670</v>
      </c>
      <c r="V567" s="390" t="s">
        <v>1383</v>
      </c>
      <c r="W567" s="390" t="s">
        <v>1991</v>
      </c>
      <c r="X567" s="390" t="s">
        <v>1383</v>
      </c>
      <c r="Y567" s="390" t="s">
        <v>1991</v>
      </c>
      <c r="Z567" s="391" t="s">
        <v>1383</v>
      </c>
    </row>
    <row r="568" spans="2:26" ht="15.75" customHeight="1" x14ac:dyDescent="0.3">
      <c r="B568" s="387" t="s">
        <v>1375</v>
      </c>
      <c r="C568" s="388">
        <v>122668</v>
      </c>
      <c r="D568" s="388" t="s">
        <v>3671</v>
      </c>
      <c r="E568" s="388" t="s">
        <v>1377</v>
      </c>
      <c r="F568" s="388" t="s">
        <v>1378</v>
      </c>
      <c r="G568" s="388" t="s">
        <v>1439</v>
      </c>
      <c r="H568" s="388" t="s">
        <v>1380</v>
      </c>
      <c r="I568" s="388" t="s">
        <v>1393</v>
      </c>
      <c r="J568" s="388"/>
      <c r="K568" s="388" t="s">
        <v>1383</v>
      </c>
      <c r="L568" s="389">
        <v>0</v>
      </c>
      <c r="M568" s="390" t="s">
        <v>1521</v>
      </c>
      <c r="N568" s="390">
        <v>4110619</v>
      </c>
      <c r="O568" s="390" t="s">
        <v>3669</v>
      </c>
      <c r="P568" s="390" t="s">
        <v>1387</v>
      </c>
      <c r="Q568" s="388" t="s">
        <v>1383</v>
      </c>
      <c r="R568" s="390">
        <v>8</v>
      </c>
      <c r="S568" s="390" t="s">
        <v>1483</v>
      </c>
      <c r="T568" s="390" t="s">
        <v>1383</v>
      </c>
      <c r="U568" s="390" t="s">
        <v>3672</v>
      </c>
      <c r="V568" s="390" t="s">
        <v>1383</v>
      </c>
      <c r="W568" s="390" t="s">
        <v>1520</v>
      </c>
      <c r="X568" s="390" t="s">
        <v>1383</v>
      </c>
      <c r="Y568" s="390" t="s">
        <v>1524</v>
      </c>
      <c r="Z568" s="391" t="s">
        <v>1383</v>
      </c>
    </row>
    <row r="569" spans="2:26" ht="15.75" customHeight="1" x14ac:dyDescent="0.3">
      <c r="B569" s="387" t="s">
        <v>1375</v>
      </c>
      <c r="C569" s="388">
        <v>122669</v>
      </c>
      <c r="D569" s="388" t="s">
        <v>3673</v>
      </c>
      <c r="E569" s="388" t="s">
        <v>1377</v>
      </c>
      <c r="F569" s="388" t="s">
        <v>1378</v>
      </c>
      <c r="G569" s="388" t="s">
        <v>1439</v>
      </c>
      <c r="H569" s="388" t="s">
        <v>1380</v>
      </c>
      <c r="I569" s="388" t="s">
        <v>1530</v>
      </c>
      <c r="J569" s="388" t="s">
        <v>1383</v>
      </c>
      <c r="K569" s="388" t="s">
        <v>1383</v>
      </c>
      <c r="L569" s="389">
        <v>0</v>
      </c>
      <c r="M569" s="390" t="s">
        <v>3221</v>
      </c>
      <c r="N569" s="390" t="s">
        <v>3453</v>
      </c>
      <c r="O569" s="390" t="s">
        <v>3669</v>
      </c>
      <c r="P569" s="390" t="s">
        <v>1387</v>
      </c>
      <c r="Q569" s="388" t="s">
        <v>1383</v>
      </c>
      <c r="R569" s="390">
        <v>8</v>
      </c>
      <c r="S569" s="390" t="s">
        <v>1483</v>
      </c>
      <c r="T569" s="390" t="s">
        <v>1383</v>
      </c>
      <c r="U569" s="390" t="s">
        <v>3674</v>
      </c>
      <c r="V569" s="390" t="s">
        <v>1383</v>
      </c>
      <c r="W569" s="390" t="s">
        <v>1490</v>
      </c>
      <c r="X569" s="390" t="s">
        <v>1383</v>
      </c>
      <c r="Y569" s="390" t="s">
        <v>1490</v>
      </c>
      <c r="Z569" s="391" t="s">
        <v>1383</v>
      </c>
    </row>
    <row r="570" spans="2:26" ht="15.75" customHeight="1" x14ac:dyDescent="0.3">
      <c r="B570" s="387" t="s">
        <v>1375</v>
      </c>
      <c r="C570" s="388">
        <v>122670</v>
      </c>
      <c r="D570" s="388" t="s">
        <v>3675</v>
      </c>
      <c r="E570" s="388" t="s">
        <v>1377</v>
      </c>
      <c r="F570" s="388" t="s">
        <v>1378</v>
      </c>
      <c r="G570" s="388" t="s">
        <v>1439</v>
      </c>
      <c r="H570" s="388" t="s">
        <v>1380</v>
      </c>
      <c r="I570" s="388" t="s">
        <v>1530</v>
      </c>
      <c r="J570" s="388" t="s">
        <v>1383</v>
      </c>
      <c r="K570" s="388" t="s">
        <v>1383</v>
      </c>
      <c r="L570" s="389">
        <v>0</v>
      </c>
      <c r="M570" s="390" t="s">
        <v>2503</v>
      </c>
      <c r="N570" s="390" t="s">
        <v>3453</v>
      </c>
      <c r="O570" s="390" t="s">
        <v>3669</v>
      </c>
      <c r="P570" s="390" t="s">
        <v>1387</v>
      </c>
      <c r="Q570" s="388" t="s">
        <v>1383</v>
      </c>
      <c r="R570" s="390">
        <v>13</v>
      </c>
      <c r="S570" s="390" t="s">
        <v>2562</v>
      </c>
      <c r="T570" s="390" t="s">
        <v>1383</v>
      </c>
      <c r="U570" s="390" t="s">
        <v>3674</v>
      </c>
      <c r="V570" s="390" t="s">
        <v>1383</v>
      </c>
      <c r="W570" s="390" t="s">
        <v>2505</v>
      </c>
      <c r="X570" s="390" t="s">
        <v>1383</v>
      </c>
      <c r="Y570" s="390" t="s">
        <v>3676</v>
      </c>
      <c r="Z570" s="391" t="s">
        <v>1383</v>
      </c>
    </row>
    <row r="571" spans="2:26" ht="15.75" customHeight="1" x14ac:dyDescent="0.3">
      <c r="B571" s="387" t="s">
        <v>1375</v>
      </c>
      <c r="C571" s="388">
        <v>122671</v>
      </c>
      <c r="D571" s="388" t="s">
        <v>3677</v>
      </c>
      <c r="E571" s="388" t="s">
        <v>1377</v>
      </c>
      <c r="F571" s="388" t="s">
        <v>1378</v>
      </c>
      <c r="G571" s="388" t="s">
        <v>1439</v>
      </c>
      <c r="H571" s="388" t="s">
        <v>1380</v>
      </c>
      <c r="I571" s="388" t="s">
        <v>1393</v>
      </c>
      <c r="J571" s="388"/>
      <c r="K571" s="388" t="s">
        <v>1383</v>
      </c>
      <c r="L571" s="389">
        <v>0</v>
      </c>
      <c r="M571" s="390" t="s">
        <v>2561</v>
      </c>
      <c r="N571" s="390">
        <v>2326304</v>
      </c>
      <c r="O571" s="390" t="s">
        <v>3635</v>
      </c>
      <c r="P571" s="390" t="s">
        <v>1387</v>
      </c>
      <c r="Q571" s="388" t="s">
        <v>1383</v>
      </c>
      <c r="R571" s="390">
        <v>7</v>
      </c>
      <c r="S571" s="390" t="s">
        <v>1687</v>
      </c>
      <c r="T571" s="390" t="s">
        <v>1383</v>
      </c>
      <c r="U571" s="390" t="s">
        <v>3678</v>
      </c>
      <c r="V571" s="390" t="s">
        <v>1383</v>
      </c>
      <c r="W571" s="390" t="s">
        <v>2564</v>
      </c>
      <c r="X571" s="390" t="s">
        <v>1383</v>
      </c>
      <c r="Y571" s="390" t="s">
        <v>2564</v>
      </c>
      <c r="Z571" s="391" t="s">
        <v>1383</v>
      </c>
    </row>
    <row r="572" spans="2:26" ht="15.75" customHeight="1" x14ac:dyDescent="0.3">
      <c r="B572" s="387" t="s">
        <v>1375</v>
      </c>
      <c r="C572" s="388">
        <v>122672</v>
      </c>
      <c r="D572" s="388" t="s">
        <v>3679</v>
      </c>
      <c r="E572" s="388" t="s">
        <v>1377</v>
      </c>
      <c r="F572" s="388" t="s">
        <v>2726</v>
      </c>
      <c r="G572" s="388" t="s">
        <v>1379</v>
      </c>
      <c r="H572" s="388" t="s">
        <v>1380</v>
      </c>
      <c r="I572" s="388" t="s">
        <v>1393</v>
      </c>
      <c r="J572" s="388"/>
      <c r="K572" s="388" t="s">
        <v>1383</v>
      </c>
      <c r="L572" s="389">
        <v>20</v>
      </c>
      <c r="M572" s="390" t="s">
        <v>2383</v>
      </c>
      <c r="N572" s="390">
        <v>4487646</v>
      </c>
      <c r="O572" s="392" t="s">
        <v>3680</v>
      </c>
      <c r="P572" s="390" t="s">
        <v>1387</v>
      </c>
      <c r="Q572" s="388" t="s">
        <v>1383</v>
      </c>
      <c r="R572" s="390">
        <v>7</v>
      </c>
      <c r="S572" s="390" t="s">
        <v>1687</v>
      </c>
      <c r="T572" s="390" t="s">
        <v>1383</v>
      </c>
      <c r="U572" s="390" t="s">
        <v>3486</v>
      </c>
      <c r="V572" s="390" t="s">
        <v>1383</v>
      </c>
      <c r="W572" s="390" t="s">
        <v>2385</v>
      </c>
      <c r="X572" s="390" t="s">
        <v>1383</v>
      </c>
      <c r="Y572" s="390" t="s">
        <v>3487</v>
      </c>
      <c r="Z572" s="391" t="s">
        <v>1383</v>
      </c>
    </row>
    <row r="573" spans="2:26" ht="15.75" customHeight="1" x14ac:dyDescent="0.3">
      <c r="B573" s="387" t="s">
        <v>1375</v>
      </c>
      <c r="C573" s="388">
        <v>122673</v>
      </c>
      <c r="D573" s="388" t="s">
        <v>3681</v>
      </c>
      <c r="E573" s="388" t="s">
        <v>1377</v>
      </c>
      <c r="F573" s="388" t="s">
        <v>1378</v>
      </c>
      <c r="G573" s="388" t="s">
        <v>1439</v>
      </c>
      <c r="H573" s="388" t="s">
        <v>1380</v>
      </c>
      <c r="I573" s="388" t="s">
        <v>1393</v>
      </c>
      <c r="J573" s="388"/>
      <c r="K573" s="388" t="s">
        <v>1383</v>
      </c>
      <c r="L573" s="389">
        <v>0</v>
      </c>
      <c r="M573" s="390" t="s">
        <v>2979</v>
      </c>
      <c r="N573" s="390">
        <v>7775675</v>
      </c>
      <c r="O573" s="392" t="s">
        <v>3605</v>
      </c>
      <c r="P573" s="390" t="s">
        <v>1387</v>
      </c>
      <c r="Q573" s="388" t="s">
        <v>1383</v>
      </c>
      <c r="R573" s="390">
        <v>7</v>
      </c>
      <c r="S573" s="390" t="s">
        <v>1687</v>
      </c>
      <c r="T573" s="390" t="s">
        <v>1383</v>
      </c>
      <c r="U573" s="390" t="s">
        <v>3682</v>
      </c>
      <c r="V573" s="390" t="s">
        <v>1383</v>
      </c>
      <c r="W573" s="390" t="s">
        <v>2982</v>
      </c>
      <c r="X573" s="390" t="s">
        <v>1383</v>
      </c>
      <c r="Y573" s="390" t="s">
        <v>2983</v>
      </c>
      <c r="Z573" s="391" t="s">
        <v>1383</v>
      </c>
    </row>
    <row r="574" spans="2:26" ht="15.75" customHeight="1" x14ac:dyDescent="0.3">
      <c r="B574" s="387" t="s">
        <v>1375</v>
      </c>
      <c r="C574" s="388">
        <v>122674</v>
      </c>
      <c r="D574" s="388" t="s">
        <v>3683</v>
      </c>
      <c r="E574" s="388" t="s">
        <v>1377</v>
      </c>
      <c r="F574" s="388" t="s">
        <v>1378</v>
      </c>
      <c r="G574" s="388" t="s">
        <v>1439</v>
      </c>
      <c r="H574" s="388" t="s">
        <v>1380</v>
      </c>
      <c r="I574" s="388" t="s">
        <v>1530</v>
      </c>
      <c r="J574" s="388" t="s">
        <v>1383</v>
      </c>
      <c r="K574" s="388" t="s">
        <v>1383</v>
      </c>
      <c r="L574" s="389">
        <v>0</v>
      </c>
      <c r="M574" s="390" t="s">
        <v>3425</v>
      </c>
      <c r="N574" s="390">
        <v>7761925</v>
      </c>
      <c r="O574" s="392" t="s">
        <v>3605</v>
      </c>
      <c r="P574" s="390" t="s">
        <v>1387</v>
      </c>
      <c r="Q574" s="388" t="s">
        <v>1383</v>
      </c>
      <c r="R574" s="390">
        <v>7</v>
      </c>
      <c r="S574" s="390" t="s">
        <v>1687</v>
      </c>
      <c r="T574" s="390" t="s">
        <v>1383</v>
      </c>
      <c r="U574" s="390" t="s">
        <v>3427</v>
      </c>
      <c r="V574" s="390" t="s">
        <v>1383</v>
      </c>
      <c r="W574" s="390" t="s">
        <v>1684</v>
      </c>
      <c r="X574" s="390" t="s">
        <v>1383</v>
      </c>
      <c r="Y574" s="390" t="s">
        <v>1684</v>
      </c>
      <c r="Z574" s="391" t="s">
        <v>1383</v>
      </c>
    </row>
    <row r="575" spans="2:26" ht="15.75" customHeight="1" x14ac:dyDescent="0.3">
      <c r="B575" s="387" t="s">
        <v>1375</v>
      </c>
      <c r="C575" s="388">
        <v>122675</v>
      </c>
      <c r="D575" s="388" t="s">
        <v>3684</v>
      </c>
      <c r="E575" s="388" t="s">
        <v>1377</v>
      </c>
      <c r="F575" s="388" t="s">
        <v>1378</v>
      </c>
      <c r="G575" s="388" t="s">
        <v>1439</v>
      </c>
      <c r="H575" s="388" t="s">
        <v>1380</v>
      </c>
      <c r="I575" s="388" t="s">
        <v>1530</v>
      </c>
      <c r="J575" s="388" t="s">
        <v>1383</v>
      </c>
      <c r="K575" s="388" t="s">
        <v>1383</v>
      </c>
      <c r="L575" s="389">
        <v>0</v>
      </c>
      <c r="M575" s="390" t="s">
        <v>3249</v>
      </c>
      <c r="N575" s="390">
        <v>7833601</v>
      </c>
      <c r="O575" s="392" t="s">
        <v>3605</v>
      </c>
      <c r="P575" s="390" t="s">
        <v>1387</v>
      </c>
      <c r="Q575" s="388" t="s">
        <v>1383</v>
      </c>
      <c r="R575" s="390">
        <v>7</v>
      </c>
      <c r="S575" s="390" t="s">
        <v>1687</v>
      </c>
      <c r="T575" s="390" t="s">
        <v>1383</v>
      </c>
      <c r="U575" s="390" t="s">
        <v>3427</v>
      </c>
      <c r="V575" s="390" t="s">
        <v>1383</v>
      </c>
      <c r="W575" s="390" t="s">
        <v>2987</v>
      </c>
      <c r="X575" s="390" t="s">
        <v>1383</v>
      </c>
      <c r="Y575" s="390" t="s">
        <v>3685</v>
      </c>
      <c r="Z575" s="391" t="s">
        <v>1383</v>
      </c>
    </row>
    <row r="576" spans="2:26" ht="15.75" customHeight="1" x14ac:dyDescent="0.3">
      <c r="B576" s="387" t="s">
        <v>1375</v>
      </c>
      <c r="C576" s="388">
        <v>122676</v>
      </c>
      <c r="D576" s="388" t="s">
        <v>3686</v>
      </c>
      <c r="E576" s="388" t="s">
        <v>1377</v>
      </c>
      <c r="F576" s="388" t="s">
        <v>1378</v>
      </c>
      <c r="G576" s="388" t="s">
        <v>1439</v>
      </c>
      <c r="H576" s="388" t="s">
        <v>1380</v>
      </c>
      <c r="I576" s="388" t="s">
        <v>1530</v>
      </c>
      <c r="J576" s="388" t="s">
        <v>1383</v>
      </c>
      <c r="K576" s="388" t="s">
        <v>1383</v>
      </c>
      <c r="L576" s="389">
        <v>0</v>
      </c>
      <c r="M576" s="390" t="s">
        <v>3010</v>
      </c>
      <c r="N576" s="390">
        <v>7832458</v>
      </c>
      <c r="O576" s="392" t="s">
        <v>3605</v>
      </c>
      <c r="P576" s="390" t="s">
        <v>1387</v>
      </c>
      <c r="Q576" s="388" t="s">
        <v>1383</v>
      </c>
      <c r="R576" s="390">
        <v>7</v>
      </c>
      <c r="S576" s="390" t="s">
        <v>1687</v>
      </c>
      <c r="T576" s="390" t="s">
        <v>1383</v>
      </c>
      <c r="U576" s="390" t="s">
        <v>3427</v>
      </c>
      <c r="V576" s="390" t="s">
        <v>1383</v>
      </c>
      <c r="W576" s="390" t="s">
        <v>2486</v>
      </c>
      <c r="X576" s="390" t="s">
        <v>1383</v>
      </c>
      <c r="Y576" s="390" t="s">
        <v>2836</v>
      </c>
      <c r="Z576" s="391" t="s">
        <v>1383</v>
      </c>
    </row>
    <row r="577" spans="2:26" ht="15.75" customHeight="1" x14ac:dyDescent="0.3">
      <c r="B577" s="387" t="s">
        <v>1375</v>
      </c>
      <c r="C577" s="388">
        <v>122677</v>
      </c>
      <c r="D577" s="388" t="s">
        <v>3687</v>
      </c>
      <c r="E577" s="388" t="s">
        <v>1377</v>
      </c>
      <c r="F577" s="388" t="s">
        <v>2726</v>
      </c>
      <c r="G577" s="388" t="s">
        <v>1379</v>
      </c>
      <c r="H577" s="388" t="s">
        <v>1380</v>
      </c>
      <c r="I577" s="388" t="s">
        <v>1530</v>
      </c>
      <c r="J577" s="388" t="s">
        <v>1383</v>
      </c>
      <c r="K577" s="388" t="s">
        <v>1383</v>
      </c>
      <c r="L577" s="389">
        <v>20</v>
      </c>
      <c r="M577" s="390" t="s">
        <v>3004</v>
      </c>
      <c r="N577" s="390">
        <v>7851880</v>
      </c>
      <c r="O577" s="392" t="s">
        <v>3680</v>
      </c>
      <c r="P577" s="390" t="s">
        <v>1387</v>
      </c>
      <c r="Q577" s="388" t="s">
        <v>1383</v>
      </c>
      <c r="R577" s="390">
        <v>19</v>
      </c>
      <c r="S577" s="390" t="s">
        <v>1841</v>
      </c>
      <c r="T577" s="390" t="s">
        <v>1383</v>
      </c>
      <c r="U577" s="390" t="s">
        <v>3427</v>
      </c>
      <c r="V577" s="390" t="s">
        <v>1383</v>
      </c>
      <c r="W577" s="390" t="s">
        <v>3006</v>
      </c>
      <c r="X577" s="390" t="s">
        <v>1383</v>
      </c>
      <c r="Y577" s="390" t="s">
        <v>3688</v>
      </c>
      <c r="Z577" s="391" t="s">
        <v>1383</v>
      </c>
    </row>
    <row r="578" spans="2:26" ht="15.75" customHeight="1" x14ac:dyDescent="0.3">
      <c r="B578" s="387" t="s">
        <v>1375</v>
      </c>
      <c r="C578" s="388">
        <v>122678</v>
      </c>
      <c r="D578" s="388" t="s">
        <v>3689</v>
      </c>
      <c r="E578" s="388" t="s">
        <v>1377</v>
      </c>
      <c r="F578" s="388" t="s">
        <v>1378</v>
      </c>
      <c r="G578" s="388" t="s">
        <v>1439</v>
      </c>
      <c r="H578" s="388" t="s">
        <v>1380</v>
      </c>
      <c r="I578" s="388" t="s">
        <v>1393</v>
      </c>
      <c r="J578" s="388"/>
      <c r="K578" s="388" t="s">
        <v>1383</v>
      </c>
      <c r="L578" s="389">
        <v>0</v>
      </c>
      <c r="M578" s="390" t="s">
        <v>3690</v>
      </c>
      <c r="N578" s="390">
        <v>7769061</v>
      </c>
      <c r="O578" s="390" t="s">
        <v>3433</v>
      </c>
      <c r="P578" s="390" t="s">
        <v>1387</v>
      </c>
      <c r="Q578" s="388" t="s">
        <v>1383</v>
      </c>
      <c r="R578" s="390">
        <v>19</v>
      </c>
      <c r="S578" s="390" t="s">
        <v>1841</v>
      </c>
      <c r="T578" s="390" t="s">
        <v>1383</v>
      </c>
      <c r="U578" s="390" t="s">
        <v>3506</v>
      </c>
      <c r="V578" s="390" t="s">
        <v>1383</v>
      </c>
      <c r="W578" s="390" t="s">
        <v>3110</v>
      </c>
      <c r="X578" s="390" t="s">
        <v>1383</v>
      </c>
      <c r="Y578" s="390" t="s">
        <v>3507</v>
      </c>
      <c r="Z578" s="391" t="s">
        <v>1383</v>
      </c>
    </row>
    <row r="579" spans="2:26" ht="15.75" customHeight="1" x14ac:dyDescent="0.3">
      <c r="B579" s="387" t="s">
        <v>1375</v>
      </c>
      <c r="C579" s="388">
        <v>122679</v>
      </c>
      <c r="D579" s="388" t="s">
        <v>3691</v>
      </c>
      <c r="E579" s="388" t="s">
        <v>1377</v>
      </c>
      <c r="F579" s="388" t="s">
        <v>1378</v>
      </c>
      <c r="G579" s="388" t="s">
        <v>1439</v>
      </c>
      <c r="H579" s="388" t="s">
        <v>1380</v>
      </c>
      <c r="I579" s="388" t="s">
        <v>1393</v>
      </c>
      <c r="J579" s="388"/>
      <c r="K579" s="388" t="s">
        <v>1383</v>
      </c>
      <c r="L579" s="389">
        <v>0</v>
      </c>
      <c r="M579" s="390" t="s">
        <v>3139</v>
      </c>
      <c r="N579" s="390">
        <v>7906849</v>
      </c>
      <c r="O579" s="390" t="s">
        <v>3433</v>
      </c>
      <c r="P579" s="390" t="s">
        <v>1387</v>
      </c>
      <c r="Q579" s="388" t="s">
        <v>1383</v>
      </c>
      <c r="R579" s="390">
        <v>19</v>
      </c>
      <c r="S579" s="390" t="s">
        <v>1841</v>
      </c>
      <c r="T579" s="390" t="s">
        <v>1383</v>
      </c>
      <c r="U579" s="390" t="s">
        <v>1932</v>
      </c>
      <c r="V579" s="390" t="s">
        <v>1383</v>
      </c>
      <c r="W579" s="390" t="s">
        <v>3140</v>
      </c>
      <c r="X579" s="390" t="s">
        <v>1383</v>
      </c>
      <c r="Y579" s="390" t="s">
        <v>3509</v>
      </c>
      <c r="Z579" s="391" t="s">
        <v>1383</v>
      </c>
    </row>
    <row r="580" spans="2:26" ht="15.75" customHeight="1" x14ac:dyDescent="0.3">
      <c r="B580" s="387" t="s">
        <v>1375</v>
      </c>
      <c r="C580" s="388">
        <v>122680</v>
      </c>
      <c r="D580" s="388" t="s">
        <v>3692</v>
      </c>
      <c r="E580" s="388" t="s">
        <v>1377</v>
      </c>
      <c r="F580" s="388" t="s">
        <v>1378</v>
      </c>
      <c r="G580" s="388" t="s">
        <v>1439</v>
      </c>
      <c r="H580" s="388" t="s">
        <v>1380</v>
      </c>
      <c r="I580" s="388" t="s">
        <v>1393</v>
      </c>
      <c r="J580" s="388"/>
      <c r="K580" s="388" t="s">
        <v>1383</v>
      </c>
      <c r="L580" s="389">
        <v>0</v>
      </c>
      <c r="M580" s="390" t="s">
        <v>3693</v>
      </c>
      <c r="N580" s="390">
        <v>7316515</v>
      </c>
      <c r="O580" s="390" t="s">
        <v>3433</v>
      </c>
      <c r="P580" s="390" t="s">
        <v>1387</v>
      </c>
      <c r="Q580" s="388" t="s">
        <v>1383</v>
      </c>
      <c r="R580" s="390">
        <v>19</v>
      </c>
      <c r="S580" s="390" t="s">
        <v>1841</v>
      </c>
      <c r="T580" s="390" t="s">
        <v>1383</v>
      </c>
      <c r="U580" s="390" t="s">
        <v>1932</v>
      </c>
      <c r="V580" s="390" t="s">
        <v>1383</v>
      </c>
      <c r="W580" s="390" t="s">
        <v>2050</v>
      </c>
      <c r="X580" s="390" t="s">
        <v>1383</v>
      </c>
      <c r="Y580" s="390" t="s">
        <v>3523</v>
      </c>
      <c r="Z580" s="391" t="s">
        <v>1383</v>
      </c>
    </row>
    <row r="581" spans="2:26" ht="15.75" customHeight="1" x14ac:dyDescent="0.3">
      <c r="B581" s="387" t="s">
        <v>1375</v>
      </c>
      <c r="C581" s="388">
        <v>122681</v>
      </c>
      <c r="D581" s="388" t="s">
        <v>3694</v>
      </c>
      <c r="E581" s="388" t="s">
        <v>1377</v>
      </c>
      <c r="F581" s="388" t="s">
        <v>1378</v>
      </c>
      <c r="G581" s="388" t="s">
        <v>1439</v>
      </c>
      <c r="H581" s="388" t="s">
        <v>1380</v>
      </c>
      <c r="I581" s="388" t="s">
        <v>1393</v>
      </c>
      <c r="J581" s="388"/>
      <c r="K581" s="388" t="s">
        <v>1383</v>
      </c>
      <c r="L581" s="389">
        <v>0</v>
      </c>
      <c r="M581" s="390" t="s">
        <v>3122</v>
      </c>
      <c r="N581" s="390">
        <v>7315686</v>
      </c>
      <c r="O581" s="390" t="s">
        <v>3433</v>
      </c>
      <c r="P581" s="390" t="s">
        <v>1387</v>
      </c>
      <c r="Q581" s="388" t="s">
        <v>1383</v>
      </c>
      <c r="R581" s="390">
        <v>19</v>
      </c>
      <c r="S581" s="390" t="s">
        <v>1841</v>
      </c>
      <c r="T581" s="390" t="s">
        <v>1383</v>
      </c>
      <c r="U581" s="390" t="s">
        <v>3437</v>
      </c>
      <c r="V581" s="390" t="s">
        <v>1383</v>
      </c>
      <c r="W581" s="390" t="s">
        <v>2189</v>
      </c>
      <c r="X581" s="390" t="s">
        <v>1383</v>
      </c>
      <c r="Y581" s="390" t="s">
        <v>1652</v>
      </c>
      <c r="Z581" s="391" t="s">
        <v>1383</v>
      </c>
    </row>
    <row r="582" spans="2:26" ht="15.75" customHeight="1" x14ac:dyDescent="0.3">
      <c r="B582" s="387" t="s">
        <v>1375</v>
      </c>
      <c r="C582" s="388">
        <v>122682</v>
      </c>
      <c r="D582" s="388" t="s">
        <v>3695</v>
      </c>
      <c r="E582" s="388" t="s">
        <v>1377</v>
      </c>
      <c r="F582" s="388" t="s">
        <v>1378</v>
      </c>
      <c r="G582" s="388" t="s">
        <v>1439</v>
      </c>
      <c r="H582" s="388" t="s">
        <v>1380</v>
      </c>
      <c r="I582" s="388" t="s">
        <v>1393</v>
      </c>
      <c r="J582" s="388"/>
      <c r="K582" s="388" t="s">
        <v>1383</v>
      </c>
      <c r="L582" s="389">
        <v>0</v>
      </c>
      <c r="M582" s="390" t="s">
        <v>1957</v>
      </c>
      <c r="N582" s="390">
        <v>7927275</v>
      </c>
      <c r="O582" s="390" t="s">
        <v>3433</v>
      </c>
      <c r="P582" s="390" t="s">
        <v>1387</v>
      </c>
      <c r="Q582" s="388" t="s">
        <v>1383</v>
      </c>
      <c r="R582" s="390">
        <v>19</v>
      </c>
      <c r="S582" s="390" t="s">
        <v>1841</v>
      </c>
      <c r="T582" s="390" t="s">
        <v>1383</v>
      </c>
      <c r="U582" s="390" t="s">
        <v>3434</v>
      </c>
      <c r="V582" s="390" t="s">
        <v>1383</v>
      </c>
      <c r="W582" s="390" t="s">
        <v>1956</v>
      </c>
      <c r="X582" s="390" t="s">
        <v>1383</v>
      </c>
      <c r="Y582" s="390" t="s">
        <v>3435</v>
      </c>
      <c r="Z582" s="391" t="s">
        <v>1383</v>
      </c>
    </row>
    <row r="583" spans="2:26" ht="15.75" customHeight="1" x14ac:dyDescent="0.3">
      <c r="B583" s="387" t="s">
        <v>1375</v>
      </c>
      <c r="C583" s="388">
        <v>122683</v>
      </c>
      <c r="D583" s="388" t="s">
        <v>3696</v>
      </c>
      <c r="E583" s="388" t="s">
        <v>1377</v>
      </c>
      <c r="F583" s="388" t="s">
        <v>1378</v>
      </c>
      <c r="G583" s="388" t="s">
        <v>1439</v>
      </c>
      <c r="H583" s="388" t="s">
        <v>1380</v>
      </c>
      <c r="I583" s="388" t="s">
        <v>1393</v>
      </c>
      <c r="J583" s="388"/>
      <c r="K583" s="388" t="s">
        <v>1383</v>
      </c>
      <c r="L583" s="389">
        <v>0</v>
      </c>
      <c r="M583" s="390" t="s">
        <v>3262</v>
      </c>
      <c r="N583" s="390">
        <v>7152081</v>
      </c>
      <c r="O583" s="390" t="s">
        <v>3433</v>
      </c>
      <c r="P583" s="390" t="s">
        <v>1387</v>
      </c>
      <c r="Q583" s="388" t="s">
        <v>1383</v>
      </c>
      <c r="R583" s="390">
        <v>19</v>
      </c>
      <c r="S583" s="390" t="s">
        <v>1841</v>
      </c>
      <c r="T583" s="390" t="s">
        <v>1383</v>
      </c>
      <c r="U583" s="390" t="s">
        <v>3437</v>
      </c>
      <c r="V583" s="390" t="s">
        <v>1383</v>
      </c>
      <c r="W583" s="390" t="s">
        <v>3263</v>
      </c>
      <c r="X583" s="390" t="s">
        <v>1383</v>
      </c>
      <c r="Y583" s="390" t="s">
        <v>3264</v>
      </c>
      <c r="Z583" s="391" t="s">
        <v>1383</v>
      </c>
    </row>
    <row r="584" spans="2:26" ht="15.75" customHeight="1" x14ac:dyDescent="0.3">
      <c r="B584" s="387" t="s">
        <v>1375</v>
      </c>
      <c r="C584" s="388">
        <v>122684</v>
      </c>
      <c r="D584" s="388" t="s">
        <v>3697</v>
      </c>
      <c r="E584" s="388" t="s">
        <v>1377</v>
      </c>
      <c r="F584" s="388" t="s">
        <v>1378</v>
      </c>
      <c r="G584" s="388" t="s">
        <v>1439</v>
      </c>
      <c r="H584" s="388" t="s">
        <v>1380</v>
      </c>
      <c r="I584" s="388" t="s">
        <v>1530</v>
      </c>
      <c r="J584" s="388" t="s">
        <v>1383</v>
      </c>
      <c r="K584" s="388" t="s">
        <v>1383</v>
      </c>
      <c r="L584" s="389">
        <v>0</v>
      </c>
      <c r="M584" s="390" t="s">
        <v>1846</v>
      </c>
      <c r="N584" s="390">
        <v>4558635</v>
      </c>
      <c r="O584" s="390" t="s">
        <v>3433</v>
      </c>
      <c r="P584" s="390" t="s">
        <v>1387</v>
      </c>
      <c r="Q584" s="388" t="s">
        <v>1383</v>
      </c>
      <c r="R584" s="390">
        <v>9</v>
      </c>
      <c r="S584" s="390" t="s">
        <v>1533</v>
      </c>
      <c r="T584" s="390" t="s">
        <v>1383</v>
      </c>
      <c r="U584" s="390" t="s">
        <v>3437</v>
      </c>
      <c r="V584" s="390" t="s">
        <v>1383</v>
      </c>
      <c r="W584" s="390" t="s">
        <v>1844</v>
      </c>
      <c r="X584" s="390" t="s">
        <v>1383</v>
      </c>
      <c r="Y584" s="390" t="s">
        <v>1848</v>
      </c>
      <c r="Z584" s="391" t="s">
        <v>1383</v>
      </c>
    </row>
    <row r="585" spans="2:26" ht="15.75" customHeight="1" x14ac:dyDescent="0.3">
      <c r="B585" s="387" t="s">
        <v>1375</v>
      </c>
      <c r="C585" s="388">
        <v>122685</v>
      </c>
      <c r="D585" s="388" t="s">
        <v>3698</v>
      </c>
      <c r="E585" s="388" t="s">
        <v>1377</v>
      </c>
      <c r="F585" s="388" t="s">
        <v>1378</v>
      </c>
      <c r="G585" s="388" t="s">
        <v>1439</v>
      </c>
      <c r="H585" s="388" t="s">
        <v>1380</v>
      </c>
      <c r="I585" s="388" t="s">
        <v>1393</v>
      </c>
      <c r="J585" s="388"/>
      <c r="K585" s="388" t="s">
        <v>1383</v>
      </c>
      <c r="L585" s="389">
        <v>0</v>
      </c>
      <c r="M585" s="390" t="s">
        <v>2581</v>
      </c>
      <c r="N585" s="390">
        <v>4211645</v>
      </c>
      <c r="O585" s="392" t="s">
        <v>3699</v>
      </c>
      <c r="P585" s="390" t="s">
        <v>1387</v>
      </c>
      <c r="Q585" s="388" t="s">
        <v>1383</v>
      </c>
      <c r="R585" s="390">
        <v>8</v>
      </c>
      <c r="S585" s="390" t="s">
        <v>1483</v>
      </c>
      <c r="T585" s="390" t="s">
        <v>1383</v>
      </c>
      <c r="U585" s="390" t="s">
        <v>3700</v>
      </c>
      <c r="V585" s="390" t="s">
        <v>1383</v>
      </c>
      <c r="W585" s="390" t="s">
        <v>1547</v>
      </c>
      <c r="X585" s="390" t="s">
        <v>1383</v>
      </c>
      <c r="Y585" s="390" t="s">
        <v>1544</v>
      </c>
      <c r="Z585" s="391" t="s">
        <v>1383</v>
      </c>
    </row>
    <row r="586" spans="2:26" ht="15.75" customHeight="1" x14ac:dyDescent="0.3">
      <c r="B586" s="387" t="s">
        <v>1375</v>
      </c>
      <c r="C586" s="388">
        <v>122686</v>
      </c>
      <c r="D586" s="388" t="s">
        <v>3701</v>
      </c>
      <c r="E586" s="388" t="s">
        <v>1377</v>
      </c>
      <c r="F586" s="388" t="s">
        <v>1378</v>
      </c>
      <c r="G586" s="388" t="s">
        <v>1439</v>
      </c>
      <c r="H586" s="388" t="s">
        <v>1380</v>
      </c>
      <c r="I586" s="388" t="s">
        <v>1530</v>
      </c>
      <c r="J586" s="388" t="s">
        <v>1383</v>
      </c>
      <c r="K586" s="388" t="s">
        <v>1383</v>
      </c>
      <c r="L586" s="389">
        <v>0</v>
      </c>
      <c r="M586" s="390" t="s">
        <v>2654</v>
      </c>
      <c r="N586" s="390" t="s">
        <v>3453</v>
      </c>
      <c r="O586" s="390" t="s">
        <v>3669</v>
      </c>
      <c r="P586" s="390" t="s">
        <v>1387</v>
      </c>
      <c r="Q586" s="388" t="s">
        <v>1383</v>
      </c>
      <c r="R586" s="390">
        <v>8</v>
      </c>
      <c r="S586" s="390" t="s">
        <v>1483</v>
      </c>
      <c r="T586" s="390" t="s">
        <v>1383</v>
      </c>
      <c r="U586" s="390" t="s">
        <v>3702</v>
      </c>
      <c r="V586" s="390" t="s">
        <v>1383</v>
      </c>
      <c r="W586" s="390" t="s">
        <v>2655</v>
      </c>
      <c r="X586" s="390" t="s">
        <v>1383</v>
      </c>
      <c r="Y586" s="390" t="s">
        <v>2656</v>
      </c>
      <c r="Z586" s="391" t="s">
        <v>1383</v>
      </c>
    </row>
    <row r="587" spans="2:26" ht="15.75" customHeight="1" x14ac:dyDescent="0.3">
      <c r="B587" s="387" t="s">
        <v>1375</v>
      </c>
      <c r="C587" s="388">
        <v>122687</v>
      </c>
      <c r="D587" s="388" t="s">
        <v>3703</v>
      </c>
      <c r="E587" s="388" t="s">
        <v>1377</v>
      </c>
      <c r="F587" s="388" t="s">
        <v>1378</v>
      </c>
      <c r="G587" s="388" t="s">
        <v>1439</v>
      </c>
      <c r="H587" s="388" t="s">
        <v>1380</v>
      </c>
      <c r="I587" s="388" t="s">
        <v>1440</v>
      </c>
      <c r="J587" s="388" t="s">
        <v>1383</v>
      </c>
      <c r="K587" s="388" t="s">
        <v>1383</v>
      </c>
      <c r="L587" s="389">
        <v>0</v>
      </c>
      <c r="M587" s="390" t="s">
        <v>3445</v>
      </c>
      <c r="N587" s="390">
        <v>4111561</v>
      </c>
      <c r="O587" s="390" t="s">
        <v>3669</v>
      </c>
      <c r="P587" s="390" t="s">
        <v>1387</v>
      </c>
      <c r="Q587" s="388" t="s">
        <v>1383</v>
      </c>
      <c r="R587" s="390">
        <v>8</v>
      </c>
      <c r="S587" s="390" t="s">
        <v>1483</v>
      </c>
      <c r="T587" s="390" t="s">
        <v>1383</v>
      </c>
      <c r="U587" s="390" t="s">
        <v>3704</v>
      </c>
      <c r="V587" s="390" t="s">
        <v>1383</v>
      </c>
      <c r="W587" s="390" t="s">
        <v>1504</v>
      </c>
      <c r="X587" s="390" t="s">
        <v>1383</v>
      </c>
      <c r="Y587" s="390" t="s">
        <v>1505</v>
      </c>
      <c r="Z587" s="391" t="s">
        <v>1383</v>
      </c>
    </row>
    <row r="588" spans="2:26" ht="15.75" customHeight="1" x14ac:dyDescent="0.3">
      <c r="B588" s="387" t="s">
        <v>1375</v>
      </c>
      <c r="C588" s="388">
        <v>122688</v>
      </c>
      <c r="D588" s="388" t="s">
        <v>3705</v>
      </c>
      <c r="E588" s="388" t="s">
        <v>1377</v>
      </c>
      <c r="F588" s="388" t="s">
        <v>1378</v>
      </c>
      <c r="G588" s="388" t="s">
        <v>1439</v>
      </c>
      <c r="H588" s="388" t="s">
        <v>1380</v>
      </c>
      <c r="I588" s="388" t="s">
        <v>1530</v>
      </c>
      <c r="J588" s="388" t="s">
        <v>1383</v>
      </c>
      <c r="K588" s="388" t="s">
        <v>1383</v>
      </c>
      <c r="L588" s="389">
        <v>0</v>
      </c>
      <c r="M588" s="390" t="s">
        <v>3449</v>
      </c>
      <c r="N588" s="390">
        <v>7115567</v>
      </c>
      <c r="O588" s="390" t="s">
        <v>3669</v>
      </c>
      <c r="P588" s="390" t="s">
        <v>1387</v>
      </c>
      <c r="Q588" s="388" t="s">
        <v>1383</v>
      </c>
      <c r="R588" s="390">
        <v>8</v>
      </c>
      <c r="S588" s="390" t="s">
        <v>1483</v>
      </c>
      <c r="T588" s="390" t="s">
        <v>1383</v>
      </c>
      <c r="U588" s="390" t="s">
        <v>3670</v>
      </c>
      <c r="V588" s="390" t="s">
        <v>1383</v>
      </c>
      <c r="W588" s="390" t="s">
        <v>3706</v>
      </c>
      <c r="X588" s="390" t="s">
        <v>1383</v>
      </c>
      <c r="Y588" s="390" t="s">
        <v>2069</v>
      </c>
      <c r="Z588" s="391" t="s">
        <v>1383</v>
      </c>
    </row>
    <row r="589" spans="2:26" ht="15.75" customHeight="1" x14ac:dyDescent="0.3">
      <c r="B589" s="387" t="s">
        <v>1375</v>
      </c>
      <c r="C589" s="388">
        <v>122689</v>
      </c>
      <c r="D589" s="388" t="s">
        <v>3707</v>
      </c>
      <c r="E589" s="388" t="s">
        <v>1377</v>
      </c>
      <c r="F589" s="388" t="s">
        <v>1378</v>
      </c>
      <c r="G589" s="388" t="s">
        <v>1439</v>
      </c>
      <c r="H589" s="388" t="s">
        <v>1380</v>
      </c>
      <c r="I589" s="388" t="s">
        <v>1530</v>
      </c>
      <c r="J589" s="388" t="s">
        <v>1383</v>
      </c>
      <c r="K589" s="388" t="s">
        <v>1383</v>
      </c>
      <c r="L589" s="389">
        <v>0</v>
      </c>
      <c r="M589" s="390" t="s">
        <v>2493</v>
      </c>
      <c r="N589" s="390" t="s">
        <v>3453</v>
      </c>
      <c r="O589" s="390" t="s">
        <v>3669</v>
      </c>
      <c r="P589" s="390" t="s">
        <v>1387</v>
      </c>
      <c r="Q589" s="388" t="s">
        <v>1383</v>
      </c>
      <c r="R589" s="390">
        <v>1</v>
      </c>
      <c r="S589" s="390" t="s">
        <v>1388</v>
      </c>
      <c r="T589" s="390" t="s">
        <v>1383</v>
      </c>
      <c r="U589" s="390" t="s">
        <v>3670</v>
      </c>
      <c r="V589" s="390" t="s">
        <v>1383</v>
      </c>
      <c r="W589" s="390" t="s">
        <v>2494</v>
      </c>
      <c r="X589" s="390" t="s">
        <v>1383</v>
      </c>
      <c r="Y589" s="390" t="s">
        <v>3708</v>
      </c>
      <c r="Z589" s="391" t="s">
        <v>1383</v>
      </c>
    </row>
    <row r="590" spans="2:26" ht="15.75" customHeight="1" x14ac:dyDescent="0.3">
      <c r="B590" s="387" t="s">
        <v>1375</v>
      </c>
      <c r="C590" s="388">
        <v>122692</v>
      </c>
      <c r="D590" s="388" t="s">
        <v>3709</v>
      </c>
      <c r="E590" s="388" t="s">
        <v>1377</v>
      </c>
      <c r="F590" s="388" t="s">
        <v>1378</v>
      </c>
      <c r="G590" s="388" t="s">
        <v>1439</v>
      </c>
      <c r="H590" s="388" t="s">
        <v>1380</v>
      </c>
      <c r="I590" s="388" t="s">
        <v>1393</v>
      </c>
      <c r="J590" s="388"/>
      <c r="K590" s="388" t="s">
        <v>1383</v>
      </c>
      <c r="L590" s="389">
        <v>0</v>
      </c>
      <c r="M590" s="390" t="s">
        <v>2809</v>
      </c>
      <c r="N590" s="390">
        <v>6728878</v>
      </c>
      <c r="O590" s="390" t="s">
        <v>3710</v>
      </c>
      <c r="P590" s="390" t="s">
        <v>1387</v>
      </c>
      <c r="Q590" s="388" t="s">
        <v>1383</v>
      </c>
      <c r="R590" s="390">
        <v>1</v>
      </c>
      <c r="S590" s="390" t="s">
        <v>1388</v>
      </c>
      <c r="T590" s="390" t="s">
        <v>1383</v>
      </c>
      <c r="U590" s="390" t="s">
        <v>3711</v>
      </c>
      <c r="V590" s="390" t="s">
        <v>1383</v>
      </c>
      <c r="W590" s="390" t="s">
        <v>2811</v>
      </c>
      <c r="X590" s="390" t="s">
        <v>1383</v>
      </c>
      <c r="Y590" s="390" t="s">
        <v>2811</v>
      </c>
      <c r="Z590" s="391" t="s">
        <v>1383</v>
      </c>
    </row>
    <row r="591" spans="2:26" ht="15.75" customHeight="1" x14ac:dyDescent="0.3">
      <c r="B591" s="387" t="s">
        <v>1375</v>
      </c>
      <c r="C591" s="388">
        <v>122693</v>
      </c>
      <c r="D591" s="388" t="s">
        <v>3712</v>
      </c>
      <c r="E591" s="388" t="s">
        <v>1377</v>
      </c>
      <c r="F591" s="388" t="s">
        <v>1378</v>
      </c>
      <c r="G591" s="388" t="s">
        <v>1439</v>
      </c>
      <c r="H591" s="388" t="s">
        <v>1380</v>
      </c>
      <c r="I591" s="388" t="s">
        <v>1381</v>
      </c>
      <c r="J591" s="388"/>
      <c r="K591" s="388" t="s">
        <v>1383</v>
      </c>
      <c r="L591" s="389">
        <v>0</v>
      </c>
      <c r="M591" s="390" t="s">
        <v>2798</v>
      </c>
      <c r="N591" s="390">
        <v>7170680</v>
      </c>
      <c r="O591" s="390" t="s">
        <v>3710</v>
      </c>
      <c r="P591" s="390" t="s">
        <v>1387</v>
      </c>
      <c r="Q591" s="388" t="s">
        <v>1383</v>
      </c>
      <c r="R591" s="390">
        <v>1</v>
      </c>
      <c r="S591" s="390" t="s">
        <v>1388</v>
      </c>
      <c r="T591" s="390" t="s">
        <v>1383</v>
      </c>
      <c r="U591" s="390" t="s">
        <v>3713</v>
      </c>
      <c r="V591" s="390" t="s">
        <v>1383</v>
      </c>
      <c r="W591" s="390" t="s">
        <v>2800</v>
      </c>
      <c r="X591" s="390" t="s">
        <v>1383</v>
      </c>
      <c r="Y591" s="390" t="s">
        <v>2801</v>
      </c>
      <c r="Z591" s="391" t="s">
        <v>1383</v>
      </c>
    </row>
    <row r="592" spans="2:26" ht="15.75" customHeight="1" x14ac:dyDescent="0.3">
      <c r="B592" s="387" t="s">
        <v>1375</v>
      </c>
      <c r="C592" s="388">
        <v>122694</v>
      </c>
      <c r="D592" s="388" t="s">
        <v>3714</v>
      </c>
      <c r="E592" s="388" t="s">
        <v>1377</v>
      </c>
      <c r="F592" s="388" t="s">
        <v>2726</v>
      </c>
      <c r="G592" s="388" t="s">
        <v>1379</v>
      </c>
      <c r="H592" s="388" t="s">
        <v>1380</v>
      </c>
      <c r="I592" s="388" t="s">
        <v>1530</v>
      </c>
      <c r="J592" s="388" t="s">
        <v>1383</v>
      </c>
      <c r="K592" s="388" t="s">
        <v>1383</v>
      </c>
      <c r="L592" s="389">
        <v>20</v>
      </c>
      <c r="M592" s="390" t="s">
        <v>2804</v>
      </c>
      <c r="N592" s="390" t="s">
        <v>2805</v>
      </c>
      <c r="O592" s="390" t="s">
        <v>2755</v>
      </c>
      <c r="P592" s="390" t="s">
        <v>1387</v>
      </c>
      <c r="Q592" s="388" t="s">
        <v>1383</v>
      </c>
      <c r="R592" s="390">
        <v>1</v>
      </c>
      <c r="S592" s="390" t="s">
        <v>1388</v>
      </c>
      <c r="T592" s="390" t="s">
        <v>1383</v>
      </c>
      <c r="U592" s="390" t="s">
        <v>3711</v>
      </c>
      <c r="V592" s="390" t="s">
        <v>1383</v>
      </c>
      <c r="W592" s="390" t="s">
        <v>2019</v>
      </c>
      <c r="X592" s="390" t="s">
        <v>1383</v>
      </c>
      <c r="Y592" s="390" t="s">
        <v>2806</v>
      </c>
      <c r="Z592" s="391" t="s">
        <v>1383</v>
      </c>
    </row>
    <row r="593" spans="2:26" ht="15.75" customHeight="1" x14ac:dyDescent="0.3">
      <c r="B593" s="387" t="s">
        <v>1375</v>
      </c>
      <c r="C593" s="388">
        <v>122695</v>
      </c>
      <c r="D593" s="388" t="s">
        <v>3715</v>
      </c>
      <c r="E593" s="388" t="s">
        <v>1377</v>
      </c>
      <c r="F593" s="388" t="s">
        <v>1378</v>
      </c>
      <c r="G593" s="388" t="s">
        <v>1439</v>
      </c>
      <c r="H593" s="388" t="s">
        <v>1380</v>
      </c>
      <c r="I593" s="388" t="s">
        <v>1381</v>
      </c>
      <c r="J593" s="388"/>
      <c r="K593" s="388" t="s">
        <v>1383</v>
      </c>
      <c r="L593" s="389">
        <v>0</v>
      </c>
      <c r="M593" s="390" t="s">
        <v>3716</v>
      </c>
      <c r="N593" s="390">
        <v>6781097</v>
      </c>
      <c r="O593" s="390" t="s">
        <v>1699</v>
      </c>
      <c r="P593" s="390" t="s">
        <v>1387</v>
      </c>
      <c r="Q593" s="388" t="s">
        <v>1383</v>
      </c>
      <c r="R593" s="390">
        <v>1</v>
      </c>
      <c r="S593" s="390" t="s">
        <v>1388</v>
      </c>
      <c r="T593" s="390" t="s">
        <v>1383</v>
      </c>
      <c r="U593" s="390" t="s">
        <v>3713</v>
      </c>
      <c r="V593" s="390" t="s">
        <v>1383</v>
      </c>
      <c r="W593" s="390" t="s">
        <v>2149</v>
      </c>
      <c r="X593" s="390" t="s">
        <v>1383</v>
      </c>
      <c r="Y593" s="390" t="s">
        <v>3717</v>
      </c>
      <c r="Z593" s="391" t="s">
        <v>1383</v>
      </c>
    </row>
    <row r="594" spans="2:26" ht="15.75" customHeight="1" x14ac:dyDescent="0.3">
      <c r="B594" s="387" t="s">
        <v>1375</v>
      </c>
      <c r="C594" s="388">
        <v>122696</v>
      </c>
      <c r="D594" s="388" t="s">
        <v>3718</v>
      </c>
      <c r="E594" s="388" t="s">
        <v>1377</v>
      </c>
      <c r="F594" s="388" t="s">
        <v>2726</v>
      </c>
      <c r="G594" s="388" t="s">
        <v>1379</v>
      </c>
      <c r="H594" s="388" t="s">
        <v>1380</v>
      </c>
      <c r="I594" s="388" t="s">
        <v>1393</v>
      </c>
      <c r="J594" s="388"/>
      <c r="K594" s="388" t="s">
        <v>1383</v>
      </c>
      <c r="L594" s="389">
        <v>20</v>
      </c>
      <c r="M594" s="390" t="s">
        <v>1400</v>
      </c>
      <c r="N594" s="390" t="s">
        <v>1401</v>
      </c>
      <c r="O594" s="390" t="s">
        <v>2755</v>
      </c>
      <c r="P594" s="390" t="s">
        <v>1387</v>
      </c>
      <c r="Q594" s="388" t="s">
        <v>1383</v>
      </c>
      <c r="R594" s="390">
        <v>1</v>
      </c>
      <c r="S594" s="390" t="s">
        <v>1388</v>
      </c>
      <c r="T594" s="390" t="s">
        <v>1383</v>
      </c>
      <c r="U594" s="390" t="s">
        <v>3713</v>
      </c>
      <c r="V594" s="390" t="s">
        <v>1383</v>
      </c>
      <c r="W594" s="390" t="s">
        <v>1399</v>
      </c>
      <c r="X594" s="390" t="s">
        <v>1383</v>
      </c>
      <c r="Y594" s="390" t="s">
        <v>1399</v>
      </c>
      <c r="Z594" s="391" t="s">
        <v>1383</v>
      </c>
    </row>
    <row r="595" spans="2:26" ht="15.75" customHeight="1" x14ac:dyDescent="0.3">
      <c r="B595" s="387" t="s">
        <v>1375</v>
      </c>
      <c r="C595" s="388">
        <v>122697</v>
      </c>
      <c r="D595" s="388" t="s">
        <v>3719</v>
      </c>
      <c r="E595" s="388" t="s">
        <v>1377</v>
      </c>
      <c r="F595" s="388" t="s">
        <v>2726</v>
      </c>
      <c r="G595" s="388" t="s">
        <v>1379</v>
      </c>
      <c r="H595" s="388" t="s">
        <v>1380</v>
      </c>
      <c r="I595" s="388" t="s">
        <v>1393</v>
      </c>
      <c r="J595" s="388"/>
      <c r="K595" s="388" t="s">
        <v>1383</v>
      </c>
      <c r="L595" s="389">
        <v>40</v>
      </c>
      <c r="M595" s="390" t="s">
        <v>1394</v>
      </c>
      <c r="N595" s="390" t="s">
        <v>1395</v>
      </c>
      <c r="O595" s="390" t="s">
        <v>2755</v>
      </c>
      <c r="P595" s="390" t="s">
        <v>1387</v>
      </c>
      <c r="Q595" s="388" t="s">
        <v>1383</v>
      </c>
      <c r="R595" s="390">
        <v>11</v>
      </c>
      <c r="S595" s="390" t="s">
        <v>1608</v>
      </c>
      <c r="T595" s="390" t="s">
        <v>1383</v>
      </c>
      <c r="U595" s="390" t="s">
        <v>3713</v>
      </c>
      <c r="V595" s="390" t="s">
        <v>1383</v>
      </c>
      <c r="W595" s="390" t="s">
        <v>1396</v>
      </c>
      <c r="X595" s="390" t="s">
        <v>1383</v>
      </c>
      <c r="Y595" s="390" t="s">
        <v>1397</v>
      </c>
      <c r="Z595" s="391" t="s">
        <v>1383</v>
      </c>
    </row>
    <row r="596" spans="2:26" ht="15.75" customHeight="1" x14ac:dyDescent="0.3">
      <c r="B596" s="387" t="s">
        <v>1375</v>
      </c>
      <c r="C596" s="388">
        <v>122698</v>
      </c>
      <c r="D596" s="388" t="s">
        <v>3720</v>
      </c>
      <c r="E596" s="388" t="s">
        <v>1377</v>
      </c>
      <c r="F596" s="388" t="s">
        <v>1378</v>
      </c>
      <c r="G596" s="388" t="s">
        <v>1439</v>
      </c>
      <c r="H596" s="388" t="s">
        <v>1380</v>
      </c>
      <c r="I596" s="388" t="s">
        <v>1530</v>
      </c>
      <c r="J596" s="388" t="s">
        <v>1383</v>
      </c>
      <c r="K596" s="388" t="s">
        <v>1383</v>
      </c>
      <c r="L596" s="389">
        <v>0</v>
      </c>
      <c r="M596" s="390" t="s">
        <v>3721</v>
      </c>
      <c r="N596" s="390">
        <v>6834759</v>
      </c>
      <c r="O596" s="390" t="s">
        <v>1699</v>
      </c>
      <c r="P596" s="390" t="s">
        <v>1387</v>
      </c>
      <c r="Q596" s="388" t="s">
        <v>1383</v>
      </c>
      <c r="R596" s="390">
        <v>11</v>
      </c>
      <c r="S596" s="390" t="s">
        <v>1608</v>
      </c>
      <c r="T596" s="390" t="s">
        <v>1383</v>
      </c>
      <c r="U596" s="390" t="s">
        <v>3722</v>
      </c>
      <c r="V596" s="390" t="s">
        <v>1383</v>
      </c>
      <c r="W596" s="390" t="s">
        <v>2108</v>
      </c>
      <c r="X596" s="390" t="s">
        <v>1383</v>
      </c>
      <c r="Y596" s="390" t="s">
        <v>3723</v>
      </c>
      <c r="Z596" s="391" t="s">
        <v>1383</v>
      </c>
    </row>
    <row r="597" spans="2:26" ht="15.75" customHeight="1" x14ac:dyDescent="0.3">
      <c r="B597" s="387" t="s">
        <v>1375</v>
      </c>
      <c r="C597" s="388">
        <v>122699</v>
      </c>
      <c r="D597" s="388" t="s">
        <v>3724</v>
      </c>
      <c r="E597" s="388" t="s">
        <v>1377</v>
      </c>
      <c r="F597" s="388" t="s">
        <v>1378</v>
      </c>
      <c r="G597" s="388" t="s">
        <v>1439</v>
      </c>
      <c r="H597" s="388" t="s">
        <v>1380</v>
      </c>
      <c r="I597" s="388" t="s">
        <v>1530</v>
      </c>
      <c r="J597" s="388" t="s">
        <v>1383</v>
      </c>
      <c r="K597" s="388" t="s">
        <v>1383</v>
      </c>
      <c r="L597" s="389">
        <v>0</v>
      </c>
      <c r="M597" s="390" t="s">
        <v>2947</v>
      </c>
      <c r="N597" s="390">
        <v>6812981</v>
      </c>
      <c r="O597" s="390" t="s">
        <v>2741</v>
      </c>
      <c r="P597" s="390" t="s">
        <v>1387</v>
      </c>
      <c r="Q597" s="388" t="s">
        <v>1383</v>
      </c>
      <c r="R597" s="390">
        <v>12</v>
      </c>
      <c r="S597" s="390" t="s">
        <v>1695</v>
      </c>
      <c r="T597" s="390" t="s">
        <v>1383</v>
      </c>
      <c r="U597" s="390" t="s">
        <v>3514</v>
      </c>
      <c r="V597" s="390" t="s">
        <v>1383</v>
      </c>
      <c r="W597" s="390" t="s">
        <v>2948</v>
      </c>
      <c r="X597" s="390" t="s">
        <v>1383</v>
      </c>
      <c r="Y597" s="390" t="s">
        <v>1895</v>
      </c>
      <c r="Z597" s="391" t="s">
        <v>1383</v>
      </c>
    </row>
    <row r="598" spans="2:26" ht="15.75" customHeight="1" x14ac:dyDescent="0.3">
      <c r="B598" s="387" t="s">
        <v>1375</v>
      </c>
      <c r="C598" s="388">
        <v>122700</v>
      </c>
      <c r="D598" s="388" t="s">
        <v>3725</v>
      </c>
      <c r="E598" s="388" t="s">
        <v>1377</v>
      </c>
      <c r="F598" s="388" t="s">
        <v>1378</v>
      </c>
      <c r="G598" s="388" t="s">
        <v>1439</v>
      </c>
      <c r="H598" s="388" t="s">
        <v>1380</v>
      </c>
      <c r="I598" s="388" t="s">
        <v>1393</v>
      </c>
      <c r="J598" s="388"/>
      <c r="K598" s="388" t="s">
        <v>1383</v>
      </c>
      <c r="L598" s="389">
        <v>0</v>
      </c>
      <c r="M598" s="390" t="s">
        <v>3726</v>
      </c>
      <c r="N598" s="390">
        <v>6609243</v>
      </c>
      <c r="O598" s="390" t="s">
        <v>2755</v>
      </c>
      <c r="P598" s="390" t="s">
        <v>1387</v>
      </c>
      <c r="Q598" s="388" t="s">
        <v>1383</v>
      </c>
      <c r="R598" s="390">
        <v>11</v>
      </c>
      <c r="S598" s="390" t="s">
        <v>1608</v>
      </c>
      <c r="T598" s="390" t="s">
        <v>1383</v>
      </c>
      <c r="U598" s="390" t="s">
        <v>3727</v>
      </c>
      <c r="V598" s="390" t="s">
        <v>1383</v>
      </c>
      <c r="W598" s="390" t="s">
        <v>1701</v>
      </c>
      <c r="X598" s="390" t="s">
        <v>1383</v>
      </c>
      <c r="Y598" s="390" t="s">
        <v>1702</v>
      </c>
      <c r="Z598" s="391" t="s">
        <v>1383</v>
      </c>
    </row>
    <row r="599" spans="2:26" ht="15.75" customHeight="1" x14ac:dyDescent="0.3">
      <c r="B599" s="387" t="s">
        <v>1375</v>
      </c>
      <c r="C599" s="388">
        <v>122701</v>
      </c>
      <c r="D599" s="388" t="s">
        <v>3728</v>
      </c>
      <c r="E599" s="388" t="s">
        <v>1377</v>
      </c>
      <c r="F599" s="388" t="s">
        <v>2726</v>
      </c>
      <c r="G599" s="388" t="s">
        <v>1379</v>
      </c>
      <c r="H599" s="388" t="s">
        <v>1380</v>
      </c>
      <c r="I599" s="388" t="s">
        <v>1393</v>
      </c>
      <c r="J599" s="388"/>
      <c r="K599" s="388" t="s">
        <v>1383</v>
      </c>
      <c r="L599" s="389">
        <v>20</v>
      </c>
      <c r="M599" s="390" t="s">
        <v>3729</v>
      </c>
      <c r="N599" s="390">
        <v>6907424</v>
      </c>
      <c r="O599" s="390" t="s">
        <v>2741</v>
      </c>
      <c r="P599" s="390" t="s">
        <v>1387</v>
      </c>
      <c r="Q599" s="388" t="s">
        <v>1383</v>
      </c>
      <c r="R599" s="390">
        <v>12</v>
      </c>
      <c r="S599" s="390" t="s">
        <v>1695</v>
      </c>
      <c r="T599" s="390" t="s">
        <v>1383</v>
      </c>
      <c r="U599" s="390" t="s">
        <v>3650</v>
      </c>
      <c r="V599" s="390" t="s">
        <v>1383</v>
      </c>
      <c r="W599" s="390" t="s">
        <v>1938</v>
      </c>
      <c r="X599" s="390" t="s">
        <v>1383</v>
      </c>
      <c r="Y599" s="390" t="s">
        <v>2945</v>
      </c>
      <c r="Z599" s="391" t="s">
        <v>1383</v>
      </c>
    </row>
    <row r="600" spans="2:26" ht="15.75" customHeight="1" x14ac:dyDescent="0.3">
      <c r="B600" s="387" t="s">
        <v>1375</v>
      </c>
      <c r="C600" s="388">
        <v>122702</v>
      </c>
      <c r="D600" s="388" t="s">
        <v>3730</v>
      </c>
      <c r="E600" s="388" t="s">
        <v>1377</v>
      </c>
      <c r="F600" s="388" t="s">
        <v>1378</v>
      </c>
      <c r="G600" s="388" t="s">
        <v>1439</v>
      </c>
      <c r="H600" s="388" t="s">
        <v>1380</v>
      </c>
      <c r="I600" s="388" t="s">
        <v>1393</v>
      </c>
      <c r="J600" s="388"/>
      <c r="K600" s="388" t="s">
        <v>1383</v>
      </c>
      <c r="L600" s="389">
        <v>0</v>
      </c>
      <c r="M600" s="390" t="s">
        <v>1705</v>
      </c>
      <c r="N600" s="390">
        <v>6227392</v>
      </c>
      <c r="O600" s="390" t="s">
        <v>2755</v>
      </c>
      <c r="P600" s="390" t="s">
        <v>1387</v>
      </c>
      <c r="Q600" s="388" t="s">
        <v>1383</v>
      </c>
      <c r="R600" s="390">
        <v>11</v>
      </c>
      <c r="S600" s="390" t="s">
        <v>1608</v>
      </c>
      <c r="T600" s="390" t="s">
        <v>1383</v>
      </c>
      <c r="U600" s="390" t="s">
        <v>3731</v>
      </c>
      <c r="V600" s="390" t="s">
        <v>1383</v>
      </c>
      <c r="W600" s="390" t="s">
        <v>1707</v>
      </c>
      <c r="X600" s="390" t="s">
        <v>1383</v>
      </c>
      <c r="Y600" s="390" t="s">
        <v>1704</v>
      </c>
      <c r="Z600" s="391" t="s">
        <v>1383</v>
      </c>
    </row>
    <row r="601" spans="2:26" ht="15.75" customHeight="1" x14ac:dyDescent="0.3">
      <c r="B601" s="387" t="s">
        <v>1375</v>
      </c>
      <c r="C601" s="388">
        <v>122703</v>
      </c>
      <c r="D601" s="388" t="s">
        <v>3732</v>
      </c>
      <c r="E601" s="388" t="s">
        <v>1377</v>
      </c>
      <c r="F601" s="388" t="s">
        <v>1378</v>
      </c>
      <c r="G601" s="388" t="s">
        <v>1439</v>
      </c>
      <c r="H601" s="388" t="s">
        <v>1380</v>
      </c>
      <c r="I601" s="388" t="s">
        <v>1393</v>
      </c>
      <c r="J601" s="388"/>
      <c r="K601" s="388" t="s">
        <v>1383</v>
      </c>
      <c r="L601" s="389">
        <v>0</v>
      </c>
      <c r="M601" s="390" t="s">
        <v>1626</v>
      </c>
      <c r="N601" s="390">
        <v>6815458</v>
      </c>
      <c r="O601" s="390" t="s">
        <v>2741</v>
      </c>
      <c r="P601" s="390" t="s">
        <v>1387</v>
      </c>
      <c r="Q601" s="388" t="s">
        <v>1383</v>
      </c>
      <c r="R601" s="390">
        <v>12</v>
      </c>
      <c r="S601" s="390" t="s">
        <v>1695</v>
      </c>
      <c r="T601" s="390" t="s">
        <v>1383</v>
      </c>
      <c r="U601" s="390" t="s">
        <v>3722</v>
      </c>
      <c r="V601" s="390" t="s">
        <v>1383</v>
      </c>
      <c r="W601" s="390" t="s">
        <v>1628</v>
      </c>
      <c r="X601" s="390" t="s">
        <v>1383</v>
      </c>
      <c r="Y601" s="390" t="s">
        <v>3733</v>
      </c>
      <c r="Z601" s="391" t="s">
        <v>1383</v>
      </c>
    </row>
    <row r="602" spans="2:26" ht="15.75" customHeight="1" x14ac:dyDescent="0.3">
      <c r="B602" s="387" t="s">
        <v>1375</v>
      </c>
      <c r="C602" s="388">
        <v>122704</v>
      </c>
      <c r="D602" s="388" t="s">
        <v>3734</v>
      </c>
      <c r="E602" s="388" t="s">
        <v>1377</v>
      </c>
      <c r="F602" s="388" t="s">
        <v>2726</v>
      </c>
      <c r="G602" s="388" t="s">
        <v>1379</v>
      </c>
      <c r="H602" s="388" t="s">
        <v>1380</v>
      </c>
      <c r="I602" s="388" t="s">
        <v>1393</v>
      </c>
      <c r="J602" s="388"/>
      <c r="K602" s="388" t="s">
        <v>1383</v>
      </c>
      <c r="L602" s="389">
        <v>60</v>
      </c>
      <c r="M602" s="390" t="s">
        <v>1710</v>
      </c>
      <c r="N602" s="390" t="s">
        <v>1706</v>
      </c>
      <c r="O602" s="390" t="s">
        <v>2755</v>
      </c>
      <c r="P602" s="390" t="s">
        <v>1387</v>
      </c>
      <c r="Q602" s="388" t="s">
        <v>1383</v>
      </c>
      <c r="R602" s="390">
        <v>11</v>
      </c>
      <c r="S602" s="390" t="s">
        <v>1608</v>
      </c>
      <c r="T602" s="390" t="s">
        <v>1383</v>
      </c>
      <c r="U602" s="390" t="s">
        <v>3735</v>
      </c>
      <c r="V602" s="390" t="s">
        <v>1383</v>
      </c>
      <c r="W602" s="390" t="s">
        <v>1712</v>
      </c>
      <c r="X602" s="390" t="s">
        <v>1383</v>
      </c>
      <c r="Y602" s="390" t="s">
        <v>1713</v>
      </c>
      <c r="Z602" s="391" t="s">
        <v>1383</v>
      </c>
    </row>
    <row r="603" spans="2:26" ht="15.75" customHeight="1" x14ac:dyDescent="0.3">
      <c r="B603" s="387" t="s">
        <v>1375</v>
      </c>
      <c r="C603" s="388">
        <v>122705</v>
      </c>
      <c r="D603" s="388" t="s">
        <v>3736</v>
      </c>
      <c r="E603" s="388" t="s">
        <v>1377</v>
      </c>
      <c r="F603" s="388" t="s">
        <v>1378</v>
      </c>
      <c r="G603" s="388" t="s">
        <v>1439</v>
      </c>
      <c r="H603" s="388" t="s">
        <v>1380</v>
      </c>
      <c r="I603" s="388" t="s">
        <v>1393</v>
      </c>
      <c r="J603" s="388"/>
      <c r="K603" s="388" t="s">
        <v>1383</v>
      </c>
      <c r="L603" s="389">
        <v>0</v>
      </c>
      <c r="M603" s="390" t="s">
        <v>2931</v>
      </c>
      <c r="N603" s="390">
        <v>6871051</v>
      </c>
      <c r="O603" s="390" t="s">
        <v>2741</v>
      </c>
      <c r="P603" s="390" t="s">
        <v>1387</v>
      </c>
      <c r="Q603" s="388" t="s">
        <v>1383</v>
      </c>
      <c r="R603" s="390">
        <v>12</v>
      </c>
      <c r="S603" s="390" t="s">
        <v>1695</v>
      </c>
      <c r="T603" s="390" t="s">
        <v>1383</v>
      </c>
      <c r="U603" s="390" t="s">
        <v>3514</v>
      </c>
      <c r="V603" s="390" t="s">
        <v>1383</v>
      </c>
      <c r="W603" s="390" t="s">
        <v>2429</v>
      </c>
      <c r="X603" s="390" t="s">
        <v>1383</v>
      </c>
      <c r="Y603" s="390" t="s">
        <v>2932</v>
      </c>
      <c r="Z603" s="391" t="s">
        <v>1383</v>
      </c>
    </row>
    <row r="604" spans="2:26" ht="15.75" customHeight="1" x14ac:dyDescent="0.3">
      <c r="B604" s="387" t="s">
        <v>1375</v>
      </c>
      <c r="C604" s="388">
        <v>122706</v>
      </c>
      <c r="D604" s="388" t="s">
        <v>3737</v>
      </c>
      <c r="E604" s="388" t="s">
        <v>1377</v>
      </c>
      <c r="F604" s="388" t="s">
        <v>2726</v>
      </c>
      <c r="G604" s="388" t="s">
        <v>1379</v>
      </c>
      <c r="H604" s="388" t="s">
        <v>1380</v>
      </c>
      <c r="I604" s="388" t="s">
        <v>1393</v>
      </c>
      <c r="J604" s="388"/>
      <c r="K604" s="388" t="s">
        <v>1383</v>
      </c>
      <c r="L604" s="389">
        <v>20</v>
      </c>
      <c r="M604" s="390" t="s">
        <v>2531</v>
      </c>
      <c r="N604" s="390" t="s">
        <v>2532</v>
      </c>
      <c r="O604" s="390" t="s">
        <v>2755</v>
      </c>
      <c r="P604" s="390" t="s">
        <v>1387</v>
      </c>
      <c r="Q604" s="388" t="s">
        <v>1383</v>
      </c>
      <c r="R604" s="390">
        <v>2</v>
      </c>
      <c r="S604" s="390" t="s">
        <v>1406</v>
      </c>
      <c r="T604" s="390" t="s">
        <v>1383</v>
      </c>
      <c r="U604" s="390" t="s">
        <v>3727</v>
      </c>
      <c r="V604" s="390" t="s">
        <v>1383</v>
      </c>
      <c r="W604" s="390" t="s">
        <v>2533</v>
      </c>
      <c r="X604" s="390" t="s">
        <v>1383</v>
      </c>
      <c r="Y604" s="390" t="s">
        <v>2533</v>
      </c>
      <c r="Z604" s="391" t="s">
        <v>1383</v>
      </c>
    </row>
    <row r="605" spans="2:26" ht="15.75" customHeight="1" x14ac:dyDescent="0.3">
      <c r="B605" s="387" t="s">
        <v>1375</v>
      </c>
      <c r="C605" s="388">
        <v>122707</v>
      </c>
      <c r="D605" s="388" t="s">
        <v>3738</v>
      </c>
      <c r="E605" s="388" t="s">
        <v>1377</v>
      </c>
      <c r="F605" s="388" t="s">
        <v>1378</v>
      </c>
      <c r="G605" s="388" t="s">
        <v>1439</v>
      </c>
      <c r="H605" s="388" t="s">
        <v>1380</v>
      </c>
      <c r="I605" s="388" t="s">
        <v>1530</v>
      </c>
      <c r="J605" s="388" t="s">
        <v>1383</v>
      </c>
      <c r="K605" s="388" t="s">
        <v>1383</v>
      </c>
      <c r="L605" s="389">
        <v>0</v>
      </c>
      <c r="M605" s="390" t="s">
        <v>3503</v>
      </c>
      <c r="N605" s="390" t="s">
        <v>3453</v>
      </c>
      <c r="O605" s="390" t="s">
        <v>3739</v>
      </c>
      <c r="P605" s="390" t="s">
        <v>1387</v>
      </c>
      <c r="Q605" s="388" t="s">
        <v>1383</v>
      </c>
      <c r="R605" s="390">
        <v>2</v>
      </c>
      <c r="S605" s="390" t="s">
        <v>1406</v>
      </c>
      <c r="T605" s="390" t="s">
        <v>1383</v>
      </c>
      <c r="U605" s="390" t="s">
        <v>3740</v>
      </c>
      <c r="V605" s="390" t="s">
        <v>1383</v>
      </c>
      <c r="W605" s="390" t="s">
        <v>1414</v>
      </c>
      <c r="X605" s="390" t="s">
        <v>1383</v>
      </c>
      <c r="Y605" s="390" t="s">
        <v>1410</v>
      </c>
      <c r="Z605" s="391" t="s">
        <v>1383</v>
      </c>
    </row>
    <row r="606" spans="2:26" ht="15.75" customHeight="1" x14ac:dyDescent="0.3">
      <c r="B606" s="387" t="s">
        <v>1375</v>
      </c>
      <c r="C606" s="388">
        <v>122708</v>
      </c>
      <c r="D606" s="388" t="s">
        <v>3741</v>
      </c>
      <c r="E606" s="388" t="s">
        <v>1377</v>
      </c>
      <c r="F606" s="388" t="s">
        <v>2726</v>
      </c>
      <c r="G606" s="388" t="s">
        <v>1439</v>
      </c>
      <c r="H606" s="388" t="s">
        <v>1380</v>
      </c>
      <c r="I606" s="388" t="s">
        <v>1393</v>
      </c>
      <c r="J606" s="388"/>
      <c r="K606" s="388" t="s">
        <v>1383</v>
      </c>
      <c r="L606" s="389">
        <v>0</v>
      </c>
      <c r="M606" s="390" t="s">
        <v>1404</v>
      </c>
      <c r="N606" s="390" t="s">
        <v>3453</v>
      </c>
      <c r="O606" s="390" t="s">
        <v>3742</v>
      </c>
      <c r="P606" s="390" t="s">
        <v>1387</v>
      </c>
      <c r="Q606" s="388" t="s">
        <v>1383</v>
      </c>
      <c r="R606" s="390">
        <v>11</v>
      </c>
      <c r="S606" s="390" t="s">
        <v>1608</v>
      </c>
      <c r="T606" s="390" t="s">
        <v>1383</v>
      </c>
      <c r="U606" s="390" t="s">
        <v>3619</v>
      </c>
      <c r="V606" s="390" t="s">
        <v>1383</v>
      </c>
      <c r="W606" s="390" t="s">
        <v>1403</v>
      </c>
      <c r="X606" s="390" t="s">
        <v>1383</v>
      </c>
      <c r="Y606" s="390" t="s">
        <v>1408</v>
      </c>
      <c r="Z606" s="391" t="s">
        <v>1383</v>
      </c>
    </row>
    <row r="607" spans="2:26" ht="15.75" customHeight="1" x14ac:dyDescent="0.3">
      <c r="B607" s="387" t="s">
        <v>1375</v>
      </c>
      <c r="C607" s="388">
        <v>122709</v>
      </c>
      <c r="D607" s="388" t="s">
        <v>3743</v>
      </c>
      <c r="E607" s="388" t="s">
        <v>1377</v>
      </c>
      <c r="F607" s="388" t="s">
        <v>1378</v>
      </c>
      <c r="G607" s="388" t="s">
        <v>1439</v>
      </c>
      <c r="H607" s="388" t="s">
        <v>1380</v>
      </c>
      <c r="I607" s="388" t="s">
        <v>1393</v>
      </c>
      <c r="J607" s="388"/>
      <c r="K607" s="388" t="s">
        <v>1383</v>
      </c>
      <c r="L607" s="389">
        <v>0</v>
      </c>
      <c r="M607" s="390" t="s">
        <v>2938</v>
      </c>
      <c r="N607" s="390">
        <v>6828096</v>
      </c>
      <c r="O607" s="390" t="s">
        <v>2741</v>
      </c>
      <c r="P607" s="390" t="s">
        <v>1387</v>
      </c>
      <c r="Q607" s="388" t="s">
        <v>1383</v>
      </c>
      <c r="R607" s="390">
        <v>10</v>
      </c>
      <c r="S607" s="390" t="s">
        <v>1552</v>
      </c>
      <c r="T607" s="390" t="s">
        <v>1383</v>
      </c>
      <c r="U607" s="390" t="s">
        <v>3514</v>
      </c>
      <c r="V607" s="390" t="s">
        <v>1383</v>
      </c>
      <c r="W607" s="390" t="s">
        <v>2378</v>
      </c>
      <c r="X607" s="390" t="s">
        <v>1383</v>
      </c>
      <c r="Y607" s="390" t="s">
        <v>2940</v>
      </c>
      <c r="Z607" s="391" t="s">
        <v>1383</v>
      </c>
    </row>
    <row r="608" spans="2:26" ht="15.75" customHeight="1" x14ac:dyDescent="0.3">
      <c r="B608" s="387" t="s">
        <v>1375</v>
      </c>
      <c r="C608" s="388">
        <v>122710</v>
      </c>
      <c r="D608" s="388" t="s">
        <v>3744</v>
      </c>
      <c r="E608" s="388" t="s">
        <v>1377</v>
      </c>
      <c r="F608" s="388" t="s">
        <v>1378</v>
      </c>
      <c r="G608" s="388" t="s">
        <v>1439</v>
      </c>
      <c r="H608" s="388" t="s">
        <v>1380</v>
      </c>
      <c r="I608" s="388" t="s">
        <v>1393</v>
      </c>
      <c r="J608" s="388"/>
      <c r="K608" s="388" t="s">
        <v>1383</v>
      </c>
      <c r="L608" s="389">
        <v>0</v>
      </c>
      <c r="M608" s="390" t="s">
        <v>1557</v>
      </c>
      <c r="N608" s="390" t="s">
        <v>3453</v>
      </c>
      <c r="O608" s="392" t="s">
        <v>3745</v>
      </c>
      <c r="P608" s="390" t="s">
        <v>1387</v>
      </c>
      <c r="Q608" s="388" t="s">
        <v>1383</v>
      </c>
      <c r="R608" s="390">
        <v>10</v>
      </c>
      <c r="S608" s="390" t="s">
        <v>1552</v>
      </c>
      <c r="T608" s="390" t="s">
        <v>1383</v>
      </c>
      <c r="U608" s="390" t="s">
        <v>3622</v>
      </c>
      <c r="V608" s="390" t="s">
        <v>1383</v>
      </c>
      <c r="W608" s="390" t="s">
        <v>1559</v>
      </c>
      <c r="X608" s="390" t="s">
        <v>1383</v>
      </c>
      <c r="Y608" s="390" t="s">
        <v>1560</v>
      </c>
      <c r="Z608" s="391" t="s">
        <v>1383</v>
      </c>
    </row>
    <row r="609" spans="2:26" ht="15.75" customHeight="1" x14ac:dyDescent="0.3">
      <c r="B609" s="387" t="s">
        <v>1375</v>
      </c>
      <c r="C609" s="388">
        <v>122711</v>
      </c>
      <c r="D609" s="388" t="s">
        <v>3746</v>
      </c>
      <c r="E609" s="388" t="s">
        <v>1377</v>
      </c>
      <c r="F609" s="388" t="s">
        <v>1378</v>
      </c>
      <c r="G609" s="388" t="s">
        <v>1439</v>
      </c>
      <c r="H609" s="388" t="s">
        <v>1380</v>
      </c>
      <c r="I609" s="388" t="s">
        <v>1393</v>
      </c>
      <c r="J609" s="388"/>
      <c r="K609" s="388" t="s">
        <v>1383</v>
      </c>
      <c r="L609" s="389">
        <v>0</v>
      </c>
      <c r="M609" s="390" t="s">
        <v>3541</v>
      </c>
      <c r="N609" s="390" t="s">
        <v>3453</v>
      </c>
      <c r="O609" s="392" t="s">
        <v>3745</v>
      </c>
      <c r="P609" s="390" t="s">
        <v>1387</v>
      </c>
      <c r="Q609" s="388" t="s">
        <v>1383</v>
      </c>
      <c r="R609" s="390">
        <v>11</v>
      </c>
      <c r="S609" s="390" t="s">
        <v>1608</v>
      </c>
      <c r="T609" s="390" t="s">
        <v>1383</v>
      </c>
      <c r="U609" s="390" t="s">
        <v>3747</v>
      </c>
      <c r="V609" s="390" t="s">
        <v>1383</v>
      </c>
      <c r="W609" s="390" t="s">
        <v>1580</v>
      </c>
      <c r="X609" s="390" t="s">
        <v>1383</v>
      </c>
      <c r="Y609" s="390" t="s">
        <v>1580</v>
      </c>
      <c r="Z609" s="391" t="s">
        <v>1383</v>
      </c>
    </row>
    <row r="610" spans="2:26" ht="15.75" customHeight="1" x14ac:dyDescent="0.3">
      <c r="B610" s="387" t="s">
        <v>1375</v>
      </c>
      <c r="C610" s="388">
        <v>122712</v>
      </c>
      <c r="D610" s="388" t="s">
        <v>3748</v>
      </c>
      <c r="E610" s="388" t="s">
        <v>1377</v>
      </c>
      <c r="F610" s="388" t="s">
        <v>1378</v>
      </c>
      <c r="G610" s="388" t="s">
        <v>1439</v>
      </c>
      <c r="H610" s="388" t="s">
        <v>1380</v>
      </c>
      <c r="I610" s="388" t="s">
        <v>1393</v>
      </c>
      <c r="J610" s="388"/>
      <c r="K610" s="388" t="s">
        <v>1383</v>
      </c>
      <c r="L610" s="389">
        <v>0</v>
      </c>
      <c r="M610" s="390" t="s">
        <v>2379</v>
      </c>
      <c r="N610" s="390">
        <v>6829652</v>
      </c>
      <c r="O610" s="390" t="s">
        <v>2741</v>
      </c>
      <c r="P610" s="390" t="s">
        <v>1387</v>
      </c>
      <c r="Q610" s="388" t="s">
        <v>1383</v>
      </c>
      <c r="R610" s="390">
        <v>10</v>
      </c>
      <c r="S610" s="390" t="s">
        <v>1552</v>
      </c>
      <c r="T610" s="390" t="s">
        <v>1383</v>
      </c>
      <c r="U610" s="390" t="s">
        <v>3514</v>
      </c>
      <c r="V610" s="390" t="s">
        <v>1383</v>
      </c>
      <c r="W610" s="390" t="s">
        <v>1610</v>
      </c>
      <c r="X610" s="390" t="s">
        <v>1383</v>
      </c>
      <c r="Y610" s="390" t="s">
        <v>2381</v>
      </c>
      <c r="Z610" s="391" t="s">
        <v>1383</v>
      </c>
    </row>
    <row r="611" spans="2:26" ht="15.75" customHeight="1" x14ac:dyDescent="0.3">
      <c r="B611" s="387" t="s">
        <v>1375</v>
      </c>
      <c r="C611" s="388">
        <v>122713</v>
      </c>
      <c r="D611" s="388" t="s">
        <v>3749</v>
      </c>
      <c r="E611" s="388" t="s">
        <v>1377</v>
      </c>
      <c r="F611" s="388" t="s">
        <v>1378</v>
      </c>
      <c r="G611" s="388" t="s">
        <v>1439</v>
      </c>
      <c r="H611" s="388" t="s">
        <v>1380</v>
      </c>
      <c r="I611" s="388" t="s">
        <v>1393</v>
      </c>
      <c r="J611" s="388"/>
      <c r="K611" s="388" t="s">
        <v>1383</v>
      </c>
      <c r="L611" s="389">
        <v>0</v>
      </c>
      <c r="M611" s="390" t="s">
        <v>1578</v>
      </c>
      <c r="N611" s="390" t="s">
        <v>3453</v>
      </c>
      <c r="O611" s="392" t="s">
        <v>3745</v>
      </c>
      <c r="P611" s="390" t="s">
        <v>1387</v>
      </c>
      <c r="Q611" s="388" t="s">
        <v>1383</v>
      </c>
      <c r="R611" s="390">
        <v>10</v>
      </c>
      <c r="S611" s="390" t="s">
        <v>1552</v>
      </c>
      <c r="T611" s="390" t="s">
        <v>1383</v>
      </c>
      <c r="U611" s="390" t="s">
        <v>3747</v>
      </c>
      <c r="V611" s="390" t="s">
        <v>1383</v>
      </c>
      <c r="W611" s="390" t="s">
        <v>1580</v>
      </c>
      <c r="X611" s="390" t="s">
        <v>1383</v>
      </c>
      <c r="Y611" s="390" t="s">
        <v>1577</v>
      </c>
      <c r="Z611" s="391" t="s">
        <v>1383</v>
      </c>
    </row>
    <row r="612" spans="2:26" ht="15.75" customHeight="1" x14ac:dyDescent="0.3">
      <c r="B612" s="387" t="s">
        <v>1375</v>
      </c>
      <c r="C612" s="388">
        <v>122714</v>
      </c>
      <c r="D612" s="388" t="s">
        <v>3750</v>
      </c>
      <c r="E612" s="388" t="s">
        <v>1377</v>
      </c>
      <c r="F612" s="388" t="s">
        <v>2726</v>
      </c>
      <c r="G612" s="388" t="s">
        <v>1379</v>
      </c>
      <c r="H612" s="388" t="s">
        <v>1380</v>
      </c>
      <c r="I612" s="388" t="s">
        <v>1393</v>
      </c>
      <c r="J612" s="388"/>
      <c r="K612" s="388" t="s">
        <v>1383</v>
      </c>
      <c r="L612" s="389">
        <v>40</v>
      </c>
      <c r="M612" s="390" t="s">
        <v>3215</v>
      </c>
      <c r="N612" s="390" t="s">
        <v>3216</v>
      </c>
      <c r="O612" s="392" t="s">
        <v>3751</v>
      </c>
      <c r="P612" s="390" t="s">
        <v>1387</v>
      </c>
      <c r="Q612" s="388" t="s">
        <v>1383</v>
      </c>
      <c r="R612" s="390">
        <v>11</v>
      </c>
      <c r="S612" s="390" t="s">
        <v>1608</v>
      </c>
      <c r="T612" s="390" t="s">
        <v>1383</v>
      </c>
      <c r="U612" s="390" t="s">
        <v>3622</v>
      </c>
      <c r="V612" s="390" t="s">
        <v>1383</v>
      </c>
      <c r="W612" s="390" t="s">
        <v>3217</v>
      </c>
      <c r="X612" s="390" t="s">
        <v>1383</v>
      </c>
      <c r="Y612" s="390" t="s">
        <v>3217</v>
      </c>
      <c r="Z612" s="391" t="s">
        <v>1383</v>
      </c>
    </row>
    <row r="613" spans="2:26" ht="15.75" customHeight="1" x14ac:dyDescent="0.3">
      <c r="B613" s="387" t="s">
        <v>1375</v>
      </c>
      <c r="C613" s="388">
        <v>122715</v>
      </c>
      <c r="D613" s="388" t="s">
        <v>3752</v>
      </c>
      <c r="E613" s="388" t="s">
        <v>1377</v>
      </c>
      <c r="F613" s="388" t="s">
        <v>1378</v>
      </c>
      <c r="G613" s="388" t="s">
        <v>1439</v>
      </c>
      <c r="H613" s="388" t="s">
        <v>1380</v>
      </c>
      <c r="I613" s="388" t="s">
        <v>1393</v>
      </c>
      <c r="J613" s="388"/>
      <c r="K613" s="388" t="s">
        <v>1383</v>
      </c>
      <c r="L613" s="389">
        <v>0</v>
      </c>
      <c r="M613" s="390" t="s">
        <v>3500</v>
      </c>
      <c r="N613" s="390">
        <v>2539466</v>
      </c>
      <c r="O613" s="390" t="s">
        <v>1699</v>
      </c>
      <c r="P613" s="390" t="s">
        <v>1387</v>
      </c>
      <c r="Q613" s="388" t="s">
        <v>1383</v>
      </c>
      <c r="R613" s="390">
        <v>10</v>
      </c>
      <c r="S613" s="390" t="s">
        <v>1552</v>
      </c>
      <c r="T613" s="390" t="s">
        <v>1383</v>
      </c>
      <c r="U613" s="390" t="s">
        <v>3753</v>
      </c>
      <c r="V613" s="390" t="s">
        <v>1383</v>
      </c>
      <c r="W613" s="390" t="s">
        <v>1617</v>
      </c>
      <c r="X613" s="390" t="s">
        <v>1383</v>
      </c>
      <c r="Y613" s="390" t="s">
        <v>1618</v>
      </c>
      <c r="Z613" s="391" t="s">
        <v>1383</v>
      </c>
    </row>
    <row r="614" spans="2:26" ht="15.75" customHeight="1" x14ac:dyDescent="0.3">
      <c r="B614" s="387" t="s">
        <v>1375</v>
      </c>
      <c r="C614" s="388">
        <v>122716</v>
      </c>
      <c r="D614" s="388" t="s">
        <v>3754</v>
      </c>
      <c r="E614" s="388" t="s">
        <v>1377</v>
      </c>
      <c r="F614" s="388" t="s">
        <v>1378</v>
      </c>
      <c r="G614" s="388" t="s">
        <v>1439</v>
      </c>
      <c r="H614" s="388" t="s">
        <v>1380</v>
      </c>
      <c r="I614" s="388" t="s">
        <v>1393</v>
      </c>
      <c r="J614" s="388"/>
      <c r="K614" s="388" t="s">
        <v>1383</v>
      </c>
      <c r="L614" s="389">
        <v>0</v>
      </c>
      <c r="M614" s="390" t="s">
        <v>1550</v>
      </c>
      <c r="N614" s="390" t="s">
        <v>3453</v>
      </c>
      <c r="O614" s="392" t="s">
        <v>3745</v>
      </c>
      <c r="P614" s="390" t="s">
        <v>1387</v>
      </c>
      <c r="Q614" s="388" t="s">
        <v>1383</v>
      </c>
      <c r="R614" s="390">
        <v>9</v>
      </c>
      <c r="S614" s="390" t="s">
        <v>1533</v>
      </c>
      <c r="T614" s="390" t="s">
        <v>1383</v>
      </c>
      <c r="U614" s="390" t="s">
        <v>3755</v>
      </c>
      <c r="V614" s="390" t="s">
        <v>1383</v>
      </c>
      <c r="W614" s="390" t="s">
        <v>1554</v>
      </c>
      <c r="X614" s="390" t="s">
        <v>1383</v>
      </c>
      <c r="Y614" s="390" t="s">
        <v>1555</v>
      </c>
      <c r="Z614" s="391" t="s">
        <v>1383</v>
      </c>
    </row>
    <row r="615" spans="2:26" ht="15.75" customHeight="1" x14ac:dyDescent="0.3">
      <c r="B615" s="387" t="s">
        <v>1375</v>
      </c>
      <c r="C615" s="388">
        <v>122717</v>
      </c>
      <c r="D615" s="388" t="s">
        <v>3756</v>
      </c>
      <c r="E615" s="388" t="s">
        <v>1377</v>
      </c>
      <c r="F615" s="388" t="s">
        <v>1378</v>
      </c>
      <c r="G615" s="388" t="s">
        <v>1439</v>
      </c>
      <c r="H615" s="388" t="s">
        <v>1380</v>
      </c>
      <c r="I615" s="388" t="s">
        <v>1393</v>
      </c>
      <c r="J615" s="388"/>
      <c r="K615" s="388" t="s">
        <v>1383</v>
      </c>
      <c r="L615" s="389">
        <v>0</v>
      </c>
      <c r="M615" s="390" t="s">
        <v>3757</v>
      </c>
      <c r="N615" s="390">
        <v>3114736</v>
      </c>
      <c r="O615" s="390" t="s">
        <v>3471</v>
      </c>
      <c r="P615" s="390" t="s">
        <v>1387</v>
      </c>
      <c r="Q615" s="388" t="s">
        <v>1383</v>
      </c>
      <c r="R615" s="390">
        <v>3</v>
      </c>
      <c r="S615" s="390" t="s">
        <v>3629</v>
      </c>
      <c r="T615" s="390" t="s">
        <v>1383</v>
      </c>
      <c r="U615" s="390" t="s">
        <v>3700</v>
      </c>
      <c r="V615" s="390" t="s">
        <v>1383</v>
      </c>
      <c r="W615" s="390" t="s">
        <v>3758</v>
      </c>
      <c r="X615" s="390" t="s">
        <v>1383</v>
      </c>
      <c r="Y615" s="390" t="s">
        <v>3759</v>
      </c>
      <c r="Z615" s="391" t="s">
        <v>1383</v>
      </c>
    </row>
    <row r="616" spans="2:26" ht="15.75" customHeight="1" x14ac:dyDescent="0.3">
      <c r="B616" s="387" t="s">
        <v>1375</v>
      </c>
      <c r="C616" s="388">
        <v>122718</v>
      </c>
      <c r="D616" s="388" t="s">
        <v>3760</v>
      </c>
      <c r="E616" s="388" t="s">
        <v>1377</v>
      </c>
      <c r="F616" s="388" t="s">
        <v>2726</v>
      </c>
      <c r="G616" s="388" t="s">
        <v>1379</v>
      </c>
      <c r="H616" s="388" t="s">
        <v>1380</v>
      </c>
      <c r="I616" s="388" t="s">
        <v>1393</v>
      </c>
      <c r="J616" s="388"/>
      <c r="K616" s="388" t="s">
        <v>1383</v>
      </c>
      <c r="L616" s="389">
        <v>20</v>
      </c>
      <c r="M616" s="390" t="s">
        <v>2848</v>
      </c>
      <c r="N616" s="390">
        <v>2895255</v>
      </c>
      <c r="O616" s="390" t="s">
        <v>3761</v>
      </c>
      <c r="P616" s="390" t="s">
        <v>1387</v>
      </c>
      <c r="Q616" s="388" t="s">
        <v>1383</v>
      </c>
      <c r="R616" s="390">
        <v>3</v>
      </c>
      <c r="S616" s="390" t="s">
        <v>3629</v>
      </c>
      <c r="T616" s="390" t="s">
        <v>1383</v>
      </c>
      <c r="U616" s="390" t="s">
        <v>3762</v>
      </c>
      <c r="V616" s="390" t="s">
        <v>1383</v>
      </c>
      <c r="W616" s="390" t="s">
        <v>1431</v>
      </c>
      <c r="X616" s="390" t="s">
        <v>1383</v>
      </c>
      <c r="Y616" s="390" t="s">
        <v>3763</v>
      </c>
      <c r="Z616" s="391" t="s">
        <v>1383</v>
      </c>
    </row>
    <row r="617" spans="2:26" ht="15.75" customHeight="1" x14ac:dyDescent="0.3">
      <c r="B617" s="387" t="s">
        <v>1375</v>
      </c>
      <c r="C617" s="388">
        <v>122719</v>
      </c>
      <c r="D617" s="388" t="s">
        <v>3764</v>
      </c>
      <c r="E617" s="388" t="s">
        <v>1377</v>
      </c>
      <c r="F617" s="388" t="s">
        <v>1378</v>
      </c>
      <c r="G617" s="388" t="s">
        <v>1439</v>
      </c>
      <c r="H617" s="388" t="s">
        <v>1380</v>
      </c>
      <c r="I617" s="388" t="s">
        <v>1393</v>
      </c>
      <c r="J617" s="388"/>
      <c r="K617" s="388" t="s">
        <v>1383</v>
      </c>
      <c r="L617" s="389">
        <v>0</v>
      </c>
      <c r="M617" s="390" t="s">
        <v>1428</v>
      </c>
      <c r="N617" s="390">
        <v>2331336</v>
      </c>
      <c r="O617" s="390" t="s">
        <v>3761</v>
      </c>
      <c r="P617" s="390" t="s">
        <v>1387</v>
      </c>
      <c r="Q617" s="388" t="s">
        <v>1383</v>
      </c>
      <c r="R617" s="390">
        <v>9</v>
      </c>
      <c r="S617" s="390" t="s">
        <v>1533</v>
      </c>
      <c r="T617" s="390" t="s">
        <v>1383</v>
      </c>
      <c r="U617" s="390" t="s">
        <v>3762</v>
      </c>
      <c r="V617" s="390" t="s">
        <v>1383</v>
      </c>
      <c r="W617" s="390" t="s">
        <v>1431</v>
      </c>
      <c r="X617" s="390" t="s">
        <v>1383</v>
      </c>
      <c r="Y617" s="390" t="s">
        <v>3763</v>
      </c>
      <c r="Z617" s="391" t="s">
        <v>1383</v>
      </c>
    </row>
    <row r="618" spans="2:26" ht="15.75" customHeight="1" x14ac:dyDescent="0.3">
      <c r="B618" s="387" t="s">
        <v>1375</v>
      </c>
      <c r="C618" s="388">
        <v>122720</v>
      </c>
      <c r="D618" s="388" t="s">
        <v>3765</v>
      </c>
      <c r="E618" s="388" t="s">
        <v>1377</v>
      </c>
      <c r="F618" s="388" t="s">
        <v>2726</v>
      </c>
      <c r="G618" s="388" t="s">
        <v>1379</v>
      </c>
      <c r="H618" s="388" t="s">
        <v>1380</v>
      </c>
      <c r="I618" s="388" t="s">
        <v>1393</v>
      </c>
      <c r="J618" s="388"/>
      <c r="K618" s="388" t="s">
        <v>1383</v>
      </c>
      <c r="L618" s="389">
        <v>40</v>
      </c>
      <c r="M618" s="390" t="s">
        <v>2721</v>
      </c>
      <c r="N618" s="390" t="s">
        <v>1540</v>
      </c>
      <c r="O618" s="390" t="s">
        <v>2755</v>
      </c>
      <c r="P618" s="390" t="s">
        <v>1387</v>
      </c>
      <c r="Q618" s="388" t="s">
        <v>1383</v>
      </c>
      <c r="R618" s="390">
        <v>9</v>
      </c>
      <c r="S618" s="390" t="s">
        <v>1533</v>
      </c>
      <c r="T618" s="390" t="s">
        <v>1383</v>
      </c>
      <c r="U618" s="390" t="s">
        <v>3700</v>
      </c>
      <c r="V618" s="390" t="s">
        <v>1383</v>
      </c>
      <c r="W618" s="390" t="s">
        <v>2722</v>
      </c>
      <c r="X618" s="390" t="s">
        <v>1383</v>
      </c>
      <c r="Y618" s="390" t="s">
        <v>2722</v>
      </c>
      <c r="Z618" s="391" t="s">
        <v>1383</v>
      </c>
    </row>
    <row r="619" spans="2:26" ht="15.75" customHeight="1" x14ac:dyDescent="0.3">
      <c r="B619" s="387" t="s">
        <v>1375</v>
      </c>
      <c r="C619" s="388">
        <v>122721</v>
      </c>
      <c r="D619" s="388" t="s">
        <v>3766</v>
      </c>
      <c r="E619" s="388" t="s">
        <v>1377</v>
      </c>
      <c r="F619" s="388" t="s">
        <v>2726</v>
      </c>
      <c r="G619" s="388" t="s">
        <v>1379</v>
      </c>
      <c r="H619" s="388" t="s">
        <v>1380</v>
      </c>
      <c r="I619" s="388" t="s">
        <v>1393</v>
      </c>
      <c r="J619" s="388"/>
      <c r="K619" s="388" t="s">
        <v>1383</v>
      </c>
      <c r="L619" s="389">
        <v>40</v>
      </c>
      <c r="M619" s="390" t="s">
        <v>2459</v>
      </c>
      <c r="N619" s="390">
        <v>7449603</v>
      </c>
      <c r="O619" s="390" t="s">
        <v>2755</v>
      </c>
      <c r="P619" s="390" t="s">
        <v>1387</v>
      </c>
      <c r="Q619" s="388" t="s">
        <v>1383</v>
      </c>
      <c r="R619" s="390">
        <v>3</v>
      </c>
      <c r="S619" s="390" t="s">
        <v>3629</v>
      </c>
      <c r="T619" s="390" t="s">
        <v>1383</v>
      </c>
      <c r="U619" s="390" t="s">
        <v>3767</v>
      </c>
      <c r="V619" s="390" t="s">
        <v>1383</v>
      </c>
      <c r="W619" s="390" t="s">
        <v>2458</v>
      </c>
      <c r="X619" s="390" t="s">
        <v>1383</v>
      </c>
      <c r="Y619" s="390" t="s">
        <v>2461</v>
      </c>
      <c r="Z619" s="391" t="s">
        <v>1383</v>
      </c>
    </row>
    <row r="620" spans="2:26" ht="15.75" customHeight="1" x14ac:dyDescent="0.3">
      <c r="B620" s="387" t="s">
        <v>1375</v>
      </c>
      <c r="C620" s="388">
        <v>122722</v>
      </c>
      <c r="D620" s="388" t="s">
        <v>3768</v>
      </c>
      <c r="E620" s="388" t="s">
        <v>1377</v>
      </c>
      <c r="F620" s="388" t="s">
        <v>1378</v>
      </c>
      <c r="G620" s="388" t="s">
        <v>1439</v>
      </c>
      <c r="H620" s="388" t="s">
        <v>1380</v>
      </c>
      <c r="I620" s="388" t="s">
        <v>1393</v>
      </c>
      <c r="J620" s="388"/>
      <c r="K620" s="388" t="s">
        <v>1383</v>
      </c>
      <c r="L620" s="389">
        <v>0</v>
      </c>
      <c r="M620" s="390" t="s">
        <v>2843</v>
      </c>
      <c r="N620" s="390">
        <v>4552631</v>
      </c>
      <c r="O620" s="390" t="s">
        <v>3761</v>
      </c>
      <c r="P620" s="390" t="s">
        <v>1387</v>
      </c>
      <c r="Q620" s="388" t="s">
        <v>1383</v>
      </c>
      <c r="R620" s="390">
        <v>9</v>
      </c>
      <c r="S620" s="390" t="s">
        <v>1533</v>
      </c>
      <c r="T620" s="390" t="s">
        <v>1383</v>
      </c>
      <c r="U620" s="390" t="s">
        <v>3762</v>
      </c>
      <c r="V620" s="390" t="s">
        <v>1383</v>
      </c>
      <c r="W620" s="390" t="s">
        <v>1431</v>
      </c>
      <c r="X620" s="390" t="s">
        <v>1383</v>
      </c>
      <c r="Y620" s="390" t="s">
        <v>3763</v>
      </c>
      <c r="Z620" s="391" t="s">
        <v>1383</v>
      </c>
    </row>
    <row r="621" spans="2:26" ht="15.75" customHeight="1" x14ac:dyDescent="0.3">
      <c r="B621" s="387" t="s">
        <v>1375</v>
      </c>
      <c r="C621" s="388">
        <v>122723</v>
      </c>
      <c r="D621" s="388" t="s">
        <v>3769</v>
      </c>
      <c r="E621" s="388" t="s">
        <v>1377</v>
      </c>
      <c r="F621" s="388" t="s">
        <v>1378</v>
      </c>
      <c r="G621" s="388" t="s">
        <v>1439</v>
      </c>
      <c r="H621" s="388" t="s">
        <v>1380</v>
      </c>
      <c r="I621" s="388" t="s">
        <v>1440</v>
      </c>
      <c r="J621" s="388" t="s">
        <v>1383</v>
      </c>
      <c r="K621" s="388" t="s">
        <v>1383</v>
      </c>
      <c r="L621" s="389">
        <v>0</v>
      </c>
      <c r="M621" s="390" t="s">
        <v>1545</v>
      </c>
      <c r="N621" s="390">
        <v>4183734</v>
      </c>
      <c r="O621" s="390" t="s">
        <v>3770</v>
      </c>
      <c r="P621" s="390" t="s">
        <v>1387</v>
      </c>
      <c r="Q621" s="388" t="s">
        <v>1383</v>
      </c>
      <c r="R621" s="390">
        <v>8</v>
      </c>
      <c r="S621" s="390" t="s">
        <v>1483</v>
      </c>
      <c r="T621" s="390" t="s">
        <v>1383</v>
      </c>
      <c r="U621" s="390" t="s">
        <v>3700</v>
      </c>
      <c r="V621" s="390" t="s">
        <v>1383</v>
      </c>
      <c r="W621" s="390" t="s">
        <v>1547</v>
      </c>
      <c r="X621" s="390" t="s">
        <v>1383</v>
      </c>
      <c r="Y621" s="390" t="s">
        <v>2124</v>
      </c>
      <c r="Z621" s="391" t="s">
        <v>1383</v>
      </c>
    </row>
    <row r="622" spans="2:26" ht="15.75" customHeight="1" x14ac:dyDescent="0.3">
      <c r="B622" s="387" t="s">
        <v>1375</v>
      </c>
      <c r="C622" s="388">
        <v>122724</v>
      </c>
      <c r="D622" s="388" t="s">
        <v>3771</v>
      </c>
      <c r="E622" s="388" t="s">
        <v>1377</v>
      </c>
      <c r="F622" s="388" t="s">
        <v>2726</v>
      </c>
      <c r="G622" s="388" t="s">
        <v>1379</v>
      </c>
      <c r="H622" s="388" t="s">
        <v>1380</v>
      </c>
      <c r="I622" s="388" t="s">
        <v>1393</v>
      </c>
      <c r="J622" s="388"/>
      <c r="K622" s="388" t="s">
        <v>1383</v>
      </c>
      <c r="L622" s="389">
        <v>40</v>
      </c>
      <c r="M622" s="390" t="s">
        <v>1488</v>
      </c>
      <c r="N622" s="390" t="s">
        <v>1489</v>
      </c>
      <c r="O622" s="390" t="s">
        <v>2755</v>
      </c>
      <c r="P622" s="390" t="s">
        <v>1387</v>
      </c>
      <c r="Q622" s="388" t="s">
        <v>1383</v>
      </c>
      <c r="R622" s="390">
        <v>8</v>
      </c>
      <c r="S622" s="390" t="s">
        <v>1483</v>
      </c>
      <c r="T622" s="390" t="s">
        <v>1383</v>
      </c>
      <c r="U622" s="390" t="s">
        <v>3674</v>
      </c>
      <c r="V622" s="390" t="s">
        <v>1383</v>
      </c>
      <c r="W622" s="390" t="s">
        <v>1491</v>
      </c>
      <c r="X622" s="390" t="s">
        <v>1383</v>
      </c>
      <c r="Y622" s="390" t="s">
        <v>1492</v>
      </c>
      <c r="Z622" s="391" t="s">
        <v>1383</v>
      </c>
    </row>
    <row r="623" spans="2:26" ht="15.75" customHeight="1" x14ac:dyDescent="0.3">
      <c r="B623" s="387" t="s">
        <v>1375</v>
      </c>
      <c r="C623" s="388">
        <v>122725</v>
      </c>
      <c r="D623" s="388" t="s">
        <v>3772</v>
      </c>
      <c r="E623" s="388" t="s">
        <v>1377</v>
      </c>
      <c r="F623" s="388" t="s">
        <v>2726</v>
      </c>
      <c r="G623" s="388" t="s">
        <v>1379</v>
      </c>
      <c r="H623" s="388" t="s">
        <v>1380</v>
      </c>
      <c r="I623" s="388" t="s">
        <v>1393</v>
      </c>
      <c r="J623" s="388"/>
      <c r="K623" s="388" t="s">
        <v>1383</v>
      </c>
      <c r="L623" s="389">
        <v>40</v>
      </c>
      <c r="M623" s="390" t="s">
        <v>2309</v>
      </c>
      <c r="N623" s="390" t="s">
        <v>2310</v>
      </c>
      <c r="O623" s="390" t="s">
        <v>2755</v>
      </c>
      <c r="P623" s="390" t="s">
        <v>1387</v>
      </c>
      <c r="Q623" s="388" t="s">
        <v>1383</v>
      </c>
      <c r="R623" s="390">
        <v>3</v>
      </c>
      <c r="S623" s="390" t="s">
        <v>3629</v>
      </c>
      <c r="T623" s="390" t="s">
        <v>1383</v>
      </c>
      <c r="U623" s="390" t="s">
        <v>3773</v>
      </c>
      <c r="V623" s="390" t="s">
        <v>1383</v>
      </c>
      <c r="W623" s="390" t="s">
        <v>2312</v>
      </c>
      <c r="X623" s="390" t="s">
        <v>1383</v>
      </c>
      <c r="Y623" s="390" t="s">
        <v>2308</v>
      </c>
      <c r="Z623" s="391" t="s">
        <v>1383</v>
      </c>
    </row>
    <row r="624" spans="2:26" ht="15.75" customHeight="1" x14ac:dyDescent="0.3">
      <c r="B624" s="387" t="s">
        <v>1375</v>
      </c>
      <c r="C624" s="388">
        <v>122726</v>
      </c>
      <c r="D624" s="388" t="s">
        <v>3774</v>
      </c>
      <c r="E624" s="388" t="s">
        <v>1377</v>
      </c>
      <c r="F624" s="388" t="s">
        <v>1378</v>
      </c>
      <c r="G624" s="388" t="s">
        <v>1439</v>
      </c>
      <c r="H624" s="388" t="s">
        <v>1380</v>
      </c>
      <c r="I624" s="388" t="s">
        <v>1393</v>
      </c>
      <c r="J624" s="388"/>
      <c r="K624" s="388" t="s">
        <v>1383</v>
      </c>
      <c r="L624" s="389">
        <v>0</v>
      </c>
      <c r="M624" s="390" t="s">
        <v>3091</v>
      </c>
      <c r="N624" s="390">
        <v>2801188</v>
      </c>
      <c r="O624" s="390" t="s">
        <v>3761</v>
      </c>
      <c r="P624" s="390" t="s">
        <v>1387</v>
      </c>
      <c r="Q624" s="388" t="s">
        <v>1383</v>
      </c>
      <c r="R624" s="390">
        <v>8</v>
      </c>
      <c r="S624" s="390" t="s">
        <v>1483</v>
      </c>
      <c r="T624" s="390" t="s">
        <v>1383</v>
      </c>
      <c r="U624" s="390" t="s">
        <v>3762</v>
      </c>
      <c r="V624" s="390" t="s">
        <v>1383</v>
      </c>
      <c r="W624" s="390" t="s">
        <v>1431</v>
      </c>
      <c r="X624" s="390" t="s">
        <v>1383</v>
      </c>
      <c r="Y624" s="390" t="s">
        <v>3763</v>
      </c>
      <c r="Z624" s="391" t="s">
        <v>1383</v>
      </c>
    </row>
    <row r="625" spans="2:26" ht="15.75" customHeight="1" x14ac:dyDescent="0.3">
      <c r="B625" s="387" t="s">
        <v>1375</v>
      </c>
      <c r="C625" s="388">
        <v>122727</v>
      </c>
      <c r="D625" s="388" t="s">
        <v>3775</v>
      </c>
      <c r="E625" s="388" t="s">
        <v>1377</v>
      </c>
      <c r="F625" s="388" t="s">
        <v>2726</v>
      </c>
      <c r="G625" s="388" t="s">
        <v>1379</v>
      </c>
      <c r="H625" s="388" t="s">
        <v>1380</v>
      </c>
      <c r="I625" s="388" t="s">
        <v>1393</v>
      </c>
      <c r="J625" s="388"/>
      <c r="K625" s="388" t="s">
        <v>1383</v>
      </c>
      <c r="L625" s="389">
        <v>40</v>
      </c>
      <c r="M625" s="390" t="s">
        <v>1480</v>
      </c>
      <c r="N625" s="390" t="s">
        <v>1481</v>
      </c>
      <c r="O625" s="390" t="s">
        <v>2755</v>
      </c>
      <c r="P625" s="390" t="s">
        <v>1387</v>
      </c>
      <c r="Q625" s="388" t="s">
        <v>1383</v>
      </c>
      <c r="R625" s="390">
        <v>8</v>
      </c>
      <c r="S625" s="390" t="s">
        <v>1483</v>
      </c>
      <c r="T625" s="390" t="s">
        <v>1383</v>
      </c>
      <c r="U625" s="390" t="s">
        <v>3702</v>
      </c>
      <c r="V625" s="390" t="s">
        <v>1383</v>
      </c>
      <c r="W625" s="390" t="s">
        <v>1485</v>
      </c>
      <c r="X625" s="390" t="s">
        <v>1383</v>
      </c>
      <c r="Y625" s="390" t="s">
        <v>1479</v>
      </c>
      <c r="Z625" s="391" t="s">
        <v>1383</v>
      </c>
    </row>
    <row r="626" spans="2:26" ht="15.75" customHeight="1" x14ac:dyDescent="0.3">
      <c r="B626" s="387" t="s">
        <v>1375</v>
      </c>
      <c r="C626" s="388">
        <v>122728</v>
      </c>
      <c r="D626" s="388" t="s">
        <v>3776</v>
      </c>
      <c r="E626" s="388" t="s">
        <v>1377</v>
      </c>
      <c r="F626" s="388" t="s">
        <v>2726</v>
      </c>
      <c r="G626" s="388" t="s">
        <v>1379</v>
      </c>
      <c r="H626" s="388" t="s">
        <v>1380</v>
      </c>
      <c r="I626" s="388" t="s">
        <v>1393</v>
      </c>
      <c r="J626" s="388"/>
      <c r="K626" s="388" t="s">
        <v>1383</v>
      </c>
      <c r="L626" s="389">
        <v>20</v>
      </c>
      <c r="M626" s="390" t="s">
        <v>3777</v>
      </c>
      <c r="N626" s="390" t="s">
        <v>2923</v>
      </c>
      <c r="O626" s="390" t="s">
        <v>2755</v>
      </c>
      <c r="P626" s="390" t="s">
        <v>1387</v>
      </c>
      <c r="Q626" s="388" t="s">
        <v>1383</v>
      </c>
      <c r="R626" s="390">
        <v>16</v>
      </c>
      <c r="S626" s="390" t="s">
        <v>1746</v>
      </c>
      <c r="T626" s="390" t="s">
        <v>1383</v>
      </c>
      <c r="U626" s="390" t="s">
        <v>3778</v>
      </c>
      <c r="V626" s="390" t="s">
        <v>1383</v>
      </c>
      <c r="W626" s="390" t="s">
        <v>2906</v>
      </c>
      <c r="X626" s="390" t="s">
        <v>1383</v>
      </c>
      <c r="Y626" s="390" t="s">
        <v>2924</v>
      </c>
      <c r="Z626" s="391" t="s">
        <v>1383</v>
      </c>
    </row>
    <row r="627" spans="2:26" ht="15.75" customHeight="1" x14ac:dyDescent="0.3">
      <c r="B627" s="387" t="s">
        <v>1375</v>
      </c>
      <c r="C627" s="388">
        <v>122729</v>
      </c>
      <c r="D627" s="388" t="s">
        <v>3779</v>
      </c>
      <c r="E627" s="388" t="s">
        <v>1377</v>
      </c>
      <c r="F627" s="388" t="s">
        <v>1378</v>
      </c>
      <c r="G627" s="388" t="s">
        <v>1439</v>
      </c>
      <c r="H627" s="388" t="s">
        <v>1380</v>
      </c>
      <c r="I627" s="388" t="s">
        <v>1393</v>
      </c>
      <c r="J627" s="388"/>
      <c r="K627" s="388" t="s">
        <v>1383</v>
      </c>
      <c r="L627" s="389">
        <v>0</v>
      </c>
      <c r="M627" s="390" t="s">
        <v>2322</v>
      </c>
      <c r="N627" s="390">
        <v>2600187</v>
      </c>
      <c r="O627" s="390" t="s">
        <v>3780</v>
      </c>
      <c r="P627" s="390" t="s">
        <v>1387</v>
      </c>
      <c r="Q627" s="388" t="s">
        <v>1383</v>
      </c>
      <c r="R627" s="390">
        <v>8</v>
      </c>
      <c r="S627" s="390" t="s">
        <v>1483</v>
      </c>
      <c r="T627" s="390" t="s">
        <v>1383</v>
      </c>
      <c r="U627" s="390" t="s">
        <v>3781</v>
      </c>
      <c r="V627" s="390" t="s">
        <v>1383</v>
      </c>
      <c r="W627" s="390" t="s">
        <v>1858</v>
      </c>
      <c r="X627" s="390" t="s">
        <v>1383</v>
      </c>
      <c r="Y627" s="390" t="s">
        <v>2155</v>
      </c>
      <c r="Z627" s="391" t="s">
        <v>1383</v>
      </c>
    </row>
    <row r="628" spans="2:26" ht="15.75" customHeight="1" x14ac:dyDescent="0.3">
      <c r="B628" s="387" t="s">
        <v>1375</v>
      </c>
      <c r="C628" s="388">
        <v>122730</v>
      </c>
      <c r="D628" s="388" t="s">
        <v>3782</v>
      </c>
      <c r="E628" s="388" t="s">
        <v>1377</v>
      </c>
      <c r="F628" s="388" t="s">
        <v>2726</v>
      </c>
      <c r="G628" s="388" t="s">
        <v>1379</v>
      </c>
      <c r="H628" s="388" t="s">
        <v>1380</v>
      </c>
      <c r="I628" s="388" t="s">
        <v>1393</v>
      </c>
      <c r="J628" s="388"/>
      <c r="K628" s="388" t="s">
        <v>1383</v>
      </c>
      <c r="L628" s="389">
        <v>40</v>
      </c>
      <c r="M628" s="390" t="s">
        <v>2909</v>
      </c>
      <c r="N628" s="390" t="s">
        <v>2910</v>
      </c>
      <c r="O628" s="390" t="s">
        <v>2755</v>
      </c>
      <c r="P628" s="390" t="s">
        <v>1387</v>
      </c>
      <c r="Q628" s="388" t="s">
        <v>1383</v>
      </c>
      <c r="R628" s="390">
        <v>8</v>
      </c>
      <c r="S628" s="390" t="s">
        <v>1483</v>
      </c>
      <c r="T628" s="390" t="s">
        <v>1383</v>
      </c>
      <c r="U628" s="390" t="s">
        <v>3674</v>
      </c>
      <c r="V628" s="390" t="s">
        <v>1383</v>
      </c>
      <c r="W628" s="390" t="s">
        <v>1490</v>
      </c>
      <c r="X628" s="390" t="s">
        <v>1383</v>
      </c>
      <c r="Y628" s="390" t="s">
        <v>1490</v>
      </c>
      <c r="Z628" s="391" t="s">
        <v>1383</v>
      </c>
    </row>
    <row r="629" spans="2:26" ht="15.75" customHeight="1" x14ac:dyDescent="0.3">
      <c r="B629" s="387" t="s">
        <v>1375</v>
      </c>
      <c r="C629" s="388">
        <v>122731</v>
      </c>
      <c r="D629" s="388" t="s">
        <v>3783</v>
      </c>
      <c r="E629" s="388" t="s">
        <v>1377</v>
      </c>
      <c r="F629" s="388" t="s">
        <v>1378</v>
      </c>
      <c r="G629" s="388" t="s">
        <v>1439</v>
      </c>
      <c r="H629" s="388" t="s">
        <v>1380</v>
      </c>
      <c r="I629" s="388" t="s">
        <v>1393</v>
      </c>
      <c r="J629" s="388"/>
      <c r="K629" s="388" t="s">
        <v>1383</v>
      </c>
      <c r="L629" s="389">
        <v>0</v>
      </c>
      <c r="M629" s="390" t="s">
        <v>2913</v>
      </c>
      <c r="N629" s="390">
        <v>3053095</v>
      </c>
      <c r="O629" s="390" t="s">
        <v>3669</v>
      </c>
      <c r="P629" s="390" t="s">
        <v>1387</v>
      </c>
      <c r="Q629" s="388" t="s">
        <v>1383</v>
      </c>
      <c r="R629" s="390">
        <v>16</v>
      </c>
      <c r="S629" s="390" t="s">
        <v>1746</v>
      </c>
      <c r="T629" s="390" t="s">
        <v>1383</v>
      </c>
      <c r="U629" s="390" t="s">
        <v>3674</v>
      </c>
      <c r="V629" s="390" t="s">
        <v>1383</v>
      </c>
      <c r="W629" s="390" t="s">
        <v>2912</v>
      </c>
      <c r="X629" s="390" t="s">
        <v>1383</v>
      </c>
      <c r="Y629" s="390" t="s">
        <v>2912</v>
      </c>
      <c r="Z629" s="391" t="s">
        <v>1383</v>
      </c>
    </row>
    <row r="630" spans="2:26" ht="15.75" customHeight="1" x14ac:dyDescent="0.3">
      <c r="B630" s="387" t="s">
        <v>1375</v>
      </c>
      <c r="C630" s="388">
        <v>122732</v>
      </c>
      <c r="D630" s="388" t="s">
        <v>3784</v>
      </c>
      <c r="E630" s="388" t="s">
        <v>1377</v>
      </c>
      <c r="F630" s="388" t="s">
        <v>2726</v>
      </c>
      <c r="G630" s="388" t="s">
        <v>1379</v>
      </c>
      <c r="H630" s="388" t="s">
        <v>1380</v>
      </c>
      <c r="I630" s="388" t="s">
        <v>1393</v>
      </c>
      <c r="J630" s="388"/>
      <c r="K630" s="388" t="s">
        <v>1383</v>
      </c>
      <c r="L630" s="389">
        <v>40</v>
      </c>
      <c r="M630" s="390" t="s">
        <v>1751</v>
      </c>
      <c r="N630" s="390">
        <v>4143469</v>
      </c>
      <c r="O630" s="390" t="s">
        <v>2755</v>
      </c>
      <c r="P630" s="390" t="s">
        <v>1387</v>
      </c>
      <c r="Q630" s="388" t="s">
        <v>1383</v>
      </c>
      <c r="R630" s="390">
        <v>8</v>
      </c>
      <c r="S630" s="390" t="s">
        <v>1483</v>
      </c>
      <c r="T630" s="390" t="s">
        <v>1383</v>
      </c>
      <c r="U630" s="390" t="s">
        <v>3785</v>
      </c>
      <c r="V630" s="390" t="s">
        <v>1383</v>
      </c>
      <c r="W630" s="390" t="s">
        <v>1754</v>
      </c>
      <c r="X630" s="390" t="s">
        <v>1383</v>
      </c>
      <c r="Y630" s="390" t="s">
        <v>1754</v>
      </c>
      <c r="Z630" s="391" t="s">
        <v>1383</v>
      </c>
    </row>
    <row r="631" spans="2:26" ht="15.75" customHeight="1" x14ac:dyDescent="0.3">
      <c r="B631" s="387" t="s">
        <v>1375</v>
      </c>
      <c r="C631" s="388">
        <v>122733</v>
      </c>
      <c r="D631" s="388" t="s">
        <v>3786</v>
      </c>
      <c r="E631" s="388" t="s">
        <v>1377</v>
      </c>
      <c r="F631" s="388" t="s">
        <v>1378</v>
      </c>
      <c r="G631" s="388" t="s">
        <v>1439</v>
      </c>
      <c r="H631" s="388" t="s">
        <v>1380</v>
      </c>
      <c r="I631" s="388" t="s">
        <v>1393</v>
      </c>
      <c r="J631" s="388"/>
      <c r="K631" s="388" t="s">
        <v>1383</v>
      </c>
      <c r="L631" s="389">
        <v>0</v>
      </c>
      <c r="M631" s="390" t="s">
        <v>3787</v>
      </c>
      <c r="N631" s="390">
        <v>7797321</v>
      </c>
      <c r="O631" s="390" t="s">
        <v>3669</v>
      </c>
      <c r="P631" s="390" t="s">
        <v>1387</v>
      </c>
      <c r="Q631" s="388" t="s">
        <v>1383</v>
      </c>
      <c r="R631" s="390">
        <v>16</v>
      </c>
      <c r="S631" s="390" t="s">
        <v>1746</v>
      </c>
      <c r="T631" s="390" t="s">
        <v>1383</v>
      </c>
      <c r="U631" s="390" t="s">
        <v>3778</v>
      </c>
      <c r="V631" s="390" t="s">
        <v>1383</v>
      </c>
      <c r="W631" s="390" t="s">
        <v>2919</v>
      </c>
      <c r="X631" s="390" t="s">
        <v>1383</v>
      </c>
      <c r="Y631" s="390" t="s">
        <v>2916</v>
      </c>
      <c r="Z631" s="391" t="s">
        <v>1383</v>
      </c>
    </row>
    <row r="632" spans="2:26" ht="15.75" customHeight="1" x14ac:dyDescent="0.3">
      <c r="B632" s="387" t="s">
        <v>1375</v>
      </c>
      <c r="C632" s="388">
        <v>122734</v>
      </c>
      <c r="D632" s="388" t="s">
        <v>3788</v>
      </c>
      <c r="E632" s="388" t="s">
        <v>1377</v>
      </c>
      <c r="F632" s="388" t="s">
        <v>2726</v>
      </c>
      <c r="G632" s="388" t="s">
        <v>1379</v>
      </c>
      <c r="H632" s="388" t="s">
        <v>1380</v>
      </c>
      <c r="I632" s="388" t="s">
        <v>1393</v>
      </c>
      <c r="J632" s="388"/>
      <c r="K632" s="388" t="s">
        <v>1383</v>
      </c>
      <c r="L632" s="389">
        <v>40</v>
      </c>
      <c r="M632" s="390" t="s">
        <v>1763</v>
      </c>
      <c r="N632" s="390">
        <v>4203421</v>
      </c>
      <c r="O632" s="390" t="s">
        <v>2755</v>
      </c>
      <c r="P632" s="390" t="s">
        <v>1387</v>
      </c>
      <c r="Q632" s="388" t="s">
        <v>1383</v>
      </c>
      <c r="R632" s="390">
        <v>8</v>
      </c>
      <c r="S632" s="390" t="s">
        <v>1483</v>
      </c>
      <c r="T632" s="390" t="s">
        <v>1383</v>
      </c>
      <c r="U632" s="390" t="s">
        <v>3789</v>
      </c>
      <c r="V632" s="390" t="s">
        <v>1383</v>
      </c>
      <c r="W632" s="390" t="s">
        <v>1746</v>
      </c>
      <c r="X632" s="390" t="s">
        <v>1383</v>
      </c>
      <c r="Y632" s="390" t="s">
        <v>1746</v>
      </c>
      <c r="Z632" s="391" t="s">
        <v>1383</v>
      </c>
    </row>
    <row r="633" spans="2:26" ht="15.75" customHeight="1" x14ac:dyDescent="0.3">
      <c r="B633" s="387" t="s">
        <v>1375</v>
      </c>
      <c r="C633" s="388">
        <v>122735</v>
      </c>
      <c r="D633" s="388" t="s">
        <v>3790</v>
      </c>
      <c r="E633" s="388" t="s">
        <v>1377</v>
      </c>
      <c r="F633" s="388" t="s">
        <v>1378</v>
      </c>
      <c r="G633" s="388" t="s">
        <v>1439</v>
      </c>
      <c r="H633" s="388" t="s">
        <v>1380</v>
      </c>
      <c r="I633" s="388" t="s">
        <v>1393</v>
      </c>
      <c r="J633" s="388"/>
      <c r="K633" s="388" t="s">
        <v>1383</v>
      </c>
      <c r="L633" s="389">
        <v>0</v>
      </c>
      <c r="M633" s="390" t="s">
        <v>1495</v>
      </c>
      <c r="N633" s="390">
        <v>7411699</v>
      </c>
      <c r="O633" s="390" t="s">
        <v>3669</v>
      </c>
      <c r="P633" s="390" t="s">
        <v>1387</v>
      </c>
      <c r="Q633" s="388" t="s">
        <v>1383</v>
      </c>
      <c r="R633" s="390">
        <v>16</v>
      </c>
      <c r="S633" s="390" t="s">
        <v>1746</v>
      </c>
      <c r="T633" s="390" t="s">
        <v>1383</v>
      </c>
      <c r="U633" s="390" t="s">
        <v>3702</v>
      </c>
      <c r="V633" s="390" t="s">
        <v>1383</v>
      </c>
      <c r="W633" s="390" t="s">
        <v>1497</v>
      </c>
      <c r="X633" s="390" t="s">
        <v>1383</v>
      </c>
      <c r="Y633" s="390" t="s">
        <v>1498</v>
      </c>
      <c r="Z633" s="391" t="s">
        <v>1383</v>
      </c>
    </row>
    <row r="634" spans="2:26" ht="15.75" customHeight="1" x14ac:dyDescent="0.3">
      <c r="B634" s="387" t="s">
        <v>1375</v>
      </c>
      <c r="C634" s="388">
        <v>122736</v>
      </c>
      <c r="D634" s="388" t="s">
        <v>3791</v>
      </c>
      <c r="E634" s="388" t="s">
        <v>1377</v>
      </c>
      <c r="F634" s="388" t="s">
        <v>1378</v>
      </c>
      <c r="G634" s="388" t="s">
        <v>1439</v>
      </c>
      <c r="H634" s="388" t="s">
        <v>1380</v>
      </c>
      <c r="I634" s="388" t="s">
        <v>1393</v>
      </c>
      <c r="J634" s="388"/>
      <c r="K634" s="388" t="s">
        <v>1383</v>
      </c>
      <c r="L634" s="389">
        <v>0</v>
      </c>
      <c r="M634" s="390" t="s">
        <v>1757</v>
      </c>
      <c r="N634" s="390">
        <v>7106539</v>
      </c>
      <c r="O634" s="390" t="s">
        <v>3780</v>
      </c>
      <c r="P634" s="390" t="s">
        <v>1387</v>
      </c>
      <c r="Q634" s="388" t="s">
        <v>1383</v>
      </c>
      <c r="R634" s="390">
        <v>16</v>
      </c>
      <c r="S634" s="390" t="s">
        <v>1746</v>
      </c>
      <c r="T634" s="390" t="s">
        <v>1383</v>
      </c>
      <c r="U634" s="390" t="s">
        <v>3792</v>
      </c>
      <c r="V634" s="390" t="s">
        <v>1383</v>
      </c>
      <c r="W634" s="390" t="s">
        <v>1760</v>
      </c>
      <c r="X634" s="390" t="s">
        <v>1383</v>
      </c>
      <c r="Y634" s="390" t="s">
        <v>1761</v>
      </c>
      <c r="Z634" s="391" t="s">
        <v>1383</v>
      </c>
    </row>
    <row r="635" spans="2:26" ht="15.75" customHeight="1" x14ac:dyDescent="0.3">
      <c r="B635" s="387" t="s">
        <v>1375</v>
      </c>
      <c r="C635" s="388">
        <v>122737</v>
      </c>
      <c r="D635" s="388" t="s">
        <v>3793</v>
      </c>
      <c r="E635" s="388" t="s">
        <v>1377</v>
      </c>
      <c r="F635" s="388" t="s">
        <v>1378</v>
      </c>
      <c r="G635" s="388" t="s">
        <v>1439</v>
      </c>
      <c r="H635" s="388" t="s">
        <v>1380</v>
      </c>
      <c r="I635" s="388" t="s">
        <v>1530</v>
      </c>
      <c r="J635" s="388" t="s">
        <v>1383</v>
      </c>
      <c r="K635" s="388" t="s">
        <v>1383</v>
      </c>
      <c r="L635" s="389">
        <v>0</v>
      </c>
      <c r="M635" s="390" t="s">
        <v>2473</v>
      </c>
      <c r="N635" s="390">
        <v>2025640</v>
      </c>
      <c r="O635" s="390" t="s">
        <v>3780</v>
      </c>
      <c r="P635" s="390" t="s">
        <v>1387</v>
      </c>
      <c r="Q635" s="388" t="s">
        <v>1383</v>
      </c>
      <c r="R635" s="390">
        <v>16</v>
      </c>
      <c r="S635" s="390" t="s">
        <v>1746</v>
      </c>
      <c r="T635" s="390" t="s">
        <v>1383</v>
      </c>
      <c r="U635" s="390" t="s">
        <v>3667</v>
      </c>
      <c r="V635" s="390" t="s">
        <v>1383</v>
      </c>
      <c r="W635" s="390" t="s">
        <v>2475</v>
      </c>
      <c r="X635" s="390" t="s">
        <v>1383</v>
      </c>
      <c r="Y635" s="390" t="s">
        <v>2476</v>
      </c>
      <c r="Z635" s="391" t="s">
        <v>1383</v>
      </c>
    </row>
    <row r="636" spans="2:26" ht="15.75" customHeight="1" x14ac:dyDescent="0.3">
      <c r="B636" s="387" t="s">
        <v>1375</v>
      </c>
      <c r="C636" s="388">
        <v>122738</v>
      </c>
      <c r="D636" s="388" t="s">
        <v>3794</v>
      </c>
      <c r="E636" s="388" t="s">
        <v>1377</v>
      </c>
      <c r="F636" s="388" t="s">
        <v>2726</v>
      </c>
      <c r="G636" s="388" t="s">
        <v>1379</v>
      </c>
      <c r="H636" s="388" t="s">
        <v>1380</v>
      </c>
      <c r="I636" s="388" t="s">
        <v>1393</v>
      </c>
      <c r="J636" s="388"/>
      <c r="K636" s="388" t="s">
        <v>1383</v>
      </c>
      <c r="L636" s="389">
        <v>40</v>
      </c>
      <c r="M636" s="390" t="s">
        <v>1776</v>
      </c>
      <c r="N636" s="390">
        <v>2904089</v>
      </c>
      <c r="O636" s="390" t="s">
        <v>2755</v>
      </c>
      <c r="P636" s="390" t="s">
        <v>1387</v>
      </c>
      <c r="Q636" s="388" t="s">
        <v>1383</v>
      </c>
      <c r="R636" s="390">
        <v>15</v>
      </c>
      <c r="S636" s="390" t="s">
        <v>1735</v>
      </c>
      <c r="T636" s="390" t="s">
        <v>1383</v>
      </c>
      <c r="U636" s="390" t="s">
        <v>3785</v>
      </c>
      <c r="V636" s="390" t="s">
        <v>1383</v>
      </c>
      <c r="W636" s="390" t="s">
        <v>1778</v>
      </c>
      <c r="X636" s="390" t="s">
        <v>1383</v>
      </c>
      <c r="Y636" s="390" t="s">
        <v>3795</v>
      </c>
      <c r="Z636" s="391" t="s">
        <v>1383</v>
      </c>
    </row>
    <row r="637" spans="2:26" ht="15.75" customHeight="1" x14ac:dyDescent="0.3">
      <c r="B637" s="387" t="s">
        <v>1375</v>
      </c>
      <c r="C637" s="388">
        <v>122739</v>
      </c>
      <c r="D637" s="388" t="s">
        <v>3796</v>
      </c>
      <c r="E637" s="388" t="s">
        <v>1377</v>
      </c>
      <c r="F637" s="388" t="s">
        <v>2726</v>
      </c>
      <c r="G637" s="388" t="s">
        <v>1379</v>
      </c>
      <c r="H637" s="388" t="s">
        <v>1380</v>
      </c>
      <c r="I637" s="388" t="s">
        <v>1381</v>
      </c>
      <c r="J637" s="388"/>
      <c r="K637" s="388" t="s">
        <v>1383</v>
      </c>
      <c r="L637" s="389">
        <v>20</v>
      </c>
      <c r="M637" s="390" t="s">
        <v>1733</v>
      </c>
      <c r="N637" s="390">
        <v>7272504</v>
      </c>
      <c r="O637" s="390" t="s">
        <v>2755</v>
      </c>
      <c r="P637" s="390" t="s">
        <v>1387</v>
      </c>
      <c r="Q637" s="388" t="s">
        <v>1383</v>
      </c>
      <c r="R637" s="390">
        <v>15</v>
      </c>
      <c r="S637" s="390" t="s">
        <v>1735</v>
      </c>
      <c r="T637" s="390" t="s">
        <v>1383</v>
      </c>
      <c r="U637" s="390" t="s">
        <v>3797</v>
      </c>
      <c r="V637" s="390" t="s">
        <v>1383</v>
      </c>
      <c r="W637" s="390" t="s">
        <v>1737</v>
      </c>
      <c r="X637" s="390" t="s">
        <v>1383</v>
      </c>
      <c r="Y637" s="390" t="s">
        <v>1732</v>
      </c>
      <c r="Z637" s="391" t="s">
        <v>1383</v>
      </c>
    </row>
    <row r="638" spans="2:26" ht="15.75" customHeight="1" x14ac:dyDescent="0.3">
      <c r="B638" s="387" t="s">
        <v>1375</v>
      </c>
      <c r="C638" s="388">
        <v>122740</v>
      </c>
      <c r="D638" s="388" t="s">
        <v>3798</v>
      </c>
      <c r="E638" s="388" t="s">
        <v>1377</v>
      </c>
      <c r="F638" s="388" t="s">
        <v>2726</v>
      </c>
      <c r="G638" s="388" t="s">
        <v>1379</v>
      </c>
      <c r="H638" s="388" t="s">
        <v>1380</v>
      </c>
      <c r="I638" s="388" t="s">
        <v>1530</v>
      </c>
      <c r="J638" s="388" t="s">
        <v>1383</v>
      </c>
      <c r="K638" s="388" t="s">
        <v>1383</v>
      </c>
      <c r="L638" s="389">
        <v>40</v>
      </c>
      <c r="M638" s="390" t="s">
        <v>1739</v>
      </c>
      <c r="N638" s="390" t="s">
        <v>1740</v>
      </c>
      <c r="O638" s="390" t="s">
        <v>2755</v>
      </c>
      <c r="P638" s="390" t="s">
        <v>1387</v>
      </c>
      <c r="Q638" s="388" t="s">
        <v>1383</v>
      </c>
      <c r="R638" s="390">
        <v>15</v>
      </c>
      <c r="S638" s="390" t="s">
        <v>1735</v>
      </c>
      <c r="T638" s="390" t="s">
        <v>1383</v>
      </c>
      <c r="U638" s="390" t="s">
        <v>3797</v>
      </c>
      <c r="V638" s="390" t="s">
        <v>1383</v>
      </c>
      <c r="W638" s="390" t="s">
        <v>1741</v>
      </c>
      <c r="X638" s="390" t="s">
        <v>1383</v>
      </c>
      <c r="Y638" s="390" t="s">
        <v>1741</v>
      </c>
      <c r="Z638" s="391" t="s">
        <v>1383</v>
      </c>
    </row>
    <row r="639" spans="2:26" ht="15.75" customHeight="1" x14ac:dyDescent="0.3">
      <c r="B639" s="387" t="s">
        <v>1375</v>
      </c>
      <c r="C639" s="388">
        <v>122741</v>
      </c>
      <c r="D639" s="388" t="s">
        <v>3799</v>
      </c>
      <c r="E639" s="388" t="s">
        <v>1377</v>
      </c>
      <c r="F639" s="388" t="s">
        <v>2726</v>
      </c>
      <c r="G639" s="388" t="s">
        <v>1379</v>
      </c>
      <c r="H639" s="388" t="s">
        <v>1380</v>
      </c>
      <c r="I639" s="388" t="s">
        <v>1440</v>
      </c>
      <c r="J639" s="388" t="s">
        <v>1383</v>
      </c>
      <c r="K639" s="388" t="s">
        <v>1383</v>
      </c>
      <c r="L639" s="389">
        <v>40</v>
      </c>
      <c r="M639" s="390" t="s">
        <v>2892</v>
      </c>
      <c r="N639" s="390">
        <v>7033068</v>
      </c>
      <c r="O639" s="390" t="s">
        <v>2755</v>
      </c>
      <c r="P639" s="390" t="s">
        <v>1387</v>
      </c>
      <c r="Q639" s="388" t="s">
        <v>1383</v>
      </c>
      <c r="R639" s="390">
        <v>14</v>
      </c>
      <c r="S639" s="390" t="s">
        <v>1718</v>
      </c>
      <c r="T639" s="390" t="s">
        <v>1383</v>
      </c>
      <c r="U639" s="390" t="s">
        <v>3800</v>
      </c>
      <c r="V639" s="390" t="s">
        <v>1383</v>
      </c>
      <c r="W639" s="390" t="s">
        <v>2894</v>
      </c>
      <c r="X639" s="390" t="s">
        <v>1383</v>
      </c>
      <c r="Y639" s="390" t="s">
        <v>3801</v>
      </c>
      <c r="Z639" s="391" t="s">
        <v>1383</v>
      </c>
    </row>
    <row r="640" spans="2:26" ht="15.75" customHeight="1" x14ac:dyDescent="0.3">
      <c r="B640" s="387" t="s">
        <v>1375</v>
      </c>
      <c r="C640" s="388">
        <v>122742</v>
      </c>
      <c r="D640" s="388" t="s">
        <v>3802</v>
      </c>
      <c r="E640" s="388" t="s">
        <v>1377</v>
      </c>
      <c r="F640" s="388" t="s">
        <v>2726</v>
      </c>
      <c r="G640" s="388" t="s">
        <v>1379</v>
      </c>
      <c r="H640" s="388" t="s">
        <v>1380</v>
      </c>
      <c r="I640" s="388" t="s">
        <v>1393</v>
      </c>
      <c r="J640" s="388"/>
      <c r="K640" s="388" t="s">
        <v>1383</v>
      </c>
      <c r="L640" s="389">
        <v>60</v>
      </c>
      <c r="M640" s="390" t="s">
        <v>1716</v>
      </c>
      <c r="N640" s="390">
        <v>2333746</v>
      </c>
      <c r="O640" s="390" t="s">
        <v>2755</v>
      </c>
      <c r="P640" s="390" t="s">
        <v>1387</v>
      </c>
      <c r="Q640" s="388" t="s">
        <v>1383</v>
      </c>
      <c r="R640" s="390">
        <v>14</v>
      </c>
      <c r="S640" s="390" t="s">
        <v>1718</v>
      </c>
      <c r="T640" s="390" t="s">
        <v>1383</v>
      </c>
      <c r="U640" s="390" t="s">
        <v>3803</v>
      </c>
      <c r="V640" s="390" t="s">
        <v>1383</v>
      </c>
      <c r="W640" s="390" t="s">
        <v>3268</v>
      </c>
      <c r="X640" s="390" t="s">
        <v>1383</v>
      </c>
      <c r="Y640" s="390" t="s">
        <v>3268</v>
      </c>
      <c r="Z640" s="391" t="s">
        <v>1383</v>
      </c>
    </row>
    <row r="641" spans="2:26" ht="15.75" customHeight="1" x14ac:dyDescent="0.3">
      <c r="B641" s="387" t="s">
        <v>1375</v>
      </c>
      <c r="C641" s="388">
        <v>122743</v>
      </c>
      <c r="D641" s="388" t="s">
        <v>3804</v>
      </c>
      <c r="E641" s="388" t="s">
        <v>1377</v>
      </c>
      <c r="F641" s="388" t="s">
        <v>2726</v>
      </c>
      <c r="G641" s="388" t="s">
        <v>1379</v>
      </c>
      <c r="H641" s="388" t="s">
        <v>1380</v>
      </c>
      <c r="I641" s="388" t="s">
        <v>1530</v>
      </c>
      <c r="J641" s="388" t="s">
        <v>1383</v>
      </c>
      <c r="K641" s="388" t="s">
        <v>1383</v>
      </c>
      <c r="L641" s="389">
        <v>40</v>
      </c>
      <c r="M641" s="390" t="s">
        <v>3591</v>
      </c>
      <c r="N641" s="390">
        <v>3427893</v>
      </c>
      <c r="O641" s="390" t="s">
        <v>2755</v>
      </c>
      <c r="P641" s="390" t="s">
        <v>1387</v>
      </c>
      <c r="Q641" s="388" t="s">
        <v>1383</v>
      </c>
      <c r="R641" s="390">
        <v>14</v>
      </c>
      <c r="S641" s="390" t="s">
        <v>1718</v>
      </c>
      <c r="T641" s="390" t="s">
        <v>1383</v>
      </c>
      <c r="U641" s="390" t="s">
        <v>3805</v>
      </c>
      <c r="V641" s="390" t="s">
        <v>1383</v>
      </c>
      <c r="W641" s="390" t="s">
        <v>2791</v>
      </c>
      <c r="X641" s="390" t="s">
        <v>1383</v>
      </c>
      <c r="Y641" s="390" t="s">
        <v>2791</v>
      </c>
      <c r="Z641" s="391" t="s">
        <v>1383</v>
      </c>
    </row>
    <row r="642" spans="2:26" ht="15.75" customHeight="1" x14ac:dyDescent="0.3">
      <c r="B642" s="387" t="s">
        <v>1375</v>
      </c>
      <c r="C642" s="388">
        <v>122744</v>
      </c>
      <c r="D642" s="388" t="s">
        <v>3806</v>
      </c>
      <c r="E642" s="388" t="s">
        <v>1377</v>
      </c>
      <c r="F642" s="388" t="s">
        <v>2726</v>
      </c>
      <c r="G642" s="388" t="s">
        <v>1379</v>
      </c>
      <c r="H642" s="388" t="s">
        <v>1380</v>
      </c>
      <c r="I642" s="388" t="s">
        <v>1393</v>
      </c>
      <c r="J642" s="388"/>
      <c r="K642" s="388" t="s">
        <v>1383</v>
      </c>
      <c r="L642" s="389">
        <v>60</v>
      </c>
      <c r="M642" s="390" t="s">
        <v>2443</v>
      </c>
      <c r="N642" s="390">
        <v>3754176</v>
      </c>
      <c r="O642" s="390" t="s">
        <v>2755</v>
      </c>
      <c r="P642" s="390" t="s">
        <v>1387</v>
      </c>
      <c r="Q642" s="388" t="s">
        <v>1383</v>
      </c>
      <c r="R642" s="390">
        <v>8</v>
      </c>
      <c r="S642" s="390" t="s">
        <v>1483</v>
      </c>
      <c r="T642" s="390" t="s">
        <v>1383</v>
      </c>
      <c r="U642" s="390" t="s">
        <v>3803</v>
      </c>
      <c r="V642" s="390" t="s">
        <v>1383</v>
      </c>
      <c r="W642" s="390" t="s">
        <v>2446</v>
      </c>
      <c r="X642" s="390" t="s">
        <v>1383</v>
      </c>
      <c r="Y642" s="390" t="s">
        <v>2446</v>
      </c>
      <c r="Z642" s="391" t="s">
        <v>1383</v>
      </c>
    </row>
    <row r="643" spans="2:26" ht="15.75" customHeight="1" x14ac:dyDescent="0.3">
      <c r="B643" s="387" t="s">
        <v>1375</v>
      </c>
      <c r="C643" s="388">
        <v>122745</v>
      </c>
      <c r="D643" s="388" t="s">
        <v>3807</v>
      </c>
      <c r="E643" s="388" t="s">
        <v>1377</v>
      </c>
      <c r="F643" s="388" t="s">
        <v>2726</v>
      </c>
      <c r="G643" s="388" t="s">
        <v>1379</v>
      </c>
      <c r="H643" s="388" t="s">
        <v>1380</v>
      </c>
      <c r="I643" s="388" t="s">
        <v>1393</v>
      </c>
      <c r="J643" s="388"/>
      <c r="K643" s="388" t="s">
        <v>1383</v>
      </c>
      <c r="L643" s="389">
        <v>100</v>
      </c>
      <c r="M643" s="390" t="s">
        <v>2374</v>
      </c>
      <c r="N643" s="390" t="s">
        <v>2375</v>
      </c>
      <c r="O643" s="390" t="s">
        <v>2755</v>
      </c>
      <c r="P643" s="390" t="s">
        <v>1387</v>
      </c>
      <c r="Q643" s="388" t="s">
        <v>1383</v>
      </c>
      <c r="R643" s="390">
        <v>8</v>
      </c>
      <c r="S643" s="390" t="s">
        <v>1483</v>
      </c>
      <c r="T643" s="390" t="s">
        <v>1383</v>
      </c>
      <c r="U643" s="390" t="s">
        <v>3670</v>
      </c>
      <c r="V643" s="390" t="s">
        <v>1383</v>
      </c>
      <c r="W643" s="390" t="s">
        <v>1512</v>
      </c>
      <c r="X643" s="390" t="s">
        <v>1383</v>
      </c>
      <c r="Y643" s="390" t="s">
        <v>1512</v>
      </c>
      <c r="Z643" s="391" t="s">
        <v>1383</v>
      </c>
    </row>
    <row r="644" spans="2:26" ht="15.75" customHeight="1" x14ac:dyDescent="0.3">
      <c r="B644" s="387" t="s">
        <v>1375</v>
      </c>
      <c r="C644" s="388">
        <v>122746</v>
      </c>
      <c r="D644" s="388" t="s">
        <v>3808</v>
      </c>
      <c r="E644" s="388" t="s">
        <v>1377</v>
      </c>
      <c r="F644" s="388" t="s">
        <v>2726</v>
      </c>
      <c r="G644" s="388" t="s">
        <v>1379</v>
      </c>
      <c r="H644" s="388" t="s">
        <v>1380</v>
      </c>
      <c r="I644" s="388" t="s">
        <v>1530</v>
      </c>
      <c r="J644" s="388" t="s">
        <v>1383</v>
      </c>
      <c r="K644" s="388" t="s">
        <v>1383</v>
      </c>
      <c r="L644" s="389">
        <v>40</v>
      </c>
      <c r="M644" s="390" t="s">
        <v>2633</v>
      </c>
      <c r="N644" s="390" t="s">
        <v>2634</v>
      </c>
      <c r="O644" s="390" t="s">
        <v>2755</v>
      </c>
      <c r="P644" s="390" t="s">
        <v>1387</v>
      </c>
      <c r="Q644" s="388" t="s">
        <v>1383</v>
      </c>
      <c r="R644" s="390">
        <v>8</v>
      </c>
      <c r="S644" s="390" t="s">
        <v>1483</v>
      </c>
      <c r="T644" s="390" t="s">
        <v>1383</v>
      </c>
      <c r="U644" s="390" t="s">
        <v>3670</v>
      </c>
      <c r="V644" s="390" t="s">
        <v>1383</v>
      </c>
      <c r="W644" s="390" t="s">
        <v>1994</v>
      </c>
      <c r="X644" s="390" t="s">
        <v>1383</v>
      </c>
      <c r="Y644" s="390" t="s">
        <v>1994</v>
      </c>
      <c r="Z644" s="391" t="s">
        <v>1383</v>
      </c>
    </row>
    <row r="645" spans="2:26" ht="15.75" customHeight="1" x14ac:dyDescent="0.3">
      <c r="B645" s="387" t="s">
        <v>1375</v>
      </c>
      <c r="C645" s="388">
        <v>122747</v>
      </c>
      <c r="D645" s="388" t="s">
        <v>3809</v>
      </c>
      <c r="E645" s="388" t="s">
        <v>1377</v>
      </c>
      <c r="F645" s="388" t="s">
        <v>2726</v>
      </c>
      <c r="G645" s="388" t="s">
        <v>1379</v>
      </c>
      <c r="H645" s="388" t="s">
        <v>1380</v>
      </c>
      <c r="I645" s="388" t="s">
        <v>1393</v>
      </c>
      <c r="J645" s="388"/>
      <c r="K645" s="388" t="s">
        <v>1383</v>
      </c>
      <c r="L645" s="389">
        <v>40</v>
      </c>
      <c r="M645" s="390" t="s">
        <v>3210</v>
      </c>
      <c r="N645" s="390" t="s">
        <v>3211</v>
      </c>
      <c r="O645" s="390" t="s">
        <v>2755</v>
      </c>
      <c r="P645" s="390" t="s">
        <v>1387</v>
      </c>
      <c r="Q645" s="388" t="s">
        <v>1383</v>
      </c>
      <c r="R645" s="390">
        <v>8</v>
      </c>
      <c r="S645" s="390" t="s">
        <v>1483</v>
      </c>
      <c r="T645" s="390" t="s">
        <v>1383</v>
      </c>
      <c r="U645" s="390" t="s">
        <v>3810</v>
      </c>
      <c r="V645" s="390" t="s">
        <v>1383</v>
      </c>
      <c r="W645" s="390" t="s">
        <v>1921</v>
      </c>
      <c r="X645" s="390" t="s">
        <v>1383</v>
      </c>
      <c r="Y645" s="390" t="s">
        <v>3212</v>
      </c>
      <c r="Z645" s="391" t="s">
        <v>1383</v>
      </c>
    </row>
    <row r="646" spans="2:26" ht="15.75" customHeight="1" x14ac:dyDescent="0.3">
      <c r="B646" s="387" t="s">
        <v>1375</v>
      </c>
      <c r="C646" s="388">
        <v>122748</v>
      </c>
      <c r="D646" s="388" t="s">
        <v>3811</v>
      </c>
      <c r="E646" s="388" t="s">
        <v>1377</v>
      </c>
      <c r="F646" s="388" t="s">
        <v>1378</v>
      </c>
      <c r="G646" s="388" t="s">
        <v>1439</v>
      </c>
      <c r="H646" s="388" t="s">
        <v>1380</v>
      </c>
      <c r="I646" s="388" t="s">
        <v>1530</v>
      </c>
      <c r="J646" s="388" t="s">
        <v>1383</v>
      </c>
      <c r="K646" s="388" t="s">
        <v>1383</v>
      </c>
      <c r="L646" s="389">
        <v>0</v>
      </c>
      <c r="M646" s="390" t="s">
        <v>2668</v>
      </c>
      <c r="N646" s="390">
        <v>2700329</v>
      </c>
      <c r="O646" s="390" t="s">
        <v>3669</v>
      </c>
      <c r="P646" s="390" t="s">
        <v>1387</v>
      </c>
      <c r="Q646" s="388" t="s">
        <v>1383</v>
      </c>
      <c r="R646" s="390">
        <v>8</v>
      </c>
      <c r="S646" s="390" t="s">
        <v>1483</v>
      </c>
      <c r="T646" s="390" t="s">
        <v>1383</v>
      </c>
      <c r="U646" s="390" t="s">
        <v>3702</v>
      </c>
      <c r="V646" s="390" t="s">
        <v>1383</v>
      </c>
      <c r="W646" s="390" t="s">
        <v>2670</v>
      </c>
      <c r="X646" s="390" t="s">
        <v>1383</v>
      </c>
      <c r="Y646" s="390" t="s">
        <v>2671</v>
      </c>
      <c r="Z646" s="391" t="s">
        <v>1383</v>
      </c>
    </row>
    <row r="647" spans="2:26" ht="15.75" customHeight="1" x14ac:dyDescent="0.3">
      <c r="B647" s="387" t="s">
        <v>1375</v>
      </c>
      <c r="C647" s="388">
        <v>122749</v>
      </c>
      <c r="D647" s="388" t="s">
        <v>3812</v>
      </c>
      <c r="E647" s="388" t="s">
        <v>1377</v>
      </c>
      <c r="F647" s="388" t="s">
        <v>1378</v>
      </c>
      <c r="G647" s="388" t="s">
        <v>1439</v>
      </c>
      <c r="H647" s="388" t="s">
        <v>1380</v>
      </c>
      <c r="I647" s="388" t="s">
        <v>1530</v>
      </c>
      <c r="J647" s="388" t="s">
        <v>1383</v>
      </c>
      <c r="K647" s="388" t="s">
        <v>1383</v>
      </c>
      <c r="L647" s="389">
        <v>0</v>
      </c>
      <c r="M647" s="390" t="s">
        <v>2515</v>
      </c>
      <c r="N647" s="390">
        <v>7281260</v>
      </c>
      <c r="O647" s="390" t="s">
        <v>3669</v>
      </c>
      <c r="P647" s="390" t="s">
        <v>1387</v>
      </c>
      <c r="Q647" s="388" t="s">
        <v>1383</v>
      </c>
      <c r="R647" s="390">
        <v>8</v>
      </c>
      <c r="S647" s="390" t="s">
        <v>1483</v>
      </c>
      <c r="T647" s="390" t="s">
        <v>1383</v>
      </c>
      <c r="U647" s="390" t="s">
        <v>3778</v>
      </c>
      <c r="V647" s="390" t="s">
        <v>1383</v>
      </c>
      <c r="W647" s="390" t="s">
        <v>2517</v>
      </c>
      <c r="X647" s="390" t="s">
        <v>1383</v>
      </c>
      <c r="Y647" s="390" t="s">
        <v>2518</v>
      </c>
      <c r="Z647" s="391" t="s">
        <v>1383</v>
      </c>
    </row>
    <row r="648" spans="2:26" ht="15.75" customHeight="1" x14ac:dyDescent="0.3">
      <c r="B648" s="387" t="s">
        <v>1375</v>
      </c>
      <c r="C648" s="388">
        <v>122750</v>
      </c>
      <c r="D648" s="388" t="s">
        <v>3813</v>
      </c>
      <c r="E648" s="388" t="s">
        <v>1377</v>
      </c>
      <c r="F648" s="388" t="s">
        <v>1378</v>
      </c>
      <c r="G648" s="388" t="s">
        <v>1439</v>
      </c>
      <c r="H648" s="388" t="s">
        <v>1380</v>
      </c>
      <c r="I648" s="388" t="s">
        <v>1393</v>
      </c>
      <c r="J648" s="388"/>
      <c r="K648" s="388" t="s">
        <v>1383</v>
      </c>
      <c r="L648" s="389">
        <v>0</v>
      </c>
      <c r="M648" s="390" t="s">
        <v>2263</v>
      </c>
      <c r="N648" s="390">
        <v>4503687</v>
      </c>
      <c r="O648" s="390" t="s">
        <v>3669</v>
      </c>
      <c r="P648" s="390" t="s">
        <v>1387</v>
      </c>
      <c r="Q648" s="388" t="s">
        <v>1383</v>
      </c>
      <c r="R648" s="390">
        <v>8</v>
      </c>
      <c r="S648" s="390" t="s">
        <v>1483</v>
      </c>
      <c r="T648" s="390" t="s">
        <v>1383</v>
      </c>
      <c r="U648" s="390" t="s">
        <v>3778</v>
      </c>
      <c r="V648" s="390" t="s">
        <v>1383</v>
      </c>
      <c r="W648" s="390" t="s">
        <v>2266</v>
      </c>
      <c r="X648" s="390" t="s">
        <v>1383</v>
      </c>
      <c r="Y648" s="390" t="s">
        <v>2262</v>
      </c>
      <c r="Z648" s="391" t="s">
        <v>1383</v>
      </c>
    </row>
    <row r="649" spans="2:26" ht="15.75" customHeight="1" x14ac:dyDescent="0.3">
      <c r="B649" s="387" t="s">
        <v>1375</v>
      </c>
      <c r="C649" s="388">
        <v>122751</v>
      </c>
      <c r="D649" s="388" t="s">
        <v>3814</v>
      </c>
      <c r="E649" s="388" t="s">
        <v>1377</v>
      </c>
      <c r="F649" s="388" t="s">
        <v>1378</v>
      </c>
      <c r="G649" s="388" t="s">
        <v>1439</v>
      </c>
      <c r="H649" s="388" t="s">
        <v>1380</v>
      </c>
      <c r="I649" s="388" t="s">
        <v>1393</v>
      </c>
      <c r="J649" s="388"/>
      <c r="K649" s="388" t="s">
        <v>1383</v>
      </c>
      <c r="L649" s="389">
        <v>0</v>
      </c>
      <c r="M649" s="390" t="s">
        <v>2904</v>
      </c>
      <c r="N649" s="390">
        <v>4508837</v>
      </c>
      <c r="O649" s="390" t="s">
        <v>3669</v>
      </c>
      <c r="P649" s="390" t="s">
        <v>1387</v>
      </c>
      <c r="Q649" s="388" t="s">
        <v>1383</v>
      </c>
      <c r="R649" s="390">
        <v>8</v>
      </c>
      <c r="S649" s="390" t="s">
        <v>1483</v>
      </c>
      <c r="T649" s="390" t="s">
        <v>1383</v>
      </c>
      <c r="U649" s="390" t="s">
        <v>3778</v>
      </c>
      <c r="V649" s="390" t="s">
        <v>1383</v>
      </c>
      <c r="W649" s="390" t="s">
        <v>2906</v>
      </c>
      <c r="X649" s="390" t="s">
        <v>1383</v>
      </c>
      <c r="Y649" s="390" t="s">
        <v>2906</v>
      </c>
      <c r="Z649" s="391" t="s">
        <v>1383</v>
      </c>
    </row>
    <row r="650" spans="2:26" ht="15.75" customHeight="1" x14ac:dyDescent="0.3">
      <c r="B650" s="387" t="s">
        <v>1375</v>
      </c>
      <c r="C650" s="388">
        <v>122752</v>
      </c>
      <c r="D650" s="388" t="s">
        <v>3815</v>
      </c>
      <c r="E650" s="388" t="s">
        <v>1377</v>
      </c>
      <c r="F650" s="388" t="s">
        <v>1378</v>
      </c>
      <c r="G650" s="388" t="s">
        <v>1439</v>
      </c>
      <c r="H650" s="388" t="s">
        <v>1380</v>
      </c>
      <c r="I650" s="388" t="s">
        <v>1530</v>
      </c>
      <c r="J650" s="388" t="s">
        <v>1383</v>
      </c>
      <c r="K650" s="388" t="s">
        <v>1383</v>
      </c>
      <c r="L650" s="389">
        <v>0</v>
      </c>
      <c r="M650" s="390" t="s">
        <v>2509</v>
      </c>
      <c r="N650" s="390">
        <v>7765086</v>
      </c>
      <c r="O650" s="390" t="s">
        <v>3669</v>
      </c>
      <c r="P650" s="390" t="s">
        <v>1387</v>
      </c>
      <c r="Q650" s="388" t="s">
        <v>1383</v>
      </c>
      <c r="R650" s="390">
        <v>8</v>
      </c>
      <c r="S650" s="390" t="s">
        <v>1483</v>
      </c>
      <c r="T650" s="390" t="s">
        <v>1383</v>
      </c>
      <c r="U650" s="390" t="s">
        <v>3778</v>
      </c>
      <c r="V650" s="390" t="s">
        <v>1383</v>
      </c>
      <c r="W650" s="390" t="s">
        <v>2511</v>
      </c>
      <c r="X650" s="390" t="s">
        <v>1383</v>
      </c>
      <c r="Y650" s="390" t="s">
        <v>3816</v>
      </c>
      <c r="Z650" s="391" t="s">
        <v>1383</v>
      </c>
    </row>
    <row r="651" spans="2:26" ht="15.75" customHeight="1" x14ac:dyDescent="0.3">
      <c r="B651" s="387" t="s">
        <v>1375</v>
      </c>
      <c r="C651" s="388">
        <v>122753</v>
      </c>
      <c r="D651" s="388" t="s">
        <v>3817</v>
      </c>
      <c r="E651" s="388" t="s">
        <v>1377</v>
      </c>
      <c r="F651" s="388" t="s">
        <v>2726</v>
      </c>
      <c r="G651" s="388" t="s">
        <v>1379</v>
      </c>
      <c r="H651" s="388" t="s">
        <v>1380</v>
      </c>
      <c r="I651" s="388" t="s">
        <v>1393</v>
      </c>
      <c r="J651" s="388"/>
      <c r="K651" s="388" t="s">
        <v>1383</v>
      </c>
      <c r="L651" s="389">
        <v>40</v>
      </c>
      <c r="M651" s="390" t="s">
        <v>2269</v>
      </c>
      <c r="N651" s="390" t="s">
        <v>2270</v>
      </c>
      <c r="O651" s="390" t="s">
        <v>2755</v>
      </c>
      <c r="P651" s="390" t="s">
        <v>1387</v>
      </c>
      <c r="Q651" s="388" t="s">
        <v>1383</v>
      </c>
      <c r="R651" s="390">
        <v>8</v>
      </c>
      <c r="S651" s="390" t="s">
        <v>1483</v>
      </c>
      <c r="T651" s="390" t="s">
        <v>1383</v>
      </c>
      <c r="U651" s="390" t="s">
        <v>3672</v>
      </c>
      <c r="V651" s="390" t="s">
        <v>1383</v>
      </c>
      <c r="W651" s="390" t="s">
        <v>2271</v>
      </c>
      <c r="X651" s="390" t="s">
        <v>1383</v>
      </c>
      <c r="Y651" s="390" t="s">
        <v>2272</v>
      </c>
      <c r="Z651" s="391" t="s">
        <v>1383</v>
      </c>
    </row>
    <row r="652" spans="2:26" ht="15.75" customHeight="1" x14ac:dyDescent="0.3">
      <c r="B652" s="387" t="s">
        <v>1375</v>
      </c>
      <c r="C652" s="388">
        <v>122754</v>
      </c>
      <c r="D652" s="388" t="s">
        <v>3818</v>
      </c>
      <c r="E652" s="388" t="s">
        <v>1377</v>
      </c>
      <c r="F652" s="388" t="s">
        <v>1378</v>
      </c>
      <c r="G652" s="388" t="s">
        <v>1439</v>
      </c>
      <c r="H652" s="388" t="s">
        <v>1380</v>
      </c>
      <c r="I652" s="388" t="s">
        <v>1393</v>
      </c>
      <c r="J652" s="388"/>
      <c r="K652" s="388" t="s">
        <v>1383</v>
      </c>
      <c r="L652" s="389">
        <v>0</v>
      </c>
      <c r="M652" s="390" t="s">
        <v>2674</v>
      </c>
      <c r="N652" s="390">
        <v>2996310</v>
      </c>
      <c r="O652" s="390" t="s">
        <v>3669</v>
      </c>
      <c r="P652" s="390" t="s">
        <v>1387</v>
      </c>
      <c r="Q652" s="388" t="s">
        <v>1383</v>
      </c>
      <c r="R652" s="390">
        <v>8</v>
      </c>
      <c r="S652" s="390" t="s">
        <v>1483</v>
      </c>
      <c r="T652" s="390" t="s">
        <v>1383</v>
      </c>
      <c r="U652" s="390" t="s">
        <v>3670</v>
      </c>
      <c r="V652" s="390" t="s">
        <v>1383</v>
      </c>
      <c r="W652" s="390" t="s">
        <v>1512</v>
      </c>
      <c r="X652" s="390" t="s">
        <v>1383</v>
      </c>
      <c r="Y652" s="390" t="s">
        <v>1513</v>
      </c>
      <c r="Z652" s="391" t="s">
        <v>1383</v>
      </c>
    </row>
    <row r="653" spans="2:26" ht="15.75" customHeight="1" x14ac:dyDescent="0.3">
      <c r="B653" s="387" t="s">
        <v>1375</v>
      </c>
      <c r="C653" s="388">
        <v>122755</v>
      </c>
      <c r="D653" s="388" t="s">
        <v>3819</v>
      </c>
      <c r="E653" s="388" t="s">
        <v>1377</v>
      </c>
      <c r="F653" s="388" t="s">
        <v>2726</v>
      </c>
      <c r="G653" s="388" t="s">
        <v>1379</v>
      </c>
      <c r="H653" s="388" t="s">
        <v>1380</v>
      </c>
      <c r="I653" s="388" t="s">
        <v>1393</v>
      </c>
      <c r="J653" s="388"/>
      <c r="K653" s="388" t="s">
        <v>1383</v>
      </c>
      <c r="L653" s="389">
        <v>40</v>
      </c>
      <c r="M653" s="390" t="s">
        <v>1516</v>
      </c>
      <c r="N653" s="390" t="s">
        <v>3584</v>
      </c>
      <c r="O653" s="390" t="s">
        <v>2755</v>
      </c>
      <c r="P653" s="390" t="s">
        <v>1387</v>
      </c>
      <c r="Q653" s="388" t="s">
        <v>1383</v>
      </c>
      <c r="R653" s="390">
        <v>10</v>
      </c>
      <c r="S653" s="390" t="s">
        <v>1552</v>
      </c>
      <c r="T653" s="390" t="s">
        <v>1383</v>
      </c>
      <c r="U653" s="390" t="s">
        <v>3670</v>
      </c>
      <c r="V653" s="390" t="s">
        <v>1383</v>
      </c>
      <c r="W653" s="390" t="s">
        <v>1511</v>
      </c>
      <c r="X653" s="390" t="s">
        <v>1383</v>
      </c>
      <c r="Y653" s="390" t="s">
        <v>2495</v>
      </c>
      <c r="Z653" s="391" t="s">
        <v>1383</v>
      </c>
    </row>
    <row r="654" spans="2:26" ht="15.75" customHeight="1" x14ac:dyDescent="0.3">
      <c r="B654" s="387" t="s">
        <v>1375</v>
      </c>
      <c r="C654" s="388">
        <v>122756</v>
      </c>
      <c r="D654" s="388" t="s">
        <v>3820</v>
      </c>
      <c r="E654" s="388" t="s">
        <v>1377</v>
      </c>
      <c r="F654" s="388" t="s">
        <v>1378</v>
      </c>
      <c r="G654" s="388" t="s">
        <v>1439</v>
      </c>
      <c r="H654" s="388" t="s">
        <v>1380</v>
      </c>
      <c r="I654" s="388" t="s">
        <v>1393</v>
      </c>
      <c r="J654" s="388"/>
      <c r="K654" s="388" t="s">
        <v>1383</v>
      </c>
      <c r="L654" s="389">
        <v>0</v>
      </c>
      <c r="M654" s="390" t="s">
        <v>1568</v>
      </c>
      <c r="N654" s="390" t="s">
        <v>3453</v>
      </c>
      <c r="O654" s="392" t="s">
        <v>3745</v>
      </c>
      <c r="P654" s="390" t="s">
        <v>1387</v>
      </c>
      <c r="Q654" s="388" t="s">
        <v>1383</v>
      </c>
      <c r="R654" s="390">
        <v>19</v>
      </c>
      <c r="S654" s="390" t="s">
        <v>1841</v>
      </c>
      <c r="T654" s="390" t="s">
        <v>1383</v>
      </c>
      <c r="U654" s="390" t="s">
        <v>3755</v>
      </c>
      <c r="V654" s="390" t="s">
        <v>1383</v>
      </c>
      <c r="W654" s="390" t="s">
        <v>1570</v>
      </c>
      <c r="X654" s="390" t="s">
        <v>1383</v>
      </c>
      <c r="Y654" s="390" t="s">
        <v>1570</v>
      </c>
      <c r="Z654" s="391" t="s">
        <v>1383</v>
      </c>
    </row>
    <row r="655" spans="2:26" ht="15.75" customHeight="1" x14ac:dyDescent="0.3">
      <c r="B655" s="387" t="s">
        <v>1375</v>
      </c>
      <c r="C655" s="388">
        <v>122757</v>
      </c>
      <c r="D655" s="388" t="s">
        <v>3821</v>
      </c>
      <c r="E655" s="388" t="s">
        <v>1377</v>
      </c>
      <c r="F655" s="388" t="s">
        <v>1378</v>
      </c>
      <c r="G655" s="388" t="s">
        <v>1379</v>
      </c>
      <c r="H655" s="388" t="s">
        <v>1380</v>
      </c>
      <c r="I655" s="388" t="s">
        <v>1440</v>
      </c>
      <c r="J655" s="388" t="s">
        <v>1383</v>
      </c>
      <c r="K655" s="388" t="s">
        <v>1383</v>
      </c>
      <c r="L655" s="389">
        <v>103</v>
      </c>
      <c r="M655" s="390" t="s">
        <v>3822</v>
      </c>
      <c r="N655" s="390" t="s">
        <v>1852</v>
      </c>
      <c r="O655" s="390" t="s">
        <v>2755</v>
      </c>
      <c r="P655" s="390" t="s">
        <v>1387</v>
      </c>
      <c r="Q655" s="388" t="s">
        <v>1383</v>
      </c>
      <c r="R655" s="390">
        <v>11</v>
      </c>
      <c r="S655" s="390" t="s">
        <v>1608</v>
      </c>
      <c r="T655" s="390" t="s">
        <v>1383</v>
      </c>
      <c r="U655" s="390" t="s">
        <v>3823</v>
      </c>
      <c r="V655" s="390" t="s">
        <v>1383</v>
      </c>
      <c r="W655" s="390" t="s">
        <v>3824</v>
      </c>
      <c r="X655" s="390" t="s">
        <v>1383</v>
      </c>
      <c r="Y655" s="390" t="s">
        <v>3825</v>
      </c>
      <c r="Z655" s="391" t="s">
        <v>1383</v>
      </c>
    </row>
    <row r="656" spans="2:26" ht="15.75" customHeight="1" x14ac:dyDescent="0.3">
      <c r="B656" s="387" t="s">
        <v>1375</v>
      </c>
      <c r="C656" s="388">
        <v>122758</v>
      </c>
      <c r="D656" s="388" t="s">
        <v>3826</v>
      </c>
      <c r="E656" s="388" t="s">
        <v>1377</v>
      </c>
      <c r="F656" s="388" t="s">
        <v>1378</v>
      </c>
      <c r="G656" s="388" t="s">
        <v>1379</v>
      </c>
      <c r="H656" s="388" t="s">
        <v>1380</v>
      </c>
      <c r="I656" s="388" t="s">
        <v>1530</v>
      </c>
      <c r="J656" s="388" t="s">
        <v>1383</v>
      </c>
      <c r="K656" s="388" t="s">
        <v>1383</v>
      </c>
      <c r="L656" s="389">
        <v>243</v>
      </c>
      <c r="M656" s="390" t="s">
        <v>3827</v>
      </c>
      <c r="N656" s="390" t="s">
        <v>3293</v>
      </c>
      <c r="O656" s="390" t="s">
        <v>1465</v>
      </c>
      <c r="P656" s="390" t="s">
        <v>1387</v>
      </c>
      <c r="Q656" s="388" t="s">
        <v>1383</v>
      </c>
      <c r="R656" s="390">
        <v>11</v>
      </c>
      <c r="S656" s="390" t="s">
        <v>1608</v>
      </c>
      <c r="T656" s="390" t="s">
        <v>1383</v>
      </c>
      <c r="U656" s="390" t="s">
        <v>3650</v>
      </c>
      <c r="V656" s="390" t="s">
        <v>1383</v>
      </c>
      <c r="W656" s="390" t="s">
        <v>3828</v>
      </c>
      <c r="X656" s="390" t="s">
        <v>1383</v>
      </c>
      <c r="Y656" s="390" t="s">
        <v>3828</v>
      </c>
      <c r="Z656" s="391" t="s">
        <v>1383</v>
      </c>
    </row>
    <row r="657" spans="2:26" ht="15.75" customHeight="1" x14ac:dyDescent="0.3">
      <c r="B657" s="387" t="s">
        <v>1375</v>
      </c>
      <c r="C657" s="388">
        <v>121835</v>
      </c>
      <c r="D657" s="388" t="s">
        <v>3829</v>
      </c>
      <c r="E657" s="388" t="s">
        <v>1377</v>
      </c>
      <c r="F657" s="388" t="s">
        <v>2726</v>
      </c>
      <c r="G657" s="388" t="s">
        <v>1439</v>
      </c>
      <c r="H657" s="388" t="s">
        <v>1471</v>
      </c>
      <c r="I657" s="388" t="s">
        <v>1699</v>
      </c>
      <c r="J657" s="388" t="s">
        <v>1382</v>
      </c>
      <c r="K657" s="388" t="s">
        <v>1383</v>
      </c>
      <c r="L657" s="389">
        <v>0</v>
      </c>
      <c r="M657" s="390" t="s">
        <v>3830</v>
      </c>
      <c r="N657" s="390" t="s">
        <v>1699</v>
      </c>
      <c r="O657" s="390" t="s">
        <v>1699</v>
      </c>
      <c r="P657" s="390" t="s">
        <v>1383</v>
      </c>
      <c r="Q657" s="388" t="s">
        <v>1383</v>
      </c>
      <c r="R657" s="390">
        <v>3</v>
      </c>
      <c r="S657" s="390" t="s">
        <v>1430</v>
      </c>
      <c r="T657" s="390">
        <v>93</v>
      </c>
      <c r="U657" s="390" t="s">
        <v>1970</v>
      </c>
      <c r="V657" s="390">
        <v>3101</v>
      </c>
      <c r="W657" s="390" t="s">
        <v>1967</v>
      </c>
      <c r="X657" s="390">
        <v>30018</v>
      </c>
      <c r="Y657" s="390" t="s">
        <v>1967</v>
      </c>
      <c r="Z657" s="391" t="s">
        <v>1971</v>
      </c>
    </row>
    <row r="658" spans="2:26" ht="15.75" customHeight="1" x14ac:dyDescent="0.3">
      <c r="B658" s="387" t="s">
        <v>1375</v>
      </c>
      <c r="C658" s="388">
        <v>436003</v>
      </c>
      <c r="D658" s="388" t="s">
        <v>3831</v>
      </c>
      <c r="E658" s="388" t="s">
        <v>1377</v>
      </c>
      <c r="F658" s="388" t="s">
        <v>3832</v>
      </c>
      <c r="G658" s="388" t="s">
        <v>1439</v>
      </c>
      <c r="H658" s="388" t="s">
        <v>1380</v>
      </c>
      <c r="I658" s="388" t="s">
        <v>1419</v>
      </c>
      <c r="J658" s="388" t="s">
        <v>3833</v>
      </c>
      <c r="K658" s="388" t="s">
        <v>1383</v>
      </c>
      <c r="L658" s="389">
        <v>0</v>
      </c>
      <c r="M658" s="390" t="s">
        <v>3834</v>
      </c>
      <c r="N658" s="390" t="s">
        <v>1699</v>
      </c>
      <c r="O658" s="390" t="s">
        <v>3835</v>
      </c>
      <c r="P658" s="390" t="s">
        <v>1383</v>
      </c>
      <c r="Q658" s="388" t="s">
        <v>1383</v>
      </c>
      <c r="R658" s="390">
        <v>4</v>
      </c>
      <c r="S658" s="390" t="s">
        <v>1451</v>
      </c>
      <c r="T658" s="390">
        <v>34</v>
      </c>
      <c r="U658" s="390" t="s">
        <v>1452</v>
      </c>
      <c r="V658" s="390">
        <v>1301</v>
      </c>
      <c r="W658" s="390" t="s">
        <v>3836</v>
      </c>
      <c r="X658" s="390">
        <v>40063</v>
      </c>
      <c r="Y658" s="390" t="s">
        <v>3836</v>
      </c>
      <c r="Z658" s="391" t="s">
        <v>3837</v>
      </c>
    </row>
    <row r="659" spans="2:26" ht="15.75" customHeight="1" x14ac:dyDescent="0.3">
      <c r="B659" s="387" t="s">
        <v>1375</v>
      </c>
      <c r="C659" s="388">
        <v>436004</v>
      </c>
      <c r="D659" s="388" t="s">
        <v>3838</v>
      </c>
      <c r="E659" s="388" t="s">
        <v>1377</v>
      </c>
      <c r="F659" s="388" t="s">
        <v>3832</v>
      </c>
      <c r="G659" s="388" t="s">
        <v>1439</v>
      </c>
      <c r="H659" s="388" t="s">
        <v>1380</v>
      </c>
      <c r="I659" s="388" t="s">
        <v>1419</v>
      </c>
      <c r="J659" s="388" t="s">
        <v>3833</v>
      </c>
      <c r="K659" s="388" t="s">
        <v>1383</v>
      </c>
      <c r="L659" s="389">
        <v>0</v>
      </c>
      <c r="M659" s="390" t="s">
        <v>3839</v>
      </c>
      <c r="N659" s="390">
        <v>3158766622</v>
      </c>
      <c r="O659" s="390" t="s">
        <v>3840</v>
      </c>
      <c r="P659" s="390" t="s">
        <v>1383</v>
      </c>
      <c r="Q659" s="388" t="s">
        <v>1383</v>
      </c>
      <c r="R659" s="390">
        <v>4</v>
      </c>
      <c r="S659" s="390" t="s">
        <v>1451</v>
      </c>
      <c r="T659" s="390">
        <v>50</v>
      </c>
      <c r="U659" s="390" t="s">
        <v>1458</v>
      </c>
      <c r="V659" s="390">
        <v>1318</v>
      </c>
      <c r="W659" s="390" t="s">
        <v>1459</v>
      </c>
      <c r="X659" s="390">
        <v>40132</v>
      </c>
      <c r="Y659" s="390" t="s">
        <v>1460</v>
      </c>
      <c r="Z659" s="391" t="s">
        <v>1461</v>
      </c>
    </row>
    <row r="660" spans="2:26" ht="15.75" customHeight="1" x14ac:dyDescent="0.3">
      <c r="B660" s="387" t="s">
        <v>1375</v>
      </c>
      <c r="C660" s="388">
        <v>436008</v>
      </c>
      <c r="D660" s="388" t="s">
        <v>3841</v>
      </c>
      <c r="E660" s="388" t="s">
        <v>1377</v>
      </c>
      <c r="F660" s="388" t="s">
        <v>3832</v>
      </c>
      <c r="G660" s="388" t="s">
        <v>1439</v>
      </c>
      <c r="H660" s="388" t="s">
        <v>1380</v>
      </c>
      <c r="I660" s="388" t="s">
        <v>1419</v>
      </c>
      <c r="J660" s="388" t="s">
        <v>3833</v>
      </c>
      <c r="K660" s="388" t="s">
        <v>1383</v>
      </c>
      <c r="L660" s="389">
        <v>0</v>
      </c>
      <c r="M660" s="390" t="s">
        <v>2184</v>
      </c>
      <c r="N660" s="390">
        <v>3158766622</v>
      </c>
      <c r="O660" s="390" t="s">
        <v>3840</v>
      </c>
      <c r="P660" s="390" t="s">
        <v>1383</v>
      </c>
      <c r="Q660" s="388" t="s">
        <v>1383</v>
      </c>
      <c r="R660" s="390">
        <v>4</v>
      </c>
      <c r="S660" s="390" t="s">
        <v>1451</v>
      </c>
      <c r="T660" s="390">
        <v>50</v>
      </c>
      <c r="U660" s="390" t="s">
        <v>1458</v>
      </c>
      <c r="V660" s="390">
        <v>1355</v>
      </c>
      <c r="W660" s="390" t="s">
        <v>2186</v>
      </c>
      <c r="X660" s="390">
        <v>40091</v>
      </c>
      <c r="Y660" s="390" t="s">
        <v>2187</v>
      </c>
      <c r="Z660" s="391" t="s">
        <v>2188</v>
      </c>
    </row>
    <row r="661" spans="2:26" ht="15.75" customHeight="1" x14ac:dyDescent="0.3">
      <c r="B661" s="387" t="s">
        <v>1375</v>
      </c>
      <c r="C661" s="388">
        <v>436026</v>
      </c>
      <c r="D661" s="388" t="s">
        <v>3842</v>
      </c>
      <c r="E661" s="388" t="s">
        <v>1377</v>
      </c>
      <c r="F661" s="388" t="s">
        <v>3832</v>
      </c>
      <c r="G661" s="388" t="s">
        <v>1439</v>
      </c>
      <c r="H661" s="388" t="s">
        <v>1380</v>
      </c>
      <c r="I661" s="388" t="s">
        <v>1419</v>
      </c>
      <c r="J661" s="388" t="s">
        <v>3833</v>
      </c>
      <c r="K661" s="388" t="s">
        <v>1383</v>
      </c>
      <c r="L661" s="389">
        <v>0</v>
      </c>
      <c r="M661" s="390" t="s">
        <v>2766</v>
      </c>
      <c r="N661" s="390">
        <v>3158766622</v>
      </c>
      <c r="O661" s="390" t="s">
        <v>3840</v>
      </c>
      <c r="P661" s="390" t="s">
        <v>1383</v>
      </c>
      <c r="Q661" s="388" t="s">
        <v>1383</v>
      </c>
      <c r="R661" s="390">
        <v>4</v>
      </c>
      <c r="S661" s="390" t="s">
        <v>1451</v>
      </c>
      <c r="T661" s="390">
        <v>33</v>
      </c>
      <c r="U661" s="390" t="s">
        <v>1475</v>
      </c>
      <c r="V661" s="390">
        <v>1102</v>
      </c>
      <c r="W661" s="390" t="s">
        <v>3843</v>
      </c>
      <c r="X661" s="390">
        <v>40022</v>
      </c>
      <c r="Y661" s="390" t="s">
        <v>3843</v>
      </c>
      <c r="Z661" s="391" t="s">
        <v>3844</v>
      </c>
    </row>
    <row r="662" spans="2:26" ht="15.75" customHeight="1" x14ac:dyDescent="0.3">
      <c r="B662" s="387" t="s">
        <v>1375</v>
      </c>
      <c r="C662" s="388">
        <v>536021</v>
      </c>
      <c r="D662" s="388" t="s">
        <v>3845</v>
      </c>
      <c r="E662" s="388" t="s">
        <v>1377</v>
      </c>
      <c r="F662" s="388" t="s">
        <v>3832</v>
      </c>
      <c r="G662" s="388" t="s">
        <v>1439</v>
      </c>
      <c r="H662" s="388" t="s">
        <v>1380</v>
      </c>
      <c r="I662" s="388" t="s">
        <v>1419</v>
      </c>
      <c r="J662" s="388" t="s">
        <v>3833</v>
      </c>
      <c r="K662" s="388" t="s">
        <v>1383</v>
      </c>
      <c r="L662" s="389">
        <v>0</v>
      </c>
      <c r="M662" s="390" t="s">
        <v>3846</v>
      </c>
      <c r="N662" s="390">
        <v>3102817202</v>
      </c>
      <c r="O662" s="390" t="s">
        <v>3840</v>
      </c>
      <c r="P662" s="390" t="s">
        <v>1383</v>
      </c>
      <c r="Q662" s="388" t="s">
        <v>1383</v>
      </c>
      <c r="R662" s="390">
        <v>5</v>
      </c>
      <c r="S662" s="390" t="s">
        <v>1466</v>
      </c>
      <c r="T662" s="390">
        <v>52</v>
      </c>
      <c r="U662" s="390" t="s">
        <v>1467</v>
      </c>
      <c r="V662" s="390">
        <v>1335</v>
      </c>
      <c r="W662" s="390" t="s">
        <v>2860</v>
      </c>
      <c r="X662" s="390">
        <v>50283</v>
      </c>
      <c r="Y662" s="390" t="s">
        <v>2860</v>
      </c>
      <c r="Z662" s="391" t="s">
        <v>3847</v>
      </c>
    </row>
    <row r="663" spans="2:26" ht="15.75" customHeight="1" x14ac:dyDescent="0.3">
      <c r="B663" s="387" t="s">
        <v>1375</v>
      </c>
      <c r="C663" s="388">
        <v>736006</v>
      </c>
      <c r="D663" s="388" t="s">
        <v>3848</v>
      </c>
      <c r="E663" s="388" t="s">
        <v>1377</v>
      </c>
      <c r="F663" s="388" t="s">
        <v>3832</v>
      </c>
      <c r="G663" s="388" t="s">
        <v>1439</v>
      </c>
      <c r="H663" s="388" t="s">
        <v>1380</v>
      </c>
      <c r="I663" s="388" t="s">
        <v>1419</v>
      </c>
      <c r="J663" s="388" t="s">
        <v>3833</v>
      </c>
      <c r="K663" s="388" t="s">
        <v>1383</v>
      </c>
      <c r="L663" s="389">
        <v>0</v>
      </c>
      <c r="M663" s="390" t="s">
        <v>3849</v>
      </c>
      <c r="N663" s="390">
        <v>3204504680</v>
      </c>
      <c r="O663" s="390" t="s">
        <v>3840</v>
      </c>
      <c r="P663" s="390" t="s">
        <v>1383</v>
      </c>
      <c r="Q663" s="388" t="s">
        <v>1383</v>
      </c>
      <c r="R663" s="390">
        <v>7</v>
      </c>
      <c r="S663" s="390" t="s">
        <v>1687</v>
      </c>
      <c r="T663" s="390">
        <v>84</v>
      </c>
      <c r="U663" s="390" t="s">
        <v>1920</v>
      </c>
      <c r="V663" s="390">
        <v>4567</v>
      </c>
      <c r="W663" s="390" t="s">
        <v>3850</v>
      </c>
      <c r="X663" s="390">
        <v>70298</v>
      </c>
      <c r="Y663" s="390" t="s">
        <v>1821</v>
      </c>
      <c r="Z663" s="391" t="s">
        <v>3851</v>
      </c>
    </row>
    <row r="664" spans="2:26" ht="15.75" customHeight="1" x14ac:dyDescent="0.3">
      <c r="B664" s="387" t="s">
        <v>1375</v>
      </c>
      <c r="C664" s="388">
        <v>836005</v>
      </c>
      <c r="D664" s="388" t="s">
        <v>3852</v>
      </c>
      <c r="E664" s="388" t="s">
        <v>1377</v>
      </c>
      <c r="F664" s="388" t="s">
        <v>3832</v>
      </c>
      <c r="G664" s="388" t="s">
        <v>1439</v>
      </c>
      <c r="H664" s="388" t="s">
        <v>1380</v>
      </c>
      <c r="I664" s="388" t="s">
        <v>1419</v>
      </c>
      <c r="J664" s="388" t="s">
        <v>3833</v>
      </c>
      <c r="K664" s="388" t="s">
        <v>1383</v>
      </c>
      <c r="L664" s="389">
        <v>0</v>
      </c>
      <c r="M664" s="390" t="s">
        <v>3853</v>
      </c>
      <c r="N664" s="390">
        <v>3046143129</v>
      </c>
      <c r="O664" s="390" t="s">
        <v>3840</v>
      </c>
      <c r="P664" s="390" t="s">
        <v>1383</v>
      </c>
      <c r="Q664" s="388" t="s">
        <v>1383</v>
      </c>
      <c r="R664" s="390">
        <v>8</v>
      </c>
      <c r="S664" s="390" t="s">
        <v>1483</v>
      </c>
      <c r="T664" s="390">
        <v>79</v>
      </c>
      <c r="U664" s="390" t="s">
        <v>2376</v>
      </c>
      <c r="V664" s="390">
        <v>4601</v>
      </c>
      <c r="W664" s="390" t="s">
        <v>2376</v>
      </c>
      <c r="X664" s="390">
        <v>80332</v>
      </c>
      <c r="Y664" s="390" t="s">
        <v>3854</v>
      </c>
      <c r="Z664" s="391" t="s">
        <v>3855</v>
      </c>
    </row>
    <row r="665" spans="2:26" ht="15.75" customHeight="1" x14ac:dyDescent="0.3">
      <c r="B665" s="387" t="s">
        <v>1375</v>
      </c>
      <c r="C665" s="388">
        <v>936017</v>
      </c>
      <c r="D665" s="388" t="s">
        <v>3856</v>
      </c>
      <c r="E665" s="388" t="s">
        <v>1377</v>
      </c>
      <c r="F665" s="388" t="s">
        <v>3832</v>
      </c>
      <c r="G665" s="388" t="s">
        <v>1439</v>
      </c>
      <c r="H665" s="388" t="s">
        <v>1380</v>
      </c>
      <c r="I665" s="388" t="s">
        <v>1419</v>
      </c>
      <c r="J665" s="388" t="s">
        <v>3833</v>
      </c>
      <c r="K665" s="388" t="s">
        <v>1383</v>
      </c>
      <c r="L665" s="389">
        <v>0</v>
      </c>
      <c r="M665" s="390" t="s">
        <v>3857</v>
      </c>
      <c r="N665" s="390">
        <v>3133657231</v>
      </c>
      <c r="O665" s="390" t="s">
        <v>3840</v>
      </c>
      <c r="P665" s="390" t="s">
        <v>1383</v>
      </c>
      <c r="Q665" s="388" t="s">
        <v>1383</v>
      </c>
      <c r="R665" s="390">
        <v>9</v>
      </c>
      <c r="S665" s="390" t="s">
        <v>1533</v>
      </c>
      <c r="T665" s="390">
        <v>75</v>
      </c>
      <c r="U665" s="390" t="s">
        <v>1533</v>
      </c>
      <c r="V665" s="390">
        <v>6402</v>
      </c>
      <c r="W665" s="390" t="s">
        <v>1547</v>
      </c>
      <c r="X665" s="390">
        <v>90062</v>
      </c>
      <c r="Y665" s="390" t="s">
        <v>1544</v>
      </c>
      <c r="Z665" s="391" t="s">
        <v>1548</v>
      </c>
    </row>
    <row r="666" spans="2:26" ht="15.75" customHeight="1" x14ac:dyDescent="0.3">
      <c r="B666" s="387" t="s">
        <v>1375</v>
      </c>
      <c r="C666" s="388">
        <v>1136023</v>
      </c>
      <c r="D666" s="388" t="s">
        <v>3858</v>
      </c>
      <c r="E666" s="388" t="s">
        <v>1377</v>
      </c>
      <c r="F666" s="388" t="s">
        <v>3832</v>
      </c>
      <c r="G666" s="388" t="s">
        <v>1439</v>
      </c>
      <c r="H666" s="388" t="s">
        <v>1380</v>
      </c>
      <c r="I666" s="388" t="s">
        <v>1419</v>
      </c>
      <c r="J666" s="388" t="s">
        <v>3833</v>
      </c>
      <c r="K666" s="388" t="s">
        <v>1383</v>
      </c>
      <c r="L666" s="389">
        <v>0</v>
      </c>
      <c r="M666" s="390" t="s">
        <v>3497</v>
      </c>
      <c r="N666" s="390">
        <v>3228585709</v>
      </c>
      <c r="O666" s="390" t="s">
        <v>3840</v>
      </c>
      <c r="P666" s="390" t="s">
        <v>1383</v>
      </c>
      <c r="Q666" s="388" t="s">
        <v>1383</v>
      </c>
      <c r="R666" s="390">
        <v>11</v>
      </c>
      <c r="S666" s="390" t="s">
        <v>1608</v>
      </c>
      <c r="T666" s="390">
        <v>71</v>
      </c>
      <c r="U666" s="390" t="s">
        <v>1938</v>
      </c>
      <c r="V666" s="390">
        <v>9251</v>
      </c>
      <c r="W666" s="390" t="s">
        <v>2370</v>
      </c>
      <c r="X666" s="390">
        <v>110531</v>
      </c>
      <c r="Y666" s="390" t="s">
        <v>2371</v>
      </c>
      <c r="Z666" s="391" t="s">
        <v>2372</v>
      </c>
    </row>
    <row r="667" spans="2:26" ht="15.75" customHeight="1" x14ac:dyDescent="0.3">
      <c r="B667" s="387" t="s">
        <v>1375</v>
      </c>
      <c r="C667" s="388">
        <v>1136031</v>
      </c>
      <c r="D667" s="388" t="s">
        <v>3859</v>
      </c>
      <c r="E667" s="388" t="s">
        <v>1377</v>
      </c>
      <c r="F667" s="388" t="s">
        <v>3832</v>
      </c>
      <c r="G667" s="388" t="s">
        <v>1439</v>
      </c>
      <c r="H667" s="388" t="s">
        <v>1380</v>
      </c>
      <c r="I667" s="388" t="s">
        <v>1419</v>
      </c>
      <c r="J667" s="388" t="s">
        <v>3833</v>
      </c>
      <c r="K667" s="388" t="s">
        <v>1383</v>
      </c>
      <c r="L667" s="389">
        <v>0</v>
      </c>
      <c r="M667" s="390" t="s">
        <v>3860</v>
      </c>
      <c r="N667" s="390">
        <v>3228585709</v>
      </c>
      <c r="O667" s="390" t="s">
        <v>3840</v>
      </c>
      <c r="P667" s="390" t="s">
        <v>1383</v>
      </c>
      <c r="Q667" s="388" t="s">
        <v>1383</v>
      </c>
      <c r="R667" s="390">
        <v>11</v>
      </c>
      <c r="S667" s="390" t="s">
        <v>1608</v>
      </c>
      <c r="T667" s="390">
        <v>27</v>
      </c>
      <c r="U667" s="390" t="s">
        <v>1608</v>
      </c>
      <c r="V667" s="390">
        <v>9213</v>
      </c>
      <c r="W667" s="390" t="s">
        <v>3861</v>
      </c>
      <c r="X667" s="390">
        <v>110504</v>
      </c>
      <c r="Y667" s="390" t="s">
        <v>3862</v>
      </c>
      <c r="Z667" s="391" t="s">
        <v>3863</v>
      </c>
    </row>
    <row r="668" spans="2:26" ht="15.75" customHeight="1" x14ac:dyDescent="0.3">
      <c r="B668" s="387" t="s">
        <v>1375</v>
      </c>
      <c r="C668" s="388">
        <v>1136033</v>
      </c>
      <c r="D668" s="388" t="s">
        <v>3864</v>
      </c>
      <c r="E668" s="388" t="s">
        <v>1377</v>
      </c>
      <c r="F668" s="388" t="s">
        <v>3832</v>
      </c>
      <c r="G668" s="388" t="s">
        <v>1439</v>
      </c>
      <c r="H668" s="388" t="s">
        <v>1380</v>
      </c>
      <c r="I668" s="388" t="s">
        <v>1419</v>
      </c>
      <c r="J668" s="388" t="s">
        <v>3833</v>
      </c>
      <c r="K668" s="388" t="s">
        <v>1383</v>
      </c>
      <c r="L668" s="389">
        <v>0</v>
      </c>
      <c r="M668" s="390" t="s">
        <v>3865</v>
      </c>
      <c r="N668" s="390" t="s">
        <v>1699</v>
      </c>
      <c r="O668" s="390" t="s">
        <v>3866</v>
      </c>
      <c r="P668" s="390" t="s">
        <v>1383</v>
      </c>
      <c r="Q668" s="388" t="s">
        <v>1383</v>
      </c>
      <c r="R668" s="390">
        <v>11</v>
      </c>
      <c r="S668" s="390" t="s">
        <v>1608</v>
      </c>
      <c r="T668" s="390">
        <v>71</v>
      </c>
      <c r="U668" s="390" t="s">
        <v>1938</v>
      </c>
      <c r="V668" s="390">
        <v>9232</v>
      </c>
      <c r="W668" s="390" t="s">
        <v>2260</v>
      </c>
      <c r="X668" s="390">
        <v>110762</v>
      </c>
      <c r="Y668" s="390" t="s">
        <v>3294</v>
      </c>
      <c r="Z668" s="391" t="s">
        <v>3295</v>
      </c>
    </row>
    <row r="669" spans="2:26" ht="15.75" customHeight="1" x14ac:dyDescent="0.3">
      <c r="B669" s="387" t="s">
        <v>1375</v>
      </c>
      <c r="C669" s="388">
        <v>1836010</v>
      </c>
      <c r="D669" s="388" t="s">
        <v>3867</v>
      </c>
      <c r="E669" s="388" t="s">
        <v>1377</v>
      </c>
      <c r="F669" s="388" t="s">
        <v>3832</v>
      </c>
      <c r="G669" s="388" t="s">
        <v>1439</v>
      </c>
      <c r="H669" s="388" t="s">
        <v>1380</v>
      </c>
      <c r="I669" s="388" t="s">
        <v>1419</v>
      </c>
      <c r="J669" s="388" t="s">
        <v>3833</v>
      </c>
      <c r="K669" s="388" t="s">
        <v>1383</v>
      </c>
      <c r="L669" s="389">
        <v>0</v>
      </c>
      <c r="M669" s="390" t="s">
        <v>3868</v>
      </c>
      <c r="N669" s="390">
        <v>3022578290</v>
      </c>
      <c r="O669" s="390" t="s">
        <v>3840</v>
      </c>
      <c r="P669" s="390" t="s">
        <v>1383</v>
      </c>
      <c r="Q669" s="388" t="s">
        <v>1383</v>
      </c>
      <c r="R669" s="390">
        <v>18</v>
      </c>
      <c r="S669" s="390" t="s">
        <v>1790</v>
      </c>
      <c r="T669" s="390">
        <v>36</v>
      </c>
      <c r="U669" s="390" t="s">
        <v>1798</v>
      </c>
      <c r="V669" s="390">
        <v>1426</v>
      </c>
      <c r="W669" s="390" t="s">
        <v>1410</v>
      </c>
      <c r="X669" s="390">
        <v>180008</v>
      </c>
      <c r="Y669" s="390" t="s">
        <v>3869</v>
      </c>
      <c r="Z669" s="391" t="s">
        <v>3870</v>
      </c>
    </row>
    <row r="670" spans="2:26" ht="15.75" customHeight="1" x14ac:dyDescent="0.3">
      <c r="B670" s="387" t="s">
        <v>1375</v>
      </c>
      <c r="C670" s="388">
        <v>1936034</v>
      </c>
      <c r="D670" s="388" t="s">
        <v>3871</v>
      </c>
      <c r="E670" s="388" t="s">
        <v>1377</v>
      </c>
      <c r="F670" s="388" t="s">
        <v>3832</v>
      </c>
      <c r="G670" s="388" t="s">
        <v>1439</v>
      </c>
      <c r="H670" s="388" t="s">
        <v>1380</v>
      </c>
      <c r="I670" s="388" t="s">
        <v>1440</v>
      </c>
      <c r="J670" s="388" t="s">
        <v>3833</v>
      </c>
      <c r="K670" s="388" t="s">
        <v>1383</v>
      </c>
      <c r="L670" s="389">
        <v>0</v>
      </c>
      <c r="M670" s="390" t="s">
        <v>3872</v>
      </c>
      <c r="N670" s="390">
        <v>3143326024</v>
      </c>
      <c r="O670" s="390" t="s">
        <v>3840</v>
      </c>
      <c r="P670" s="390" t="s">
        <v>1383</v>
      </c>
      <c r="Q670" s="388" t="s">
        <v>1383</v>
      </c>
      <c r="R670" s="390">
        <v>19</v>
      </c>
      <c r="S670" s="390" t="s">
        <v>1841</v>
      </c>
      <c r="T670" s="390">
        <v>67</v>
      </c>
      <c r="U670" s="390" t="s">
        <v>2049</v>
      </c>
      <c r="V670" s="390">
        <v>2516</v>
      </c>
      <c r="W670" s="390" t="s">
        <v>3873</v>
      </c>
      <c r="X670" s="390">
        <v>190131</v>
      </c>
      <c r="Y670" s="390" t="s">
        <v>3874</v>
      </c>
      <c r="Z670" s="391" t="s">
        <v>3875</v>
      </c>
    </row>
    <row r="671" spans="2:26" ht="15.75" customHeight="1" x14ac:dyDescent="0.3">
      <c r="B671" s="387" t="s">
        <v>1375</v>
      </c>
      <c r="C671" s="388">
        <v>122778</v>
      </c>
      <c r="D671" s="388" t="s">
        <v>3876</v>
      </c>
      <c r="E671" s="388" t="s">
        <v>1377</v>
      </c>
      <c r="F671" s="388" t="s">
        <v>1378</v>
      </c>
      <c r="G671" s="388" t="s">
        <v>1439</v>
      </c>
      <c r="H671" s="388" t="s">
        <v>1380</v>
      </c>
      <c r="I671" s="388" t="s">
        <v>1393</v>
      </c>
      <c r="J671" s="388"/>
      <c r="K671" s="388" t="s">
        <v>1383</v>
      </c>
      <c r="L671" s="389">
        <v>0</v>
      </c>
      <c r="M671" s="390" t="s">
        <v>1931</v>
      </c>
      <c r="N671" s="390">
        <v>7903238</v>
      </c>
      <c r="O671" s="390" t="s">
        <v>1482</v>
      </c>
      <c r="P671" s="390" t="s">
        <v>1387</v>
      </c>
      <c r="Q671" s="388" t="s">
        <v>1383</v>
      </c>
      <c r="R671" s="390">
        <v>19</v>
      </c>
      <c r="S671" s="390" t="s">
        <v>1841</v>
      </c>
      <c r="T671" s="390">
        <v>67</v>
      </c>
      <c r="U671" s="390" t="s">
        <v>2049</v>
      </c>
      <c r="V671" s="390">
        <v>2565</v>
      </c>
      <c r="W671" s="390" t="s">
        <v>1933</v>
      </c>
      <c r="X671" s="390">
        <v>190055</v>
      </c>
      <c r="Y671" s="390" t="s">
        <v>2836</v>
      </c>
      <c r="Z671" s="391" t="s">
        <v>3407</v>
      </c>
    </row>
    <row r="672" spans="2:26" ht="15.75" customHeight="1" x14ac:dyDescent="0.3">
      <c r="B672" s="387" t="s">
        <v>1375</v>
      </c>
      <c r="C672" s="388">
        <v>122779</v>
      </c>
      <c r="D672" s="388" t="s">
        <v>3877</v>
      </c>
      <c r="E672" s="388" t="s">
        <v>1377</v>
      </c>
      <c r="F672" s="388" t="s">
        <v>1378</v>
      </c>
      <c r="G672" s="388" t="s">
        <v>1439</v>
      </c>
      <c r="H672" s="388" t="s">
        <v>1380</v>
      </c>
      <c r="I672" s="388" t="s">
        <v>1393</v>
      </c>
      <c r="J672" s="388"/>
      <c r="K672" s="388" t="s">
        <v>1383</v>
      </c>
      <c r="L672" s="389">
        <v>0</v>
      </c>
      <c r="M672" s="390" t="s">
        <v>3399</v>
      </c>
      <c r="N672" s="390" t="s">
        <v>3400</v>
      </c>
      <c r="O672" s="390" t="s">
        <v>3401</v>
      </c>
      <c r="P672" s="390" t="s">
        <v>1387</v>
      </c>
      <c r="Q672" s="388" t="s">
        <v>1383</v>
      </c>
      <c r="R672" s="390">
        <v>4</v>
      </c>
      <c r="S672" s="390" t="s">
        <v>1451</v>
      </c>
      <c r="T672" s="390">
        <v>50</v>
      </c>
      <c r="U672" s="390" t="s">
        <v>1458</v>
      </c>
      <c r="V672" s="390">
        <v>1331</v>
      </c>
      <c r="W672" s="390" t="s">
        <v>3402</v>
      </c>
      <c r="X672" s="390">
        <v>40095</v>
      </c>
      <c r="Y672" s="390" t="s">
        <v>3403</v>
      </c>
      <c r="Z672" s="391" t="s">
        <v>3404</v>
      </c>
    </row>
    <row r="673" spans="2:26" ht="15.75" customHeight="1" x14ac:dyDescent="0.3">
      <c r="B673" s="387" t="s">
        <v>1375</v>
      </c>
      <c r="C673" s="388" t="s">
        <v>3878</v>
      </c>
      <c r="D673" s="388" t="s">
        <v>3879</v>
      </c>
      <c r="E673" s="388" t="s">
        <v>1377</v>
      </c>
      <c r="F673" s="388" t="s">
        <v>3880</v>
      </c>
      <c r="G673" s="388" t="s">
        <v>1379</v>
      </c>
      <c r="H673" s="388" t="s">
        <v>1380</v>
      </c>
      <c r="I673" s="388" t="s">
        <v>1440</v>
      </c>
      <c r="J673" s="388" t="s">
        <v>1382</v>
      </c>
      <c r="K673" s="388"/>
      <c r="L673" s="389" t="s">
        <v>3881</v>
      </c>
      <c r="M673" s="390" t="s">
        <v>3363</v>
      </c>
      <c r="N673" s="390" t="s">
        <v>1464</v>
      </c>
      <c r="O673" s="390" t="s">
        <v>2741</v>
      </c>
      <c r="P673" s="390"/>
      <c r="Q673" s="388"/>
      <c r="R673" s="390" t="s">
        <v>3882</v>
      </c>
      <c r="S673" s="390" t="s">
        <v>1790</v>
      </c>
      <c r="T673" s="390" t="s">
        <v>3883</v>
      </c>
      <c r="U673" s="390" t="s">
        <v>3463</v>
      </c>
      <c r="V673" s="390"/>
      <c r="W673" s="390" t="s">
        <v>1810</v>
      </c>
      <c r="X673" s="390"/>
      <c r="Y673" s="390" t="s">
        <v>1810</v>
      </c>
      <c r="Z673" s="391" t="s">
        <v>1812</v>
      </c>
    </row>
    <row r="674" spans="2:26" x14ac:dyDescent="0.3">
      <c r="B674" s="13" t="s">
        <v>845</v>
      </c>
      <c r="C674" s="10">
        <f>SUBTOTAL(103,Directorio[Código SIRBE])</f>
        <v>656</v>
      </c>
      <c r="D674" s="10"/>
      <c r="E674" s="13"/>
      <c r="F674" s="13"/>
      <c r="G674" s="13"/>
      <c r="H674" s="13"/>
      <c r="I674" s="13"/>
      <c r="J674" s="13"/>
      <c r="K674" s="13"/>
      <c r="L674" s="13"/>
      <c r="M674" s="13" t="e">
        <f>SUBTOTAL(109,Directorio[Dirección SPI])</f>
        <v>#N/A</v>
      </c>
      <c r="N674" s="13"/>
      <c r="O674" s="13"/>
      <c r="P674" s="13"/>
      <c r="Q674" s="13"/>
      <c r="R674" s="161"/>
      <c r="S674" s="13"/>
      <c r="T674" s="13"/>
      <c r="U674" s="13"/>
      <c r="V674" s="13"/>
      <c r="W674" s="13"/>
      <c r="X674" s="13"/>
      <c r="Y674" s="13"/>
      <c r="Z674" s="13"/>
    </row>
  </sheetData>
  <sheetProtection formatCells="0" formatColumns="0" formatRows="0" insertRows="0" sort="0" autoFilter="0" pivotTables="0"/>
  <mergeCells count="9">
    <mergeCell ref="A13:S13"/>
    <mergeCell ref="B2:C5"/>
    <mergeCell ref="R16:Z16"/>
    <mergeCell ref="B16:Q16"/>
    <mergeCell ref="D2:J5"/>
    <mergeCell ref="K2:L2"/>
    <mergeCell ref="K3:L3"/>
    <mergeCell ref="K4:L4"/>
    <mergeCell ref="K5:L5"/>
  </mergeCells>
  <phoneticPr fontId="14" type="noConversion"/>
  <pageMargins left="0.7" right="0.7" top="0.75" bottom="0.75" header="0.3" footer="0.3"/>
  <pageSetup orientation="portrait" r:id="rId1"/>
  <drawing r:id="rId2"/>
  <legacyDrawing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tabColor theme="7" tint="-0.249977111117893"/>
  </sheetPr>
  <dimension ref="A1:R136"/>
  <sheetViews>
    <sheetView showGridLines="0" zoomScale="70" zoomScaleNormal="70" workbookViewId="0"/>
  </sheetViews>
  <sheetFormatPr baseColWidth="10" defaultColWidth="8.81640625" defaultRowHeight="13.8" x14ac:dyDescent="0.25"/>
  <cols>
    <col min="1" max="1" width="2.08984375" style="37" customWidth="1"/>
    <col min="2" max="2" width="16.81640625" style="38" customWidth="1"/>
    <col min="3" max="3" width="113.1796875" style="36" customWidth="1"/>
    <col min="4" max="16384" width="8.81640625" style="36"/>
  </cols>
  <sheetData>
    <row r="1" spans="1:18" s="1" customFormat="1" x14ac:dyDescent="0.25"/>
    <row r="2" spans="1:18" s="130" customFormat="1" ht="24" customHeight="1" x14ac:dyDescent="0.35">
      <c r="B2" s="563"/>
      <c r="C2" s="566" t="s">
        <v>683</v>
      </c>
      <c r="D2" s="567" t="s">
        <v>684</v>
      </c>
      <c r="E2" s="567"/>
      <c r="F2" s="131"/>
      <c r="G2"/>
      <c r="H2"/>
      <c r="I2"/>
      <c r="J2"/>
      <c r="N2"/>
      <c r="O2"/>
      <c r="P2"/>
      <c r="Q2"/>
      <c r="R2"/>
    </row>
    <row r="3" spans="1:18" s="130" customFormat="1" ht="20.399999999999999" x14ac:dyDescent="0.35">
      <c r="B3" s="564"/>
      <c r="C3" s="566"/>
      <c r="D3" s="510" t="s">
        <v>685</v>
      </c>
      <c r="E3" s="510"/>
      <c r="F3" s="131"/>
      <c r="G3"/>
      <c r="H3"/>
      <c r="I3"/>
      <c r="J3"/>
      <c r="N3"/>
      <c r="O3"/>
      <c r="P3"/>
      <c r="Q3"/>
      <c r="R3"/>
    </row>
    <row r="4" spans="1:18" s="130" customFormat="1" ht="29.25" customHeight="1" x14ac:dyDescent="0.35">
      <c r="B4" s="564"/>
      <c r="C4" s="566"/>
      <c r="D4" s="511" t="s">
        <v>686</v>
      </c>
      <c r="E4" s="511"/>
      <c r="F4" s="131"/>
      <c r="G4"/>
      <c r="H4"/>
      <c r="I4"/>
      <c r="J4"/>
      <c r="N4"/>
      <c r="O4"/>
      <c r="P4"/>
      <c r="Q4"/>
      <c r="R4"/>
    </row>
    <row r="5" spans="1:18" s="130" customFormat="1" ht="20.25" customHeight="1" x14ac:dyDescent="0.35">
      <c r="B5" s="565"/>
      <c r="C5" s="566"/>
      <c r="D5" s="567" t="s">
        <v>1263</v>
      </c>
      <c r="E5" s="567"/>
      <c r="F5" s="131"/>
      <c r="G5"/>
      <c r="H5"/>
      <c r="I5"/>
      <c r="J5"/>
      <c r="N5"/>
      <c r="O5"/>
      <c r="P5"/>
      <c r="Q5"/>
      <c r="R5"/>
    </row>
    <row r="6" spans="1:18" s="1" customFormat="1" x14ac:dyDescent="0.25"/>
    <row r="7" spans="1:18" s="1" customFormat="1" x14ac:dyDescent="0.25"/>
    <row r="8" spans="1:18" s="1" customFormat="1" x14ac:dyDescent="0.25"/>
    <row r="9" spans="1:18" s="1" customFormat="1" x14ac:dyDescent="0.25"/>
    <row r="10" spans="1:18" s="1" customFormat="1" x14ac:dyDescent="0.25"/>
    <row r="11" spans="1:18" s="1" customFormat="1" ht="14.4" thickBot="1" x14ac:dyDescent="0.3"/>
    <row r="12" spans="1:18" s="1" customFormat="1" ht="25.8" thickBot="1" x14ac:dyDescent="0.5">
      <c r="B12" s="417" t="s">
        <v>1264</v>
      </c>
      <c r="C12" s="419"/>
    </row>
    <row r="13" spans="1:18" ht="14.4" thickBot="1" x14ac:dyDescent="0.3"/>
    <row r="14" spans="1:18" ht="133.5" customHeight="1" thickTop="1" x14ac:dyDescent="0.25">
      <c r="A14" s="35"/>
      <c r="B14" s="56" t="s">
        <v>1265</v>
      </c>
      <c r="C14" s="57" t="s">
        <v>1266</v>
      </c>
    </row>
    <row r="15" spans="1:18" ht="70.5" customHeight="1" x14ac:dyDescent="0.25">
      <c r="A15" s="35"/>
      <c r="B15" s="58" t="s">
        <v>1267</v>
      </c>
      <c r="C15" s="59" t="s">
        <v>1268</v>
      </c>
    </row>
    <row r="16" spans="1:18" ht="50.25" customHeight="1" x14ac:dyDescent="0.25">
      <c r="A16" s="35"/>
      <c r="B16" s="58" t="s">
        <v>1269</v>
      </c>
      <c r="C16" s="59" t="s">
        <v>1270</v>
      </c>
    </row>
    <row r="17" spans="1:3" ht="37.5" customHeight="1" x14ac:dyDescent="0.25">
      <c r="A17" s="35"/>
      <c r="B17" s="58" t="s">
        <v>1271</v>
      </c>
      <c r="C17" s="59" t="s">
        <v>1272</v>
      </c>
    </row>
    <row r="18" spans="1:3" ht="41.25" customHeight="1" x14ac:dyDescent="0.25">
      <c r="A18" s="35"/>
      <c r="B18" s="60" t="s">
        <v>1273</v>
      </c>
      <c r="C18" s="59" t="s">
        <v>1274</v>
      </c>
    </row>
    <row r="19" spans="1:3" ht="82.8" x14ac:dyDescent="0.25">
      <c r="A19" s="35"/>
      <c r="B19" s="60" t="s">
        <v>1275</v>
      </c>
      <c r="C19" s="59" t="s">
        <v>1276</v>
      </c>
    </row>
    <row r="20" spans="1:3" ht="23.25" customHeight="1" x14ac:dyDescent="0.25">
      <c r="A20" s="35"/>
      <c r="B20" s="60" t="s">
        <v>1277</v>
      </c>
      <c r="C20" s="59" t="s">
        <v>1278</v>
      </c>
    </row>
    <row r="21" spans="1:3" x14ac:dyDescent="0.25">
      <c r="A21" s="35"/>
      <c r="B21" s="60" t="s">
        <v>1279</v>
      </c>
      <c r="C21" s="59" t="s">
        <v>1280</v>
      </c>
    </row>
    <row r="22" spans="1:3" x14ac:dyDescent="0.25">
      <c r="A22" s="35"/>
      <c r="B22" s="60" t="s">
        <v>1281</v>
      </c>
      <c r="C22" s="59" t="s">
        <v>1282</v>
      </c>
    </row>
    <row r="23" spans="1:3" ht="64.5" customHeight="1" x14ac:dyDescent="0.25">
      <c r="A23" s="35"/>
      <c r="B23" s="58" t="s">
        <v>1283</v>
      </c>
      <c r="C23" s="59" t="s">
        <v>1284</v>
      </c>
    </row>
    <row r="24" spans="1:3" ht="49.5" customHeight="1" x14ac:dyDescent="0.25">
      <c r="A24" s="35"/>
      <c r="B24" s="60" t="s">
        <v>1285</v>
      </c>
      <c r="C24" s="59" t="s">
        <v>1286</v>
      </c>
    </row>
    <row r="25" spans="1:3" x14ac:dyDescent="0.25">
      <c r="A25" s="35"/>
      <c r="B25" s="61" t="s">
        <v>857</v>
      </c>
      <c r="C25" s="62" t="s">
        <v>1287</v>
      </c>
    </row>
    <row r="26" spans="1:3" ht="41.4" x14ac:dyDescent="0.25">
      <c r="A26" s="35"/>
      <c r="B26" s="60" t="s">
        <v>1288</v>
      </c>
      <c r="C26" s="59" t="s">
        <v>1289</v>
      </c>
    </row>
    <row r="27" spans="1:3" ht="27.6" x14ac:dyDescent="0.25">
      <c r="A27" s="35"/>
      <c r="B27" s="60" t="s">
        <v>1290</v>
      </c>
      <c r="C27" s="59" t="s">
        <v>1291</v>
      </c>
    </row>
    <row r="28" spans="1:3" ht="27.6" x14ac:dyDescent="0.25">
      <c r="A28" s="35"/>
      <c r="B28" s="60" t="s">
        <v>1292</v>
      </c>
      <c r="C28" s="59" t="s">
        <v>1293</v>
      </c>
    </row>
    <row r="29" spans="1:3" x14ac:dyDescent="0.25">
      <c r="A29" s="35"/>
      <c r="B29" s="60" t="s">
        <v>1294</v>
      </c>
      <c r="C29" s="59" t="s">
        <v>1295</v>
      </c>
    </row>
    <row r="30" spans="1:3" ht="23.25" customHeight="1" x14ac:dyDescent="0.25">
      <c r="A30" s="35"/>
      <c r="B30" s="60" t="s">
        <v>1296</v>
      </c>
      <c r="C30" s="59" t="s">
        <v>1297</v>
      </c>
    </row>
    <row r="31" spans="1:3" ht="23.25" customHeight="1" x14ac:dyDescent="0.25">
      <c r="A31" s="35"/>
      <c r="B31" s="60" t="s">
        <v>1298</v>
      </c>
      <c r="C31" s="59" t="s">
        <v>1299</v>
      </c>
    </row>
    <row r="32" spans="1:3" ht="59.25" customHeight="1" x14ac:dyDescent="0.25">
      <c r="A32" s="35"/>
      <c r="B32" s="60" t="s">
        <v>1300</v>
      </c>
      <c r="C32" s="59" t="s">
        <v>1301</v>
      </c>
    </row>
    <row r="33" spans="1:3" ht="64.5" customHeight="1" x14ac:dyDescent="0.25">
      <c r="A33" s="35"/>
      <c r="B33" s="60" t="s">
        <v>1302</v>
      </c>
      <c r="C33" s="59" t="s">
        <v>1303</v>
      </c>
    </row>
    <row r="34" spans="1:3" ht="19.5" customHeight="1" x14ac:dyDescent="0.25">
      <c r="A34" s="35"/>
      <c r="B34" s="60" t="s">
        <v>1304</v>
      </c>
      <c r="C34" s="59" t="s">
        <v>1305</v>
      </c>
    </row>
    <row r="35" spans="1:3" ht="105" customHeight="1" x14ac:dyDescent="0.25">
      <c r="A35" s="35"/>
      <c r="B35" s="63" t="s">
        <v>1306</v>
      </c>
      <c r="C35" s="59" t="s">
        <v>1307</v>
      </c>
    </row>
    <row r="36" spans="1:3" ht="69" x14ac:dyDescent="0.25">
      <c r="A36" s="35"/>
      <c r="B36" s="64" t="s">
        <v>1308</v>
      </c>
      <c r="C36" s="65" t="s">
        <v>1309</v>
      </c>
    </row>
    <row r="37" spans="1:3" ht="126.75" customHeight="1" x14ac:dyDescent="0.25">
      <c r="A37" s="35"/>
      <c r="B37" s="63" t="s">
        <v>1310</v>
      </c>
      <c r="C37" s="59" t="s">
        <v>1311</v>
      </c>
    </row>
    <row r="38" spans="1:3" ht="159" customHeight="1" x14ac:dyDescent="0.25">
      <c r="A38" s="35"/>
      <c r="B38" s="63" t="s">
        <v>1312</v>
      </c>
      <c r="C38" s="59" t="s">
        <v>1313</v>
      </c>
    </row>
    <row r="39" spans="1:3" ht="135.75" customHeight="1" thickBot="1" x14ac:dyDescent="0.3">
      <c r="A39" s="35"/>
      <c r="B39" s="66" t="s">
        <v>1314</v>
      </c>
      <c r="C39" s="67" t="s">
        <v>1315</v>
      </c>
    </row>
    <row r="40" spans="1:3" ht="14.4" thickTop="1" x14ac:dyDescent="0.25"/>
    <row r="41" spans="1:3" x14ac:dyDescent="0.25">
      <c r="C41" s="38"/>
    </row>
    <row r="42" spans="1:3" x14ac:dyDescent="0.25">
      <c r="C42" s="38"/>
    </row>
    <row r="43" spans="1:3" x14ac:dyDescent="0.25">
      <c r="C43" s="38"/>
    </row>
    <row r="44" spans="1:3" x14ac:dyDescent="0.25">
      <c r="C44" s="38"/>
    </row>
    <row r="45" spans="1:3" x14ac:dyDescent="0.25">
      <c r="C45" s="38"/>
    </row>
    <row r="46" spans="1:3" x14ac:dyDescent="0.25">
      <c r="C46" s="38"/>
    </row>
    <row r="47" spans="1:3" x14ac:dyDescent="0.25">
      <c r="C47" s="38"/>
    </row>
    <row r="48" spans="1:3" x14ac:dyDescent="0.25">
      <c r="A48" s="35"/>
      <c r="C48" s="38"/>
    </row>
    <row r="49" spans="3:3" x14ac:dyDescent="0.25">
      <c r="C49" s="38"/>
    </row>
    <row r="50" spans="3:3" x14ac:dyDescent="0.25">
      <c r="C50" s="38"/>
    </row>
    <row r="51" spans="3:3" x14ac:dyDescent="0.25">
      <c r="C51" s="38"/>
    </row>
    <row r="52" spans="3:3" x14ac:dyDescent="0.25">
      <c r="C52" s="38"/>
    </row>
    <row r="53" spans="3:3" x14ac:dyDescent="0.25">
      <c r="C53" s="38"/>
    </row>
    <row r="54" spans="3:3" x14ac:dyDescent="0.25">
      <c r="C54" s="38"/>
    </row>
    <row r="55" spans="3:3" x14ac:dyDescent="0.25">
      <c r="C55" s="38"/>
    </row>
    <row r="56" spans="3:3" x14ac:dyDescent="0.25">
      <c r="C56" s="38"/>
    </row>
    <row r="57" spans="3:3" x14ac:dyDescent="0.25">
      <c r="C57" s="38"/>
    </row>
    <row r="58" spans="3:3" x14ac:dyDescent="0.25">
      <c r="C58" s="38"/>
    </row>
    <row r="59" spans="3:3" x14ac:dyDescent="0.25">
      <c r="C59" s="38"/>
    </row>
    <row r="60" spans="3:3" x14ac:dyDescent="0.25">
      <c r="C60" s="38"/>
    </row>
    <row r="61" spans="3:3" x14ac:dyDescent="0.25">
      <c r="C61" s="38"/>
    </row>
    <row r="62" spans="3:3" x14ac:dyDescent="0.25">
      <c r="C62" s="38"/>
    </row>
    <row r="63" spans="3:3" x14ac:dyDescent="0.25">
      <c r="C63" s="38"/>
    </row>
    <row r="64" spans="3:3" x14ac:dyDescent="0.25">
      <c r="C64" s="38"/>
    </row>
    <row r="65" spans="3:3" x14ac:dyDescent="0.25">
      <c r="C65" s="38"/>
    </row>
    <row r="66" spans="3:3" x14ac:dyDescent="0.25">
      <c r="C66" s="38"/>
    </row>
    <row r="67" spans="3:3" x14ac:dyDescent="0.25">
      <c r="C67" s="38"/>
    </row>
    <row r="68" spans="3:3" x14ac:dyDescent="0.25">
      <c r="C68" s="38"/>
    </row>
    <row r="69" spans="3:3" x14ac:dyDescent="0.25">
      <c r="C69" s="38"/>
    </row>
    <row r="70" spans="3:3" x14ac:dyDescent="0.25">
      <c r="C70" s="38"/>
    </row>
    <row r="71" spans="3:3" x14ac:dyDescent="0.25">
      <c r="C71" s="38"/>
    </row>
    <row r="72" spans="3:3" x14ac:dyDescent="0.25">
      <c r="C72" s="38"/>
    </row>
    <row r="73" spans="3:3" x14ac:dyDescent="0.25">
      <c r="C73" s="38"/>
    </row>
    <row r="74" spans="3:3" x14ac:dyDescent="0.25">
      <c r="C74" s="38"/>
    </row>
    <row r="75" spans="3:3" x14ac:dyDescent="0.25">
      <c r="C75" s="38"/>
    </row>
    <row r="76" spans="3:3" x14ac:dyDescent="0.25">
      <c r="C76" s="38"/>
    </row>
    <row r="77" spans="3:3" x14ac:dyDescent="0.25">
      <c r="C77" s="38"/>
    </row>
    <row r="78" spans="3:3" x14ac:dyDescent="0.25">
      <c r="C78" s="38"/>
    </row>
    <row r="79" spans="3:3" x14ac:dyDescent="0.25">
      <c r="C79" s="38"/>
    </row>
    <row r="80" spans="3:3" x14ac:dyDescent="0.25">
      <c r="C80" s="38"/>
    </row>
    <row r="81" spans="3:3" x14ac:dyDescent="0.25">
      <c r="C81" s="38"/>
    </row>
    <row r="82" spans="3:3" x14ac:dyDescent="0.25">
      <c r="C82" s="38"/>
    </row>
    <row r="83" spans="3:3" x14ac:dyDescent="0.25">
      <c r="C83" s="38"/>
    </row>
    <row r="84" spans="3:3" x14ac:dyDescent="0.25">
      <c r="C84" s="38"/>
    </row>
    <row r="85" spans="3:3" x14ac:dyDescent="0.25">
      <c r="C85" s="38"/>
    </row>
    <row r="86" spans="3:3" x14ac:dyDescent="0.25">
      <c r="C86" s="38"/>
    </row>
    <row r="87" spans="3:3" x14ac:dyDescent="0.25">
      <c r="C87" s="38"/>
    </row>
    <row r="88" spans="3:3" x14ac:dyDescent="0.25">
      <c r="C88" s="38"/>
    </row>
    <row r="89" spans="3:3" x14ac:dyDescent="0.25">
      <c r="C89" s="38"/>
    </row>
    <row r="90" spans="3:3" x14ac:dyDescent="0.25">
      <c r="C90" s="38"/>
    </row>
    <row r="91" spans="3:3" x14ac:dyDescent="0.25">
      <c r="C91" s="38"/>
    </row>
    <row r="92" spans="3:3" x14ac:dyDescent="0.25">
      <c r="C92" s="38"/>
    </row>
    <row r="93" spans="3:3" x14ac:dyDescent="0.25">
      <c r="C93" s="38"/>
    </row>
    <row r="94" spans="3:3" x14ac:dyDescent="0.25">
      <c r="C94" s="38"/>
    </row>
    <row r="95" spans="3:3" x14ac:dyDescent="0.25">
      <c r="C95" s="38"/>
    </row>
    <row r="96" spans="3:3" x14ac:dyDescent="0.25">
      <c r="C96" s="38"/>
    </row>
    <row r="97" spans="3:3" x14ac:dyDescent="0.25">
      <c r="C97" s="38"/>
    </row>
    <row r="98" spans="3:3" x14ac:dyDescent="0.25">
      <c r="C98" s="38"/>
    </row>
    <row r="99" spans="3:3" x14ac:dyDescent="0.25">
      <c r="C99" s="38"/>
    </row>
    <row r="100" spans="3:3" x14ac:dyDescent="0.25">
      <c r="C100" s="38"/>
    </row>
    <row r="101" spans="3:3" x14ac:dyDescent="0.25">
      <c r="C101" s="38"/>
    </row>
    <row r="102" spans="3:3" x14ac:dyDescent="0.25">
      <c r="C102" s="38"/>
    </row>
    <row r="103" spans="3:3" x14ac:dyDescent="0.25">
      <c r="C103" s="38"/>
    </row>
    <row r="104" spans="3:3" x14ac:dyDescent="0.25">
      <c r="C104" s="38"/>
    </row>
    <row r="105" spans="3:3" x14ac:dyDescent="0.25">
      <c r="C105" s="38"/>
    </row>
    <row r="106" spans="3:3" x14ac:dyDescent="0.25">
      <c r="C106" s="38"/>
    </row>
    <row r="107" spans="3:3" x14ac:dyDescent="0.25">
      <c r="C107" s="38"/>
    </row>
    <row r="108" spans="3:3" x14ac:dyDescent="0.25">
      <c r="C108" s="38"/>
    </row>
    <row r="109" spans="3:3" x14ac:dyDescent="0.25">
      <c r="C109" s="38"/>
    </row>
    <row r="110" spans="3:3" x14ac:dyDescent="0.25">
      <c r="C110" s="38"/>
    </row>
    <row r="111" spans="3:3" x14ac:dyDescent="0.25">
      <c r="C111" s="38"/>
    </row>
    <row r="112" spans="3:3" x14ac:dyDescent="0.25">
      <c r="C112" s="38"/>
    </row>
    <row r="113" spans="3:3" x14ac:dyDescent="0.25">
      <c r="C113" s="38"/>
    </row>
    <row r="114" spans="3:3" x14ac:dyDescent="0.25">
      <c r="C114" s="38"/>
    </row>
    <row r="115" spans="3:3" x14ac:dyDescent="0.25">
      <c r="C115" s="38"/>
    </row>
    <row r="116" spans="3:3" x14ac:dyDescent="0.25">
      <c r="C116" s="38"/>
    </row>
    <row r="117" spans="3:3" x14ac:dyDescent="0.25">
      <c r="C117" s="38"/>
    </row>
    <row r="118" spans="3:3" x14ac:dyDescent="0.25">
      <c r="C118" s="38"/>
    </row>
    <row r="119" spans="3:3" x14ac:dyDescent="0.25">
      <c r="C119" s="38"/>
    </row>
    <row r="120" spans="3:3" x14ac:dyDescent="0.25">
      <c r="C120" s="38"/>
    </row>
    <row r="121" spans="3:3" x14ac:dyDescent="0.25">
      <c r="C121" s="38"/>
    </row>
    <row r="122" spans="3:3" x14ac:dyDescent="0.25">
      <c r="C122" s="38"/>
    </row>
    <row r="123" spans="3:3" x14ac:dyDescent="0.25">
      <c r="C123" s="38"/>
    </row>
    <row r="124" spans="3:3" x14ac:dyDescent="0.25">
      <c r="C124" s="38"/>
    </row>
    <row r="125" spans="3:3" x14ac:dyDescent="0.25">
      <c r="C125" s="38"/>
    </row>
    <row r="126" spans="3:3" x14ac:dyDescent="0.25">
      <c r="C126" s="38"/>
    </row>
    <row r="127" spans="3:3" x14ac:dyDescent="0.25">
      <c r="C127" s="38"/>
    </row>
    <row r="128" spans="3:3" x14ac:dyDescent="0.25">
      <c r="C128" s="38"/>
    </row>
    <row r="129" spans="3:3" x14ac:dyDescent="0.25">
      <c r="C129" s="38"/>
    </row>
    <row r="130" spans="3:3" x14ac:dyDescent="0.25">
      <c r="C130" s="38"/>
    </row>
    <row r="131" spans="3:3" x14ac:dyDescent="0.25">
      <c r="C131" s="38"/>
    </row>
    <row r="132" spans="3:3" x14ac:dyDescent="0.25">
      <c r="C132" s="38"/>
    </row>
    <row r="133" spans="3:3" x14ac:dyDescent="0.25">
      <c r="C133" s="38"/>
    </row>
    <row r="134" spans="3:3" x14ac:dyDescent="0.25">
      <c r="C134" s="38"/>
    </row>
    <row r="135" spans="3:3" x14ac:dyDescent="0.25">
      <c r="C135" s="38"/>
    </row>
    <row r="136" spans="3:3" x14ac:dyDescent="0.25">
      <c r="C136" s="38"/>
    </row>
  </sheetData>
  <sheetProtection formatCells="0" formatColumns="0" formatRows="0" insertRows="0" sort="0" autoFilter="0" pivotTables="0"/>
  <mergeCells count="7">
    <mergeCell ref="B12:C12"/>
    <mergeCell ref="B2:B5"/>
    <mergeCell ref="C2:C5"/>
    <mergeCell ref="D2:E2"/>
    <mergeCell ref="D3:E3"/>
    <mergeCell ref="D4:E4"/>
    <mergeCell ref="D5:E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2">
    <tabColor theme="7" tint="-0.249977111117893"/>
  </sheetPr>
  <dimension ref="B2:U66"/>
  <sheetViews>
    <sheetView showGridLines="0" topLeftCell="A8" zoomScale="130" zoomScaleNormal="130" workbookViewId="0">
      <selection activeCell="C23" sqref="C23:K23"/>
    </sheetView>
  </sheetViews>
  <sheetFormatPr baseColWidth="10" defaultColWidth="11.54296875" defaultRowHeight="13.8" x14ac:dyDescent="0.25"/>
  <cols>
    <col min="1" max="1" width="2.81640625" style="16" customWidth="1"/>
    <col min="2" max="2" width="11.36328125" style="16" customWidth="1"/>
    <col min="3" max="3" width="17.81640625" style="16" customWidth="1"/>
    <col min="4" max="9" width="16" style="16" customWidth="1"/>
    <col min="10" max="10" width="21.81640625" style="16" customWidth="1"/>
    <col min="11" max="11" width="31.54296875" style="16" customWidth="1"/>
    <col min="12" max="16384" width="11.54296875" style="16"/>
  </cols>
  <sheetData>
    <row r="2" spans="2:21" s="130" customFormat="1" ht="24" customHeight="1" x14ac:dyDescent="0.35">
      <c r="B2" s="573"/>
      <c r="C2" s="573"/>
      <c r="D2" s="574" t="s">
        <v>683</v>
      </c>
      <c r="E2" s="575"/>
      <c r="F2" s="575"/>
      <c r="G2" s="575"/>
      <c r="H2" s="575"/>
      <c r="I2" s="575"/>
      <c r="J2" s="576"/>
      <c r="K2" s="132" t="s">
        <v>684</v>
      </c>
      <c r="L2" s="131"/>
      <c r="M2"/>
      <c r="N2"/>
      <c r="O2"/>
      <c r="P2"/>
      <c r="Q2"/>
      <c r="R2"/>
      <c r="S2"/>
      <c r="T2"/>
      <c r="U2"/>
    </row>
    <row r="3" spans="2:21" s="130" customFormat="1" ht="20.399999999999999" x14ac:dyDescent="0.35">
      <c r="B3" s="573"/>
      <c r="C3" s="573"/>
      <c r="D3" s="577"/>
      <c r="E3" s="578"/>
      <c r="F3" s="578"/>
      <c r="G3" s="578"/>
      <c r="H3" s="578"/>
      <c r="I3" s="578"/>
      <c r="J3" s="579"/>
      <c r="K3" s="132" t="s">
        <v>685</v>
      </c>
      <c r="L3" s="131"/>
      <c r="M3"/>
      <c r="N3"/>
      <c r="O3"/>
      <c r="P3"/>
      <c r="Q3"/>
      <c r="R3"/>
      <c r="S3"/>
      <c r="T3"/>
      <c r="U3"/>
    </row>
    <row r="4" spans="2:21" s="130" customFormat="1" ht="20.25" customHeight="1" x14ac:dyDescent="0.35">
      <c r="B4" s="573"/>
      <c r="C4" s="573"/>
      <c r="D4" s="577"/>
      <c r="E4" s="578"/>
      <c r="F4" s="578"/>
      <c r="G4" s="578"/>
      <c r="H4" s="578"/>
      <c r="I4" s="578"/>
      <c r="J4" s="579"/>
      <c r="K4" s="133" t="s">
        <v>686</v>
      </c>
      <c r="L4" s="134"/>
      <c r="M4"/>
      <c r="N4"/>
      <c r="O4"/>
      <c r="P4"/>
      <c r="Q4"/>
      <c r="R4"/>
      <c r="S4"/>
      <c r="T4"/>
      <c r="U4"/>
    </row>
    <row r="5" spans="2:21" s="130" customFormat="1" ht="20.399999999999999" x14ac:dyDescent="0.35">
      <c r="B5" s="573"/>
      <c r="C5" s="573"/>
      <c r="D5" s="580"/>
      <c r="E5" s="581"/>
      <c r="F5" s="581"/>
      <c r="G5" s="581"/>
      <c r="H5" s="581"/>
      <c r="I5" s="581"/>
      <c r="J5" s="582"/>
      <c r="K5" s="132" t="s">
        <v>1316</v>
      </c>
      <c r="L5" s="131"/>
      <c r="M5"/>
      <c r="N5"/>
      <c r="O5"/>
      <c r="P5"/>
      <c r="Q5"/>
      <c r="R5"/>
      <c r="S5"/>
      <c r="T5"/>
      <c r="U5"/>
    </row>
    <row r="11" spans="2:21" ht="14.4" thickBot="1" x14ac:dyDescent="0.3"/>
    <row r="12" spans="2:21" s="49" customFormat="1" ht="25.8" thickBot="1" x14ac:dyDescent="0.5">
      <c r="B12" s="417" t="s">
        <v>1317</v>
      </c>
      <c r="C12" s="418"/>
      <c r="D12" s="418"/>
      <c r="E12" s="418"/>
      <c r="F12" s="418"/>
      <c r="G12" s="418"/>
      <c r="H12" s="418"/>
      <c r="I12" s="418"/>
      <c r="J12" s="418"/>
      <c r="K12" s="419"/>
    </row>
    <row r="14" spans="2:21" ht="15.6" x14ac:dyDescent="0.3">
      <c r="C14" s="68" t="s">
        <v>1318</v>
      </c>
    </row>
    <row r="15" spans="2:21" ht="15.75" customHeight="1" x14ac:dyDescent="0.25">
      <c r="C15" s="31"/>
    </row>
    <row r="16" spans="2:21" ht="13.5" customHeight="1" x14ac:dyDescent="0.25">
      <c r="B16" s="32">
        <v>1</v>
      </c>
      <c r="C16" s="583" t="s">
        <v>1319</v>
      </c>
      <c r="D16" s="584"/>
      <c r="E16" s="584"/>
      <c r="F16" s="584"/>
      <c r="G16" s="584"/>
      <c r="H16" s="584"/>
      <c r="I16" s="584"/>
      <c r="J16" s="584"/>
      <c r="K16" s="585"/>
    </row>
    <row r="17" spans="2:11" ht="13.5" customHeight="1" x14ac:dyDescent="0.25">
      <c r="B17" s="32">
        <v>2</v>
      </c>
      <c r="C17" s="583" t="s">
        <v>1320</v>
      </c>
      <c r="D17" s="584"/>
      <c r="E17" s="584"/>
      <c r="F17" s="584"/>
      <c r="G17" s="584"/>
      <c r="H17" s="584"/>
      <c r="I17" s="584"/>
      <c r="J17" s="584"/>
      <c r="K17" s="585"/>
    </row>
    <row r="18" spans="2:11" ht="13.5" customHeight="1" x14ac:dyDescent="0.25">
      <c r="B18" s="32">
        <v>3</v>
      </c>
      <c r="C18" s="583" t="s">
        <v>1321</v>
      </c>
      <c r="D18" s="584"/>
      <c r="E18" s="584"/>
      <c r="F18" s="584"/>
      <c r="G18" s="584"/>
      <c r="H18" s="584"/>
      <c r="I18" s="584"/>
      <c r="J18" s="584"/>
      <c r="K18" s="585"/>
    </row>
    <row r="19" spans="2:11" ht="29.25" customHeight="1" x14ac:dyDescent="0.25">
      <c r="B19" s="32">
        <v>4</v>
      </c>
      <c r="C19" s="586" t="s">
        <v>1322</v>
      </c>
      <c r="D19" s="587"/>
      <c r="E19" s="587"/>
      <c r="F19" s="587"/>
      <c r="G19" s="587"/>
      <c r="H19" s="587"/>
      <c r="I19" s="587"/>
      <c r="J19" s="587"/>
      <c r="K19" s="588"/>
    </row>
    <row r="20" spans="2:11" ht="16.5" customHeight="1" x14ac:dyDescent="0.3">
      <c r="B20" s="32">
        <v>5</v>
      </c>
      <c r="C20" s="589" t="s">
        <v>1323</v>
      </c>
      <c r="D20" s="590"/>
      <c r="E20" s="590"/>
      <c r="F20" s="590"/>
      <c r="G20" s="590"/>
      <c r="H20" s="590"/>
      <c r="I20" s="590"/>
      <c r="J20" s="590"/>
      <c r="K20" s="591"/>
    </row>
    <row r="21" spans="2:11" ht="16.5" customHeight="1" x14ac:dyDescent="0.25">
      <c r="B21" s="32">
        <v>6</v>
      </c>
      <c r="C21" s="592" t="s">
        <v>1324</v>
      </c>
      <c r="D21" s="593"/>
      <c r="E21" s="593"/>
      <c r="F21" s="593"/>
      <c r="G21" s="593"/>
      <c r="H21" s="593"/>
      <c r="I21" s="593"/>
      <c r="J21" s="593"/>
      <c r="K21" s="594"/>
    </row>
    <row r="22" spans="2:11" ht="16.5" customHeight="1" x14ac:dyDescent="0.25">
      <c r="B22" s="32">
        <v>7</v>
      </c>
      <c r="C22" s="592" t="s">
        <v>1325</v>
      </c>
      <c r="D22" s="593"/>
      <c r="E22" s="593"/>
      <c r="F22" s="593"/>
      <c r="G22" s="593"/>
      <c r="H22" s="593"/>
      <c r="I22" s="593"/>
      <c r="J22" s="593"/>
      <c r="K22" s="594"/>
    </row>
    <row r="23" spans="2:11" x14ac:dyDescent="0.25">
      <c r="B23" s="32">
        <v>8</v>
      </c>
      <c r="C23" s="592" t="s">
        <v>1326</v>
      </c>
      <c r="D23" s="593"/>
      <c r="E23" s="593"/>
      <c r="F23" s="593"/>
      <c r="G23" s="593"/>
      <c r="H23" s="593"/>
      <c r="I23" s="593"/>
      <c r="J23" s="593"/>
      <c r="K23" s="594"/>
    </row>
    <row r="24" spans="2:11" x14ac:dyDescent="0.25">
      <c r="C24" s="33"/>
    </row>
    <row r="25" spans="2:11" x14ac:dyDescent="0.25">
      <c r="C25" s="33"/>
    </row>
    <row r="26" spans="2:11" s="34" customFormat="1" ht="34.5" customHeight="1" x14ac:dyDescent="0.2">
      <c r="B26" s="69" t="s">
        <v>1327</v>
      </c>
      <c r="C26" s="595" t="s">
        <v>1328</v>
      </c>
      <c r="D26" s="596"/>
      <c r="E26" s="596"/>
      <c r="F26" s="596"/>
      <c r="G26" s="596"/>
      <c r="H26" s="596"/>
      <c r="I26" s="596"/>
      <c r="J26" s="596"/>
      <c r="K26" s="596"/>
    </row>
    <row r="27" spans="2:11" s="34" customFormat="1" ht="15" customHeight="1" x14ac:dyDescent="0.2">
      <c r="B27" s="568" t="s">
        <v>1329</v>
      </c>
      <c r="C27" s="570" t="s">
        <v>1330</v>
      </c>
      <c r="D27" s="571"/>
      <c r="E27" s="571"/>
      <c r="F27" s="571"/>
      <c r="G27" s="571"/>
      <c r="H27" s="571"/>
      <c r="I27" s="571"/>
      <c r="J27" s="571"/>
      <c r="K27" s="572"/>
    </row>
    <row r="28" spans="2:11" s="34" customFormat="1" ht="15" customHeight="1" x14ac:dyDescent="0.2">
      <c r="B28" s="569"/>
      <c r="C28" s="570" t="s">
        <v>1331</v>
      </c>
      <c r="D28" s="571"/>
      <c r="E28" s="571"/>
      <c r="F28" s="571"/>
      <c r="G28" s="571"/>
      <c r="H28" s="571"/>
      <c r="I28" s="571"/>
      <c r="J28" s="571"/>
      <c r="K28" s="572"/>
    </row>
    <row r="29" spans="2:11" s="34" customFormat="1" ht="15" customHeight="1" x14ac:dyDescent="0.2">
      <c r="B29" s="569"/>
      <c r="C29" s="570" t="s">
        <v>1332</v>
      </c>
      <c r="D29" s="571"/>
      <c r="E29" s="571"/>
      <c r="F29" s="571"/>
      <c r="G29" s="571"/>
      <c r="H29" s="571"/>
      <c r="I29" s="571"/>
      <c r="J29" s="571"/>
      <c r="K29" s="572"/>
    </row>
    <row r="30" spans="2:11" s="34" customFormat="1" ht="15" customHeight="1" x14ac:dyDescent="0.2">
      <c r="B30" s="568" t="s">
        <v>704</v>
      </c>
      <c r="C30" s="570" t="s">
        <v>1333</v>
      </c>
      <c r="D30" s="571"/>
      <c r="E30" s="571"/>
      <c r="F30" s="571"/>
      <c r="G30" s="571"/>
      <c r="H30" s="571"/>
      <c r="I30" s="571"/>
      <c r="J30" s="571"/>
      <c r="K30" s="572"/>
    </row>
    <row r="31" spans="2:11" s="34" customFormat="1" ht="15" customHeight="1" x14ac:dyDescent="0.2">
      <c r="B31" s="569"/>
      <c r="C31" s="570" t="s">
        <v>1334</v>
      </c>
      <c r="D31" s="571"/>
      <c r="E31" s="571"/>
      <c r="F31" s="571"/>
      <c r="G31" s="571"/>
      <c r="H31" s="571"/>
      <c r="I31" s="571"/>
      <c r="J31" s="571"/>
      <c r="K31" s="572"/>
    </row>
    <row r="32" spans="2:11" s="34" customFormat="1" ht="15" customHeight="1" x14ac:dyDescent="0.2">
      <c r="B32" s="569"/>
      <c r="C32" s="570" t="s">
        <v>1335</v>
      </c>
      <c r="D32" s="571"/>
      <c r="E32" s="571"/>
      <c r="F32" s="571"/>
      <c r="G32" s="571"/>
      <c r="H32" s="571"/>
      <c r="I32" s="571"/>
      <c r="J32" s="571"/>
      <c r="K32" s="572"/>
    </row>
    <row r="33" spans="2:11" s="34" customFormat="1" ht="15" customHeight="1" x14ac:dyDescent="0.2">
      <c r="B33" s="569"/>
      <c r="C33" s="570" t="s">
        <v>1336</v>
      </c>
      <c r="D33" s="571"/>
      <c r="E33" s="571"/>
      <c r="F33" s="571"/>
      <c r="G33" s="571"/>
      <c r="H33" s="571"/>
      <c r="I33" s="571"/>
      <c r="J33" s="571"/>
      <c r="K33" s="572"/>
    </row>
    <row r="34" spans="2:11" s="34" customFormat="1" ht="15" customHeight="1" x14ac:dyDescent="0.2">
      <c r="B34" s="569"/>
      <c r="C34" s="570" t="s">
        <v>1337</v>
      </c>
      <c r="D34" s="571"/>
      <c r="E34" s="571"/>
      <c r="F34" s="571"/>
      <c r="G34" s="571"/>
      <c r="H34" s="571"/>
      <c r="I34" s="571"/>
      <c r="J34" s="571"/>
      <c r="K34" s="572"/>
    </row>
    <row r="35" spans="2:11" s="34" customFormat="1" ht="15" customHeight="1" x14ac:dyDescent="0.2">
      <c r="B35" s="569"/>
      <c r="C35" s="570" t="s">
        <v>1338</v>
      </c>
      <c r="D35" s="571"/>
      <c r="E35" s="571"/>
      <c r="F35" s="571"/>
      <c r="G35" s="571"/>
      <c r="H35" s="571"/>
      <c r="I35" s="571"/>
      <c r="J35" s="571"/>
      <c r="K35" s="572"/>
    </row>
    <row r="36" spans="2:11" s="34" customFormat="1" ht="15" customHeight="1" x14ac:dyDescent="0.2">
      <c r="B36" s="597" t="s">
        <v>2</v>
      </c>
      <c r="C36" s="570" t="s">
        <v>1339</v>
      </c>
      <c r="D36" s="571"/>
      <c r="E36" s="571"/>
      <c r="F36" s="571"/>
      <c r="G36" s="571"/>
      <c r="H36" s="571"/>
      <c r="I36" s="571"/>
      <c r="J36" s="571"/>
      <c r="K36" s="572"/>
    </row>
    <row r="37" spans="2:11" s="34" customFormat="1" ht="15" customHeight="1" x14ac:dyDescent="0.2">
      <c r="B37" s="598"/>
      <c r="C37" s="570" t="s">
        <v>1340</v>
      </c>
      <c r="D37" s="571"/>
      <c r="E37" s="571"/>
      <c r="F37" s="571"/>
      <c r="G37" s="571"/>
      <c r="H37" s="571"/>
      <c r="I37" s="571"/>
      <c r="J37" s="571"/>
      <c r="K37" s="572"/>
    </row>
    <row r="38" spans="2:11" s="34" customFormat="1" ht="15" customHeight="1" x14ac:dyDescent="0.2">
      <c r="B38" s="598"/>
      <c r="C38" s="570" t="s">
        <v>1341</v>
      </c>
      <c r="D38" s="571"/>
      <c r="E38" s="571"/>
      <c r="F38" s="571"/>
      <c r="G38" s="571"/>
      <c r="H38" s="571"/>
      <c r="I38" s="571"/>
      <c r="J38" s="571"/>
      <c r="K38" s="572"/>
    </row>
    <row r="39" spans="2:11" s="34" customFormat="1" ht="15" customHeight="1" x14ac:dyDescent="0.2">
      <c r="B39" s="598"/>
      <c r="C39" s="570" t="s">
        <v>1338</v>
      </c>
      <c r="D39" s="571"/>
      <c r="E39" s="571"/>
      <c r="F39" s="571"/>
      <c r="G39" s="571"/>
      <c r="H39" s="571"/>
      <c r="I39" s="571"/>
      <c r="J39" s="571"/>
      <c r="K39" s="572"/>
    </row>
    <row r="40" spans="2:11" s="34" customFormat="1" ht="15" customHeight="1" x14ac:dyDescent="0.2">
      <c r="B40" s="597" t="s">
        <v>718</v>
      </c>
      <c r="C40" s="570" t="s">
        <v>1342</v>
      </c>
      <c r="D40" s="571"/>
      <c r="E40" s="571"/>
      <c r="F40" s="571"/>
      <c r="G40" s="571"/>
      <c r="H40" s="571"/>
      <c r="I40" s="571"/>
      <c r="J40" s="571"/>
      <c r="K40" s="572"/>
    </row>
    <row r="41" spans="2:11" s="34" customFormat="1" ht="15" customHeight="1" x14ac:dyDescent="0.2">
      <c r="B41" s="598"/>
      <c r="C41" s="570" t="s">
        <v>1340</v>
      </c>
      <c r="D41" s="571"/>
      <c r="E41" s="571"/>
      <c r="F41" s="571"/>
      <c r="G41" s="571"/>
      <c r="H41" s="571"/>
      <c r="I41" s="571"/>
      <c r="J41" s="571"/>
      <c r="K41" s="572"/>
    </row>
    <row r="42" spans="2:11" s="34" customFormat="1" ht="15" customHeight="1" x14ac:dyDescent="0.2">
      <c r="B42" s="598"/>
      <c r="C42" s="570" t="s">
        <v>1341</v>
      </c>
      <c r="D42" s="571"/>
      <c r="E42" s="571"/>
      <c r="F42" s="571"/>
      <c r="G42" s="571"/>
      <c r="H42" s="571"/>
      <c r="I42" s="571"/>
      <c r="J42" s="571"/>
      <c r="K42" s="572"/>
    </row>
    <row r="43" spans="2:11" s="34" customFormat="1" ht="15" customHeight="1" x14ac:dyDescent="0.2">
      <c r="B43" s="598"/>
      <c r="C43" s="570" t="s">
        <v>1338</v>
      </c>
      <c r="D43" s="571"/>
      <c r="E43" s="571"/>
      <c r="F43" s="571"/>
      <c r="G43" s="571"/>
      <c r="H43" s="571"/>
      <c r="I43" s="571"/>
      <c r="J43" s="571"/>
      <c r="K43" s="572"/>
    </row>
    <row r="44" spans="2:11" s="34" customFormat="1" ht="15" customHeight="1" x14ac:dyDescent="0.2">
      <c r="B44" s="597" t="s">
        <v>719</v>
      </c>
      <c r="C44" s="570" t="s">
        <v>1343</v>
      </c>
      <c r="D44" s="571"/>
      <c r="E44" s="571"/>
      <c r="F44" s="571"/>
      <c r="G44" s="571"/>
      <c r="H44" s="571"/>
      <c r="I44" s="571"/>
      <c r="J44" s="571"/>
      <c r="K44" s="572"/>
    </row>
    <row r="45" spans="2:11" s="34" customFormat="1" ht="15" customHeight="1" x14ac:dyDescent="0.2">
      <c r="B45" s="598"/>
      <c r="C45" s="570" t="s">
        <v>1340</v>
      </c>
      <c r="D45" s="571"/>
      <c r="E45" s="571"/>
      <c r="F45" s="571"/>
      <c r="G45" s="571"/>
      <c r="H45" s="571"/>
      <c r="I45" s="571"/>
      <c r="J45" s="571"/>
      <c r="K45" s="572"/>
    </row>
    <row r="46" spans="2:11" s="34" customFormat="1" ht="15" customHeight="1" x14ac:dyDescent="0.2">
      <c r="B46" s="598"/>
      <c r="C46" s="570" t="s">
        <v>1341</v>
      </c>
      <c r="D46" s="571"/>
      <c r="E46" s="571"/>
      <c r="F46" s="571"/>
      <c r="G46" s="571"/>
      <c r="H46" s="571"/>
      <c r="I46" s="571"/>
      <c r="J46" s="571"/>
      <c r="K46" s="572"/>
    </row>
    <row r="47" spans="2:11" s="34" customFormat="1" ht="15" customHeight="1" x14ac:dyDescent="0.2">
      <c r="B47" s="598"/>
      <c r="C47" s="570" t="s">
        <v>1338</v>
      </c>
      <c r="D47" s="571"/>
      <c r="E47" s="571"/>
      <c r="F47" s="571"/>
      <c r="G47" s="571"/>
      <c r="H47" s="571"/>
      <c r="I47" s="571"/>
      <c r="J47" s="571"/>
      <c r="K47" s="572"/>
    </row>
    <row r="48" spans="2:11" s="34" customFormat="1" ht="15" customHeight="1" x14ac:dyDescent="0.2">
      <c r="B48" s="597" t="s">
        <v>722</v>
      </c>
      <c r="C48" s="570" t="s">
        <v>1344</v>
      </c>
      <c r="D48" s="571"/>
      <c r="E48" s="571"/>
      <c r="F48" s="571"/>
      <c r="G48" s="571"/>
      <c r="H48" s="571"/>
      <c r="I48" s="571"/>
      <c r="J48" s="571"/>
      <c r="K48" s="572"/>
    </row>
    <row r="49" spans="2:11" s="34" customFormat="1" ht="15" customHeight="1" x14ac:dyDescent="0.2">
      <c r="B49" s="598"/>
      <c r="C49" s="570" t="s">
        <v>1340</v>
      </c>
      <c r="D49" s="571"/>
      <c r="E49" s="571"/>
      <c r="F49" s="571"/>
      <c r="G49" s="571"/>
      <c r="H49" s="571"/>
      <c r="I49" s="571"/>
      <c r="J49" s="571"/>
      <c r="K49" s="572"/>
    </row>
    <row r="50" spans="2:11" s="34" customFormat="1" ht="15" customHeight="1" x14ac:dyDescent="0.2">
      <c r="B50" s="598"/>
      <c r="C50" s="570" t="s">
        <v>1341</v>
      </c>
      <c r="D50" s="571"/>
      <c r="E50" s="571"/>
      <c r="F50" s="571"/>
      <c r="G50" s="571"/>
      <c r="H50" s="571"/>
      <c r="I50" s="571"/>
      <c r="J50" s="571"/>
      <c r="K50" s="572"/>
    </row>
    <row r="51" spans="2:11" s="34" customFormat="1" ht="15" customHeight="1" x14ac:dyDescent="0.2">
      <c r="B51" s="598"/>
      <c r="C51" s="570" t="s">
        <v>1338</v>
      </c>
      <c r="D51" s="571"/>
      <c r="E51" s="571"/>
      <c r="F51" s="571"/>
      <c r="G51" s="571"/>
      <c r="H51" s="571"/>
      <c r="I51" s="571"/>
      <c r="J51" s="571"/>
      <c r="K51" s="572"/>
    </row>
    <row r="52" spans="2:11" s="34" customFormat="1" ht="15" customHeight="1" x14ac:dyDescent="0.2">
      <c r="B52" s="597" t="s">
        <v>1345</v>
      </c>
      <c r="C52" s="570" t="s">
        <v>1346</v>
      </c>
      <c r="D52" s="571"/>
      <c r="E52" s="571"/>
      <c r="F52" s="571"/>
      <c r="G52" s="571"/>
      <c r="H52" s="571"/>
      <c r="I52" s="571"/>
      <c r="J52" s="571"/>
      <c r="K52" s="572"/>
    </row>
    <row r="53" spans="2:11" s="34" customFormat="1" ht="15" customHeight="1" x14ac:dyDescent="0.2">
      <c r="B53" s="598"/>
      <c r="C53" s="570" t="s">
        <v>1340</v>
      </c>
      <c r="D53" s="571"/>
      <c r="E53" s="571"/>
      <c r="F53" s="571"/>
      <c r="G53" s="571"/>
      <c r="H53" s="571"/>
      <c r="I53" s="571"/>
      <c r="J53" s="571"/>
      <c r="K53" s="572"/>
    </row>
    <row r="54" spans="2:11" s="34" customFormat="1" ht="15" customHeight="1" x14ac:dyDescent="0.2">
      <c r="B54" s="598"/>
      <c r="C54" s="570" t="s">
        <v>1341</v>
      </c>
      <c r="D54" s="571"/>
      <c r="E54" s="571"/>
      <c r="F54" s="571"/>
      <c r="G54" s="571"/>
      <c r="H54" s="571"/>
      <c r="I54" s="571"/>
      <c r="J54" s="571"/>
      <c r="K54" s="572"/>
    </row>
    <row r="55" spans="2:11" s="34" customFormat="1" ht="15" customHeight="1" x14ac:dyDescent="0.2">
      <c r="B55" s="598"/>
      <c r="C55" s="570" t="s">
        <v>1338</v>
      </c>
      <c r="D55" s="571"/>
      <c r="E55" s="571"/>
      <c r="F55" s="571"/>
      <c r="G55" s="571"/>
      <c r="H55" s="571"/>
      <c r="I55" s="571"/>
      <c r="J55" s="571"/>
      <c r="K55" s="572"/>
    </row>
    <row r="56" spans="2:11" s="34" customFormat="1" ht="15" customHeight="1" x14ac:dyDescent="0.2">
      <c r="B56" s="599" t="s">
        <v>1347</v>
      </c>
      <c r="C56" s="570" t="s">
        <v>1348</v>
      </c>
      <c r="D56" s="571"/>
      <c r="E56" s="571"/>
      <c r="F56" s="571"/>
      <c r="G56" s="571"/>
      <c r="H56" s="571"/>
      <c r="I56" s="571"/>
      <c r="J56" s="571"/>
      <c r="K56" s="572"/>
    </row>
    <row r="57" spans="2:11" s="34" customFormat="1" ht="15" customHeight="1" x14ac:dyDescent="0.2">
      <c r="B57" s="600"/>
      <c r="C57" s="570" t="s">
        <v>1334</v>
      </c>
      <c r="D57" s="571"/>
      <c r="E57" s="571"/>
      <c r="F57" s="571"/>
      <c r="G57" s="571"/>
      <c r="H57" s="571"/>
      <c r="I57" s="571"/>
      <c r="J57" s="571"/>
      <c r="K57" s="572"/>
    </row>
    <row r="58" spans="2:11" s="34" customFormat="1" ht="15" customHeight="1" x14ac:dyDescent="0.2">
      <c r="B58" s="600"/>
      <c r="C58" s="570" t="s">
        <v>1335</v>
      </c>
      <c r="D58" s="571"/>
      <c r="E58" s="571"/>
      <c r="F58" s="571"/>
      <c r="G58" s="571"/>
      <c r="H58" s="571"/>
      <c r="I58" s="571"/>
      <c r="J58" s="571"/>
      <c r="K58" s="572"/>
    </row>
    <row r="59" spans="2:11" s="34" customFormat="1" ht="15" customHeight="1" x14ac:dyDescent="0.2">
      <c r="B59" s="600"/>
      <c r="C59" s="570" t="s">
        <v>1349</v>
      </c>
      <c r="D59" s="571"/>
      <c r="E59" s="571"/>
      <c r="F59" s="571"/>
      <c r="G59" s="571"/>
      <c r="H59" s="571"/>
      <c r="I59" s="571"/>
      <c r="J59" s="571"/>
      <c r="K59" s="572"/>
    </row>
    <row r="60" spans="2:11" s="34" customFormat="1" ht="13.2" x14ac:dyDescent="0.2">
      <c r="B60" s="599" t="s">
        <v>725</v>
      </c>
      <c r="C60" s="570" t="s">
        <v>1350</v>
      </c>
      <c r="D60" s="571"/>
      <c r="E60" s="571"/>
      <c r="F60" s="571"/>
      <c r="G60" s="571"/>
      <c r="H60" s="571"/>
      <c r="I60" s="571"/>
      <c r="J60" s="571"/>
      <c r="K60" s="572"/>
    </row>
    <row r="61" spans="2:11" s="34" customFormat="1" ht="13.2" x14ac:dyDescent="0.2">
      <c r="B61" s="600"/>
      <c r="C61" s="570" t="s">
        <v>1334</v>
      </c>
      <c r="D61" s="571"/>
      <c r="E61" s="571"/>
      <c r="F61" s="571"/>
      <c r="G61" s="571"/>
      <c r="H61" s="571"/>
      <c r="I61" s="571"/>
      <c r="J61" s="571"/>
      <c r="K61" s="572"/>
    </row>
    <row r="62" spans="2:11" s="34" customFormat="1" ht="13.2" x14ac:dyDescent="0.2">
      <c r="B62" s="600"/>
      <c r="C62" s="92" t="s">
        <v>1335</v>
      </c>
      <c r="D62" s="93"/>
      <c r="E62" s="93"/>
      <c r="F62" s="93"/>
      <c r="G62" s="93"/>
      <c r="H62" s="93"/>
      <c r="I62" s="93"/>
      <c r="J62" s="93"/>
      <c r="K62" s="94"/>
    </row>
    <row r="63" spans="2:11" s="34" customFormat="1" ht="13.2" x14ac:dyDescent="0.2">
      <c r="B63" s="600"/>
      <c r="C63" s="92" t="s">
        <v>1349</v>
      </c>
      <c r="D63" s="128"/>
      <c r="E63" s="128"/>
      <c r="F63" s="128"/>
      <c r="G63" s="128"/>
      <c r="H63" s="128"/>
      <c r="I63" s="128"/>
      <c r="J63" s="128"/>
      <c r="K63" s="129"/>
    </row>
    <row r="64" spans="2:11" ht="261.75" customHeight="1" x14ac:dyDescent="0.25">
      <c r="B64" s="135" t="s">
        <v>1351</v>
      </c>
      <c r="C64" s="586" t="s">
        <v>1352</v>
      </c>
      <c r="D64" s="593"/>
      <c r="E64" s="593"/>
      <c r="F64" s="593"/>
      <c r="G64" s="593"/>
      <c r="H64" s="593"/>
      <c r="I64" s="593"/>
      <c r="J64" s="593"/>
      <c r="K64" s="594"/>
    </row>
    <row r="65" spans="2:11" ht="60" customHeight="1" x14ac:dyDescent="0.25">
      <c r="B65" s="135" t="s">
        <v>1353</v>
      </c>
      <c r="C65" s="586" t="s">
        <v>1354</v>
      </c>
      <c r="D65" s="593"/>
      <c r="E65" s="593"/>
      <c r="F65" s="593"/>
      <c r="G65" s="593"/>
      <c r="H65" s="593"/>
      <c r="I65" s="593"/>
      <c r="J65" s="593"/>
      <c r="K65" s="594"/>
    </row>
    <row r="66" spans="2:11" ht="11.25" customHeight="1" x14ac:dyDescent="0.25"/>
  </sheetData>
  <sheetProtection formatCells="0" formatColumns="0" formatRows="0" insertRows="0" sort="0" autoFilter="0" pivotTables="0"/>
  <mergeCells count="58">
    <mergeCell ref="B60:B63"/>
    <mergeCell ref="C60:K60"/>
    <mergeCell ref="C61:K61"/>
    <mergeCell ref="C64:K64"/>
    <mergeCell ref="C65:K65"/>
    <mergeCell ref="B52:B55"/>
    <mergeCell ref="C52:K52"/>
    <mergeCell ref="C53:K53"/>
    <mergeCell ref="C54:K54"/>
    <mergeCell ref="C55:K55"/>
    <mergeCell ref="B56:B59"/>
    <mergeCell ref="C56:K56"/>
    <mergeCell ref="C57:K57"/>
    <mergeCell ref="C58:K58"/>
    <mergeCell ref="C59:K59"/>
    <mergeCell ref="B44:B47"/>
    <mergeCell ref="C44:K44"/>
    <mergeCell ref="C45:K45"/>
    <mergeCell ref="C46:K46"/>
    <mergeCell ref="C47:K47"/>
    <mergeCell ref="B48:B51"/>
    <mergeCell ref="C48:K48"/>
    <mergeCell ref="C49:K49"/>
    <mergeCell ref="C50:K50"/>
    <mergeCell ref="C51:K51"/>
    <mergeCell ref="B36:B39"/>
    <mergeCell ref="C36:K36"/>
    <mergeCell ref="C37:K37"/>
    <mergeCell ref="C38:K38"/>
    <mergeCell ref="C39:K39"/>
    <mergeCell ref="B40:B43"/>
    <mergeCell ref="C40:K40"/>
    <mergeCell ref="C41:K41"/>
    <mergeCell ref="C42:K42"/>
    <mergeCell ref="C43:K43"/>
    <mergeCell ref="B30:B35"/>
    <mergeCell ref="C30:K30"/>
    <mergeCell ref="C31:K31"/>
    <mergeCell ref="C32:K32"/>
    <mergeCell ref="C33:K33"/>
    <mergeCell ref="C34:K34"/>
    <mergeCell ref="C35:K35"/>
    <mergeCell ref="B27:B29"/>
    <mergeCell ref="C27:K27"/>
    <mergeCell ref="C28:K28"/>
    <mergeCell ref="C29:K29"/>
    <mergeCell ref="B2:C5"/>
    <mergeCell ref="D2:J5"/>
    <mergeCell ref="B12:K12"/>
    <mergeCell ref="C16:K16"/>
    <mergeCell ref="C17:K17"/>
    <mergeCell ref="C18:K18"/>
    <mergeCell ref="C19:K19"/>
    <mergeCell ref="C20:K20"/>
    <mergeCell ref="C21:K21"/>
    <mergeCell ref="C22:K22"/>
    <mergeCell ref="C26:K26"/>
    <mergeCell ref="C23:K2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8ef67d2-6151-4d5a-b01d-9e1fa2428a9e">
      <UserInfo>
        <DisplayName/>
        <AccountId xsi:nil="true"/>
        <AccountType/>
      </UserInfo>
    </SharedWithUsers>
    <lcf76f155ced4ddcb4097134ff3c332f xmlns="5c9c95be-1f31-46f2-a786-fb332161d145">
      <Terms xmlns="http://schemas.microsoft.com/office/infopath/2007/PartnerControls"/>
    </lcf76f155ced4ddcb4097134ff3c332f>
    <TaxCatchAll xmlns="38ef67d2-6151-4d5a-b01d-9e1fa2428a9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E45575AD94644085A1B5F9F0DFCB8C" ma:contentTypeVersion="31" ma:contentTypeDescription="Crear nuevo documento." ma:contentTypeScope="" ma:versionID="70309d5b84e46e6895e23d3f6767b102">
  <xsd:schema xmlns:xsd="http://www.w3.org/2001/XMLSchema" xmlns:xs="http://www.w3.org/2001/XMLSchema" xmlns:p="http://schemas.microsoft.com/office/2006/metadata/properties" xmlns:ns2="5c9c95be-1f31-46f2-a786-fb332161d145" xmlns:ns3="38ef67d2-6151-4d5a-b01d-9e1fa2428a9e" targetNamespace="http://schemas.microsoft.com/office/2006/metadata/properties" ma:root="true" ma:fieldsID="0c7ab5ad2db31ed840a96e8fa2f5efa6" ns2:_="" ns3:_="">
    <xsd:import namespace="5c9c95be-1f31-46f2-a786-fb332161d145"/>
    <xsd:import namespace="38ef67d2-6151-4d5a-b01d-9e1fa2428a9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9c95be-1f31-46f2-a786-fb332161d14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1f14a09-b142-4f1a-9b1d-85a23056d56a"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ef67d2-6151-4d5a-b01d-9e1fa2428a9e"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888f99e3-9f77-4a18-bdd5-c49b12b61a84}" ma:internalName="TaxCatchAll" ma:showField="CatchAllData" ma:web="38ef67d2-6151-4d5a-b01d-9e1fa2428a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AE5D039-8B73-4905-A683-F6F8AEB86A72}">
  <ds:schemaRefs>
    <ds:schemaRef ds:uri="http://www.w3.org/XML/1998/namespace"/>
    <ds:schemaRef ds:uri="http://schemas.microsoft.com/office/2006/documentManagement/types"/>
    <ds:schemaRef ds:uri="http://schemas.microsoft.com/office/infopath/2007/PartnerControls"/>
    <ds:schemaRef ds:uri="38ef67d2-6151-4d5a-b01d-9e1fa2428a9e"/>
    <ds:schemaRef ds:uri="http://purl.org/dc/dcmitype/"/>
    <ds:schemaRef ds:uri="http://schemas.openxmlformats.org/package/2006/metadata/core-properties"/>
    <ds:schemaRef ds:uri="http://purl.org/dc/terms/"/>
    <ds:schemaRef ds:uri="http://purl.org/dc/elements/1.1/"/>
    <ds:schemaRef ds:uri="5c9c95be-1f31-46f2-a786-fb332161d145"/>
    <ds:schemaRef ds:uri="http://schemas.microsoft.com/office/2006/metadata/properties"/>
  </ds:schemaRefs>
</ds:datastoreItem>
</file>

<file path=customXml/itemProps2.xml><?xml version="1.0" encoding="utf-8"?>
<ds:datastoreItem xmlns:ds="http://schemas.openxmlformats.org/officeDocument/2006/customXml" ds:itemID="{43098B3D-6EE1-4692-853D-F1477D641A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9c95be-1f31-46f2-a786-fb332161d145"/>
    <ds:schemaRef ds:uri="38ef67d2-6151-4d5a-b01d-9e1fa2428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C9EFAA-40F0-4BD9-8328-5211D47C4D84}">
  <ds:schemaRefs>
    <ds:schemaRef ds:uri="http://schemas.microsoft.com/sharepoint/v3/contenttype/forms"/>
  </ds:schemaRefs>
</ds:datastoreItem>
</file>

<file path=customXml/itemProps4.xml><?xml version="1.0" encoding="utf-8"?>
<ds:datastoreItem xmlns:ds="http://schemas.openxmlformats.org/officeDocument/2006/customXml" ds:itemID="{DCCC73A2-323A-40D4-9C8C-3AE77C5CBD2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INDICE</vt:lpstr>
      <vt:lpstr>Cuadro Control</vt:lpstr>
      <vt:lpstr>EJECUCIÓN</vt:lpstr>
      <vt:lpstr>Proyecto</vt:lpstr>
      <vt:lpstr>Metas proyecto</vt:lpstr>
      <vt:lpstr>Metas PDD</vt:lpstr>
      <vt:lpstr>Productos MGA</vt:lpstr>
      <vt:lpstr>Actividades</vt:lpstr>
      <vt:lpstr>Tareas</vt:lpstr>
      <vt:lpstr>Soportes</vt:lpstr>
      <vt:lpstr>Territorialización y Población</vt:lpstr>
      <vt:lpstr>Directorio UndOpe</vt:lpstr>
      <vt:lpstr>Glosario</vt:lpstr>
      <vt:lpstr>Instrucciones</vt:lpstr>
      <vt:lpstr>accion</vt:lpstr>
      <vt:lpstr>Metasect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dc:title>
  <dc:subject/>
  <dc:creator>Felipe Andres Garavito Duran</dc:creator>
  <cp:keywords/>
  <dc:description/>
  <cp:lastModifiedBy>LENOVO</cp:lastModifiedBy>
  <cp:revision/>
  <dcterms:created xsi:type="dcterms:W3CDTF">2020-07-01T16:49:29Z</dcterms:created>
  <dcterms:modified xsi:type="dcterms:W3CDTF">2024-01-24T16:11:12Z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0x01010082E45575AD94644085A1B5F9F0DFCB8C</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